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hreadedComments/threadedComment2.xml" ContentType="application/vnd.ms-excel.threadedcomments+xml"/>
  <Override PartName="/xl/comments11.xml" ContentType="application/vnd.openxmlformats-officedocument.spreadsheetml.comments+xml"/>
  <Override PartName="/xl/comments12.xml" ContentType="application/vnd.openxmlformats-officedocument.spreadsheetml.comments+xml"/>
  <Override PartName="/xl/threadedComments/threadedComment3.xml" ContentType="application/vnd.ms-excel.threaded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mc:AlternateContent xmlns:mc="http://schemas.openxmlformats.org/markup-compatibility/2006">
    <mc:Choice Requires="x15">
      <x15ac:absPath xmlns:x15ac="http://schemas.microsoft.com/office/spreadsheetml/2010/11/ac" url="https://d.docs.live.net/5e5fd79cd42d6c39/Desktop/"/>
    </mc:Choice>
  </mc:AlternateContent>
  <xr:revisionPtr revIDLastSave="3974" documentId="13_ncr:1_{F07D8BB8-24FC-4264-8845-AAA3C9D62ACB}" xr6:coauthVersionLast="47" xr6:coauthVersionMax="47" xr10:uidLastSave="{4A5BDA3F-7B80-4761-9F88-08FC075C79DE}"/>
  <bookViews>
    <workbookView xWindow="-120" yWindow="-120" windowWidth="51840" windowHeight="21120" activeTab="2" xr2:uid="{3011C363-1C89-4973-A66C-D517EA7F877E}"/>
  </bookViews>
  <sheets>
    <sheet name="Dashboard" sheetId="43" r:id="rId1"/>
    <sheet name="Inputs" sheetId="14" r:id="rId2"/>
    <sheet name="Rev" sheetId="39" r:id="rId3"/>
    <sheet name="YTD Q3 Rev" sheetId="42" r:id="rId4"/>
    <sheet name="Drug Pipeline" sheetId="41" r:id="rId5"/>
    <sheet name="IS" sheetId="1" r:id="rId6"/>
    <sheet name="IS_Sorted" sheetId="31" r:id="rId7"/>
    <sheet name="BS_Sorted" sheetId="30" r:id="rId8"/>
    <sheet name="BS" sheetId="2" r:id="rId9"/>
    <sheet name="CF_H" sheetId="19" r:id="rId10"/>
    <sheet name="CF_F" sheetId="28" r:id="rId11"/>
    <sheet name="CS_IS (% sales)" sheetId="20" r:id="rId12"/>
    <sheet name="CS_BS (% sales)" sheetId="40" r:id="rId13"/>
    <sheet name="CS_BS (% assets)" sheetId="21" r:id="rId14"/>
    <sheet name="Drivers" sheetId="22" r:id="rId15"/>
    <sheet name="WACC" sheetId="11" r:id="rId16"/>
    <sheet name="DCF_EP" sheetId="23" r:id="rId17"/>
    <sheet name="Rel_PE" sheetId="15" r:id="rId18"/>
    <sheet name="DDM" sheetId="12" r:id="rId19"/>
    <sheet name="Ratios" sheetId="27" r:id="rId20"/>
    <sheet name="Leases" sheetId="24" r:id="rId21"/>
    <sheet name="Share Change" sheetId="9" r:id="rId22"/>
    <sheet name="ESOP" sheetId="13" r:id="rId23"/>
  </sheets>
  <externalReferences>
    <externalReference r:id="rId24"/>
    <externalReference r:id="rId25"/>
  </externalReferences>
  <definedNames>
    <definedName name="_xlnm.Print_Area" localSheetId="8">BS!$A$1:$AE$40</definedName>
    <definedName name="_xlnm.Print_Area" localSheetId="7">BS_Sorted!$A$1:$T$52</definedName>
    <definedName name="_xlnm.Print_Area" localSheetId="10">CF_F!$A$1:$I$45</definedName>
    <definedName name="_xlnm.Print_Area" localSheetId="9">CF_H!$A$1:$L$58</definedName>
    <definedName name="_xlnm.Print_Area" localSheetId="13">'CS_BS (% assets)'!$A$1:$T$52</definedName>
    <definedName name="_xlnm.Print_Area" localSheetId="12">'CS_BS (% sales)'!$A$1:$T$52</definedName>
    <definedName name="_xlnm.Print_Area" localSheetId="11">'CS_IS (% sales)'!$A$1:$T$34</definedName>
    <definedName name="_xlnm.Print_Area" localSheetId="16">DCF_EP!$A$1:$I$43</definedName>
    <definedName name="_xlnm.Print_Area" localSheetId="18">DDM!$A$1:$I$22</definedName>
    <definedName name="_xlnm.Print_Area" localSheetId="14">Drivers!$A$1:$T$52</definedName>
    <definedName name="_xlnm.Print_Area" localSheetId="4">'Drug Pipeline'!$A$1:$U$67</definedName>
    <definedName name="_xlnm.Print_Area" localSheetId="22">ESOP!$A$1:$F$22</definedName>
    <definedName name="_xlnm.Print_Area" localSheetId="1">Inputs!$O$1:$AG$34</definedName>
    <definedName name="_xlnm.Print_Area" localSheetId="5">IS!$A$1:$L$46</definedName>
    <definedName name="_xlnm.Print_Area" localSheetId="6">IS_Sorted!$A$1:$T$35</definedName>
    <definedName name="_xlnm.Print_Area" localSheetId="20">Leases!$A$1:$M$29</definedName>
    <definedName name="_xlnm.Print_Area" localSheetId="19">Ratios!$A$1:$T$33</definedName>
    <definedName name="_xlnm.Print_Area" localSheetId="17">Rel_PE!$A$1:$I$21</definedName>
    <definedName name="_xlnm.Print_Area" localSheetId="2">Rev!$A$1:$U$62</definedName>
    <definedName name="_xlnm.Print_Area" localSheetId="21">'Share Change'!$A$1:$N$25</definedName>
    <definedName name="_xlnm.Print_Area" localSheetId="15">WACC!$A$1:$I$37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87" i="14" l="1"/>
  <c r="N89" i="14"/>
  <c r="B13" i="14"/>
  <c r="B11" i="14"/>
  <c r="C8" i="11" s="1"/>
  <c r="M7" i="31"/>
  <c r="J29" i="31"/>
  <c r="K29" i="31"/>
  <c r="L29" i="31"/>
  <c r="Q19" i="31" a="1"/>
  <c r="Q19" i="31" s="1"/>
  <c r="R19" i="31" a="1"/>
  <c r="R19" i="31" s="1"/>
  <c r="S19" i="31" a="1"/>
  <c r="S19" i="31"/>
  <c r="T19" i="31" a="1"/>
  <c r="T19" i="31"/>
  <c r="G28" i="27"/>
  <c r="H28" i="27"/>
  <c r="I28" i="27"/>
  <c r="J28" i="27"/>
  <c r="K28" i="27"/>
  <c r="L28" i="27"/>
  <c r="F28" i="27"/>
  <c r="Q57" i="39"/>
  <c r="R57" i="39"/>
  <c r="S57" i="39"/>
  <c r="T57" i="39"/>
  <c r="U57" i="39" s="1"/>
  <c r="P57" i="39"/>
  <c r="O35" i="31"/>
  <c r="P35" i="31"/>
  <c r="Q35" i="31" s="1"/>
  <c r="R35" i="31" s="1"/>
  <c r="S35" i="31" s="1"/>
  <c r="T35" i="31" s="1"/>
  <c r="N35" i="31"/>
  <c r="Q29" i="30" a="1"/>
  <c r="Q29" i="30" s="1"/>
  <c r="R29" i="30" a="1"/>
  <c r="R29" i="30" s="1"/>
  <c r="S29" i="30" a="1"/>
  <c r="S29" i="30" s="1"/>
  <c r="T29" i="30" a="1"/>
  <c r="T29" i="30" s="1"/>
  <c r="B81" i="39"/>
  <c r="M39" i="30"/>
  <c r="N39" i="30" s="1"/>
  <c r="O39" i="30" s="1"/>
  <c r="P39" i="30" s="1"/>
  <c r="Q39" i="30" s="1"/>
  <c r="R39" i="30" s="1"/>
  <c r="S39" i="30" s="1"/>
  <c r="T39" i="30" s="1"/>
  <c r="M17" i="30"/>
  <c r="N17" i="30" s="1"/>
  <c r="O17" i="30" s="1"/>
  <c r="P17" i="30" s="1"/>
  <c r="Q17" i="30" s="1"/>
  <c r="R17" i="30" s="1"/>
  <c r="S17" i="30" s="1"/>
  <c r="T17" i="30" s="1"/>
  <c r="B21" i="23"/>
  <c r="M16" i="31"/>
  <c r="AX5" i="43"/>
  <c r="AX6" i="43"/>
  <c r="AX7" i="43"/>
  <c r="AX8" i="43"/>
  <c r="AX9" i="43"/>
  <c r="AX10" i="43"/>
  <c r="AX11" i="43"/>
  <c r="AX12" i="43"/>
  <c r="AX13" i="43"/>
  <c r="AX14" i="43"/>
  <c r="AX15" i="43"/>
  <c r="AX16" i="43"/>
  <c r="AX17" i="43"/>
  <c r="AX18" i="43"/>
  <c r="AX19" i="43"/>
  <c r="AX20" i="43"/>
  <c r="AX21" i="43"/>
  <c r="AX22" i="43"/>
  <c r="AX23" i="43"/>
  <c r="AX24" i="43"/>
  <c r="AX25" i="43"/>
  <c r="AX26" i="43"/>
  <c r="AX4" i="43"/>
  <c r="AW5" i="43"/>
  <c r="AW6" i="43"/>
  <c r="AW7" i="43"/>
  <c r="AW8" i="43"/>
  <c r="AW9" i="43"/>
  <c r="AW10" i="43"/>
  <c r="AW11" i="43"/>
  <c r="AW12" i="43"/>
  <c r="AW13" i="43"/>
  <c r="AW14" i="43"/>
  <c r="AW15" i="43"/>
  <c r="AW16" i="43"/>
  <c r="AW17" i="43"/>
  <c r="AW18" i="43"/>
  <c r="AW19" i="43"/>
  <c r="AW20" i="43"/>
  <c r="AW21" i="43"/>
  <c r="AW22" i="43"/>
  <c r="AW23" i="43"/>
  <c r="AW24" i="43"/>
  <c r="AW25" i="43"/>
  <c r="AW26" i="43"/>
  <c r="AW4" i="43"/>
  <c r="F44" i="14"/>
  <c r="M46" i="30"/>
  <c r="N46" i="30" s="1"/>
  <c r="M7" i="30"/>
  <c r="J10" i="41"/>
  <c r="K10" i="41"/>
  <c r="L10" i="41"/>
  <c r="M10" i="41"/>
  <c r="N10" i="41"/>
  <c r="I10" i="41"/>
  <c r="E42" i="14"/>
  <c r="F42" i="14" s="1"/>
  <c r="G42" i="14" s="1"/>
  <c r="H42" i="14" s="1"/>
  <c r="I42" i="14" s="1"/>
  <c r="J42" i="14" s="1"/>
  <c r="K42" i="14" s="1"/>
  <c r="N7" i="42"/>
  <c r="N8" i="42"/>
  <c r="N9" i="42"/>
  <c r="N6" i="42"/>
  <c r="U82" i="39"/>
  <c r="I74" i="41"/>
  <c r="M74" i="41"/>
  <c r="J74" i="41"/>
  <c r="A4" i="41"/>
  <c r="A1" i="41"/>
  <c r="G26" i="27"/>
  <c r="H26" i="27"/>
  <c r="I26" i="27"/>
  <c r="J26" i="27"/>
  <c r="K26" i="27"/>
  <c r="L26" i="27"/>
  <c r="F26" i="27"/>
  <c r="L27" i="27"/>
  <c r="G27" i="27"/>
  <c r="H27" i="27"/>
  <c r="I27" i="27"/>
  <c r="J27" i="27"/>
  <c r="K27" i="27"/>
  <c r="F27" i="27"/>
  <c r="G25" i="27"/>
  <c r="H25" i="27"/>
  <c r="I25" i="27"/>
  <c r="J25" i="27"/>
  <c r="K25" i="27"/>
  <c r="L25" i="27"/>
  <c r="F13" i="15"/>
  <c r="I13" i="15"/>
  <c r="F8" i="31"/>
  <c r="T41" i="30" a="1"/>
  <c r="T41" i="30" s="1"/>
  <c r="S41" i="30" a="1"/>
  <c r="S41" i="30" s="1"/>
  <c r="I37" i="30"/>
  <c r="I20" i="31"/>
  <c r="H20" i="31"/>
  <c r="D47" i="14"/>
  <c r="D48" i="14"/>
  <c r="G20" i="31"/>
  <c r="C48" i="14"/>
  <c r="C47" i="14"/>
  <c r="B5" i="23"/>
  <c r="C15" i="11"/>
  <c r="H11" i="22"/>
  <c r="H13" i="15"/>
  <c r="V27" i="14"/>
  <c r="W27" i="14" s="1"/>
  <c r="J45" i="30"/>
  <c r="G84" i="14" a="1"/>
  <c r="G84" i="14" s="1"/>
  <c r="G83" i="14" a="1"/>
  <c r="G83" i="14" s="1"/>
  <c r="G79" i="14" a="1"/>
  <c r="G79" i="14" s="1"/>
  <c r="M80" i="14"/>
  <c r="L80" i="14"/>
  <c r="K80" i="14"/>
  <c r="J80" i="14"/>
  <c r="I80" i="14"/>
  <c r="H80" i="14"/>
  <c r="G80" i="14"/>
  <c r="G76" i="14" a="1"/>
  <c r="G76" i="14" s="1"/>
  <c r="G75" i="14" a="1"/>
  <c r="G75" i="14" s="1"/>
  <c r="H70" i="14"/>
  <c r="I70" i="14"/>
  <c r="J70" i="14"/>
  <c r="K70" i="14"/>
  <c r="L70" i="14"/>
  <c r="M70" i="14"/>
  <c r="H71" i="14"/>
  <c r="I71" i="14"/>
  <c r="J71" i="14"/>
  <c r="K71" i="14"/>
  <c r="L71" i="14"/>
  <c r="M71" i="14"/>
  <c r="G71" i="14"/>
  <c r="G70" i="14"/>
  <c r="E21" i="9"/>
  <c r="L32" i="27"/>
  <c r="K32" i="27"/>
  <c r="J32" i="27"/>
  <c r="I32" i="27"/>
  <c r="H32" i="27"/>
  <c r="G32" i="27"/>
  <c r="K18" i="39"/>
  <c r="K6" i="39" s="1"/>
  <c r="M18" i="39"/>
  <c r="M6" i="39" s="1"/>
  <c r="J38" i="39"/>
  <c r="K38" i="39"/>
  <c r="L38" i="39"/>
  <c r="M38" i="39"/>
  <c r="N38" i="39"/>
  <c r="O38" i="39"/>
  <c r="P38" i="39"/>
  <c r="Q38" i="39"/>
  <c r="R38" i="39"/>
  <c r="S38" i="39"/>
  <c r="T38" i="39"/>
  <c r="U38" i="39"/>
  <c r="I38" i="39"/>
  <c r="J19" i="39"/>
  <c r="K19" i="39"/>
  <c r="L19" i="39"/>
  <c r="M19" i="39"/>
  <c r="N19" i="39"/>
  <c r="O19" i="39"/>
  <c r="P19" i="39"/>
  <c r="Q19" i="39"/>
  <c r="R19" i="39"/>
  <c r="S19" i="39"/>
  <c r="T19" i="39"/>
  <c r="U19" i="39"/>
  <c r="I19" i="39"/>
  <c r="N6" i="39"/>
  <c r="O6" i="39"/>
  <c r="P6" i="39"/>
  <c r="Q6" i="39"/>
  <c r="R6" i="39"/>
  <c r="S6" i="39"/>
  <c r="T6" i="39"/>
  <c r="U6" i="39"/>
  <c r="N7" i="31" l="1"/>
  <c r="O7" i="31"/>
  <c r="E48" i="14"/>
  <c r="O46" i="30"/>
  <c r="G44" i="14"/>
  <c r="H44" i="14" s="1"/>
  <c r="I44" i="14" s="1"/>
  <c r="J44" i="14" s="1"/>
  <c r="K44" i="14" s="1"/>
  <c r="K74" i="41"/>
  <c r="L74" i="41"/>
  <c r="P46" i="30" l="1"/>
  <c r="Q46" i="30" s="1"/>
  <c r="R46" i="30" s="1"/>
  <c r="S46" i="30" s="1"/>
  <c r="T46" i="30" s="1"/>
  <c r="B59" i="23"/>
  <c r="J31" i="27"/>
  <c r="I31" i="27"/>
  <c r="L7" i="27"/>
  <c r="C15" i="15"/>
  <c r="F9" i="22"/>
  <c r="F8" i="22"/>
  <c r="F7" i="22"/>
  <c r="G7" i="31"/>
  <c r="H7" i="31"/>
  <c r="I7" i="31"/>
  <c r="J7" i="31"/>
  <c r="K7" i="31"/>
  <c r="L7" i="31"/>
  <c r="F7" i="31"/>
  <c r="F28" i="22"/>
  <c r="F38" i="22"/>
  <c r="F37" i="22"/>
  <c r="F36" i="22"/>
  <c r="F33" i="22"/>
  <c r="F32" i="22"/>
  <c r="F31" i="22"/>
  <c r="F34" i="22" s="1"/>
  <c r="I39" i="22"/>
  <c r="J39" i="22"/>
  <c r="K39" i="22"/>
  <c r="L39" i="22"/>
  <c r="S39" i="22"/>
  <c r="T39" i="22"/>
  <c r="F29" i="22"/>
  <c r="F27" i="22"/>
  <c r="B41" i="23"/>
  <c r="G12" i="22"/>
  <c r="H12" i="22"/>
  <c r="I12" i="22"/>
  <c r="J12" i="22"/>
  <c r="K12" i="22"/>
  <c r="L12" i="22"/>
  <c r="F12" i="22"/>
  <c r="B19" i="23"/>
  <c r="G9" i="22"/>
  <c r="H9" i="22"/>
  <c r="I9" i="22"/>
  <c r="J9" i="22"/>
  <c r="K9" i="22"/>
  <c r="L9" i="22"/>
  <c r="G45" i="30"/>
  <c r="H45" i="30"/>
  <c r="I45" i="30"/>
  <c r="K45" i="30"/>
  <c r="F37" i="30"/>
  <c r="G37" i="30"/>
  <c r="H37" i="30"/>
  <c r="I43" i="30"/>
  <c r="J37" i="30"/>
  <c r="J43" i="30" s="1"/>
  <c r="K37" i="30"/>
  <c r="K51" i="30"/>
  <c r="G49" i="30"/>
  <c r="G51" i="30" s="1"/>
  <c r="H49" i="30"/>
  <c r="H51" i="30" s="1"/>
  <c r="I49" i="30"/>
  <c r="I51" i="30" s="1"/>
  <c r="F49" i="30"/>
  <c r="F51" i="30" s="1"/>
  <c r="J49" i="30"/>
  <c r="J51" i="30" s="1"/>
  <c r="K49" i="30"/>
  <c r="F43" i="30"/>
  <c r="G43" i="30"/>
  <c r="H43" i="30"/>
  <c r="F16" i="30"/>
  <c r="F27" i="30" s="1"/>
  <c r="G16" i="30"/>
  <c r="G27" i="30" s="1"/>
  <c r="H16" i="30"/>
  <c r="H27" i="30" s="1"/>
  <c r="I16" i="30"/>
  <c r="I27" i="30" s="1"/>
  <c r="J16" i="30"/>
  <c r="J27" i="30" s="1"/>
  <c r="K16" i="30"/>
  <c r="K27" i="30" s="1"/>
  <c r="L45" i="30"/>
  <c r="L49" i="30" s="1"/>
  <c r="L51" i="30" s="1"/>
  <c r="L37" i="30"/>
  <c r="L43" i="30" s="1"/>
  <c r="K52" i="30"/>
  <c r="K43" i="30"/>
  <c r="L16" i="30"/>
  <c r="L27" i="30" s="1"/>
  <c r="F48" i="14"/>
  <c r="C18" i="12"/>
  <c r="B18" i="12"/>
  <c r="B27" i="23"/>
  <c r="B25" i="23"/>
  <c r="B23" i="23"/>
  <c r="B20" i="23"/>
  <c r="B15" i="15" l="1"/>
  <c r="A15" i="15"/>
  <c r="C22" i="11"/>
  <c r="B34" i="28"/>
  <c r="D19" i="28"/>
  <c r="H19" i="28"/>
  <c r="G19" i="28"/>
  <c r="F19" i="28"/>
  <c r="C27" i="28"/>
  <c r="D27" i="28"/>
  <c r="B27" i="28"/>
  <c r="L17" i="21"/>
  <c r="C28" i="28"/>
  <c r="N22" i="30"/>
  <c r="O22" i="30" s="1"/>
  <c r="D28" i="28" s="1"/>
  <c r="M22" i="30"/>
  <c r="B28" i="28" s="1"/>
  <c r="C19" i="28"/>
  <c r="E19" i="28"/>
  <c r="B19" i="28"/>
  <c r="F20" i="31"/>
  <c r="F20" i="20" s="1"/>
  <c r="H20" i="20"/>
  <c r="J20" i="31"/>
  <c r="K20" i="31"/>
  <c r="K20" i="20" s="1"/>
  <c r="C29" i="28"/>
  <c r="D29" i="28"/>
  <c r="E29" i="28"/>
  <c r="F29" i="28"/>
  <c r="G29" i="28"/>
  <c r="H29" i="28"/>
  <c r="I29" i="28"/>
  <c r="B29" i="28"/>
  <c r="N41" i="30" a="1"/>
  <c r="N41" i="30" s="1"/>
  <c r="O41" i="30" s="1" a="1"/>
  <c r="O41" i="30" s="1"/>
  <c r="P41" i="30" s="1" a="1"/>
  <c r="P41" i="30" s="1"/>
  <c r="Q41" i="30" s="1" a="1"/>
  <c r="Q41" i="30" s="1"/>
  <c r="R41" i="30" s="1" a="1"/>
  <c r="R41" i="30" s="1"/>
  <c r="I19" i="28" s="1"/>
  <c r="M41" i="30" a="1"/>
  <c r="M41" i="30" s="1"/>
  <c r="L7" i="21"/>
  <c r="L9" i="21"/>
  <c r="L10" i="21"/>
  <c r="L11" i="21"/>
  <c r="L12" i="21"/>
  <c r="L15" i="21"/>
  <c r="L16" i="21"/>
  <c r="L18" i="21"/>
  <c r="L20" i="21"/>
  <c r="L21" i="21"/>
  <c r="L22" i="21"/>
  <c r="L23" i="21"/>
  <c r="L24" i="21"/>
  <c r="L25" i="21"/>
  <c r="L26" i="21"/>
  <c r="L27" i="21"/>
  <c r="L29" i="21"/>
  <c r="L30" i="21"/>
  <c r="L31" i="21"/>
  <c r="L32" i="21"/>
  <c r="L33" i="21"/>
  <c r="L34" i="21"/>
  <c r="L35" i="21"/>
  <c r="L37" i="21"/>
  <c r="L38" i="21"/>
  <c r="L39" i="21"/>
  <c r="L40" i="21"/>
  <c r="L41" i="21"/>
  <c r="L42" i="21"/>
  <c r="L43" i="21"/>
  <c r="L46" i="21"/>
  <c r="L47" i="21"/>
  <c r="L48" i="21"/>
  <c r="L49" i="21"/>
  <c r="L50" i="21"/>
  <c r="L51" i="21"/>
  <c r="L18" i="39"/>
  <c r="L6" i="39" s="1"/>
  <c r="J18" i="39"/>
  <c r="J6" i="39" s="1"/>
  <c r="I18" i="39"/>
  <c r="I6" i="39" s="1"/>
  <c r="U59" i="39"/>
  <c r="T59" i="39"/>
  <c r="S59" i="39"/>
  <c r="R59" i="39"/>
  <c r="Q59" i="39"/>
  <c r="P59" i="39"/>
  <c r="O59" i="39"/>
  <c r="N59" i="39"/>
  <c r="M59" i="39"/>
  <c r="L59" i="39"/>
  <c r="K59" i="39"/>
  <c r="J59" i="39"/>
  <c r="I59" i="39"/>
  <c r="D34" i="28" l="1"/>
  <c r="C34" i="28"/>
  <c r="O60" i="39"/>
  <c r="J60" i="39"/>
  <c r="G48" i="14"/>
  <c r="E27" i="28"/>
  <c r="P60" i="39"/>
  <c r="U60" i="39"/>
  <c r="N60" i="39"/>
  <c r="T60" i="39"/>
  <c r="Q60" i="39"/>
  <c r="L8" i="21"/>
  <c r="L19" i="21"/>
  <c r="P22" i="30"/>
  <c r="E28" i="28" s="1"/>
  <c r="R60" i="39"/>
  <c r="L60" i="39"/>
  <c r="M60" i="39"/>
  <c r="S60" i="39"/>
  <c r="K60" i="39"/>
  <c r="E34" i="28" l="1"/>
  <c r="H48" i="14"/>
  <c r="F27" i="28"/>
  <c r="Q22" i="30"/>
  <c r="F28" i="28" s="1"/>
  <c r="F34" i="28" l="1"/>
  <c r="I48" i="14"/>
  <c r="G27" i="28"/>
  <c r="L7" i="20"/>
  <c r="M89" i="14" s="1"/>
  <c r="M18" i="30"/>
  <c r="M20" i="30"/>
  <c r="C42" i="14"/>
  <c r="B44" i="28"/>
  <c r="D18" i="12"/>
  <c r="G9" i="31"/>
  <c r="H9" i="31"/>
  <c r="I9" i="31"/>
  <c r="J9" i="31"/>
  <c r="K9" i="31"/>
  <c r="L9" i="31"/>
  <c r="F9" i="31"/>
  <c r="M55" i="14"/>
  <c r="L55" i="14"/>
  <c r="K55" i="14"/>
  <c r="J55" i="14"/>
  <c r="I55" i="14"/>
  <c r="H55" i="14"/>
  <c r="M54" i="14"/>
  <c r="L54" i="14"/>
  <c r="K54" i="14"/>
  <c r="J54" i="14"/>
  <c r="I54" i="14"/>
  <c r="H54" i="14"/>
  <c r="M66" i="14"/>
  <c r="G85" i="14"/>
  <c r="F31" i="27"/>
  <c r="G31" i="27"/>
  <c r="H31" i="27"/>
  <c r="K31" i="27"/>
  <c r="L31" i="27"/>
  <c r="G20" i="27"/>
  <c r="H20" i="27"/>
  <c r="I20" i="27"/>
  <c r="J20" i="27"/>
  <c r="K20" i="27"/>
  <c r="L20" i="27"/>
  <c r="F20" i="27"/>
  <c r="F19" i="27"/>
  <c r="G19" i="27"/>
  <c r="H19" i="27"/>
  <c r="I19" i="27"/>
  <c r="J19" i="27"/>
  <c r="K19" i="27"/>
  <c r="L19" i="27"/>
  <c r="F14" i="27"/>
  <c r="G14" i="27"/>
  <c r="H14" i="27"/>
  <c r="I14" i="27"/>
  <c r="J14" i="27"/>
  <c r="K14" i="27"/>
  <c r="G13" i="27"/>
  <c r="H13" i="27"/>
  <c r="I13" i="27"/>
  <c r="J13" i="27"/>
  <c r="K13" i="27"/>
  <c r="L13" i="27"/>
  <c r="F13" i="27"/>
  <c r="H81" i="14"/>
  <c r="N37" i="22"/>
  <c r="G34" i="20"/>
  <c r="H34" i="20"/>
  <c r="I34" i="20"/>
  <c r="J34" i="20"/>
  <c r="K34" i="20"/>
  <c r="L34" i="20"/>
  <c r="F34" i="20"/>
  <c r="G33" i="20"/>
  <c r="H33" i="20"/>
  <c r="I33" i="20"/>
  <c r="J33" i="20"/>
  <c r="K33" i="20"/>
  <c r="L33" i="20"/>
  <c r="F33" i="20"/>
  <c r="G31" i="20"/>
  <c r="H31" i="20"/>
  <c r="I31" i="20"/>
  <c r="J31" i="20"/>
  <c r="K31" i="20"/>
  <c r="L31" i="20"/>
  <c r="F31" i="20"/>
  <c r="M15" i="30"/>
  <c r="G8" i="21"/>
  <c r="H8" i="21"/>
  <c r="I8" i="21"/>
  <c r="J8" i="21"/>
  <c r="K8" i="21"/>
  <c r="G9" i="21"/>
  <c r="H9" i="21"/>
  <c r="I9" i="21"/>
  <c r="J9" i="21"/>
  <c r="K9" i="21"/>
  <c r="G10" i="21"/>
  <c r="H10" i="21"/>
  <c r="I10" i="21"/>
  <c r="J10" i="21"/>
  <c r="K10" i="21"/>
  <c r="F9" i="21"/>
  <c r="F10" i="21"/>
  <c r="F8" i="21"/>
  <c r="G8" i="40"/>
  <c r="H8" i="40"/>
  <c r="I8" i="40"/>
  <c r="J8" i="40"/>
  <c r="K8" i="40"/>
  <c r="L8" i="40"/>
  <c r="G9" i="40"/>
  <c r="H9" i="40"/>
  <c r="I9" i="40"/>
  <c r="J9" i="40"/>
  <c r="K9" i="40"/>
  <c r="L9" i="40"/>
  <c r="G10" i="40"/>
  <c r="H10" i="40"/>
  <c r="I10" i="40"/>
  <c r="J10" i="40"/>
  <c r="K10" i="40"/>
  <c r="L10" i="40"/>
  <c r="F9" i="40"/>
  <c r="F10" i="40"/>
  <c r="F8" i="40"/>
  <c r="F10" i="27"/>
  <c r="G10" i="27"/>
  <c r="H10" i="27"/>
  <c r="I10" i="27"/>
  <c r="J10" i="27"/>
  <c r="K10" i="27"/>
  <c r="L10" i="27"/>
  <c r="F9" i="27"/>
  <c r="G9" i="27"/>
  <c r="H9" i="27"/>
  <c r="I9" i="27"/>
  <c r="J9" i="27"/>
  <c r="K9" i="27"/>
  <c r="L9" i="27"/>
  <c r="F8" i="27"/>
  <c r="G8" i="27"/>
  <c r="H8" i="27"/>
  <c r="I8" i="27"/>
  <c r="J8" i="27"/>
  <c r="K8" i="27"/>
  <c r="L8" i="27"/>
  <c r="F7" i="27"/>
  <c r="G7" i="27"/>
  <c r="H7" i="27"/>
  <c r="I7" i="27"/>
  <c r="J7" i="27"/>
  <c r="K7" i="27"/>
  <c r="F19" i="31"/>
  <c r="G19" i="31"/>
  <c r="H19" i="31"/>
  <c r="I19" i="31"/>
  <c r="J19" i="31"/>
  <c r="K19" i="31"/>
  <c r="M20" i="1"/>
  <c r="H34" i="28" l="1"/>
  <c r="G34" i="28"/>
  <c r="K48" i="14"/>
  <c r="J48" i="14"/>
  <c r="I27" i="28"/>
  <c r="H27" i="28"/>
  <c r="B26" i="28"/>
  <c r="B13" i="28"/>
  <c r="N18" i="30"/>
  <c r="M85" i="14"/>
  <c r="G81" i="14"/>
  <c r="H85" i="14"/>
  <c r="E18" i="12"/>
  <c r="N20" i="30"/>
  <c r="M29" i="22"/>
  <c r="N7" i="30"/>
  <c r="K81" i="14"/>
  <c r="I81" i="14"/>
  <c r="G77" i="14"/>
  <c r="I85" i="14"/>
  <c r="N15" i="30"/>
  <c r="L85" i="14"/>
  <c r="K85" i="14"/>
  <c r="B24" i="28"/>
  <c r="M81" i="14"/>
  <c r="J85" i="14"/>
  <c r="L81" i="14"/>
  <c r="J81" i="14"/>
  <c r="I77" i="14"/>
  <c r="M77" i="14"/>
  <c r="L77" i="14"/>
  <c r="M37" i="22"/>
  <c r="K77" i="14"/>
  <c r="J77" i="14"/>
  <c r="H77" i="14"/>
  <c r="I34" i="28" l="1"/>
  <c r="O18" i="30"/>
  <c r="C26" i="28"/>
  <c r="O7" i="30"/>
  <c r="P7" i="30" s="1"/>
  <c r="N81" i="14"/>
  <c r="F18" i="12"/>
  <c r="O20" i="30"/>
  <c r="P20" i="30" s="1"/>
  <c r="C24" i="28"/>
  <c r="N85" i="14"/>
  <c r="N29" i="22"/>
  <c r="C13" i="28"/>
  <c r="O15" i="30"/>
  <c r="O37" i="22"/>
  <c r="N77" i="14"/>
  <c r="D26" i="28" l="1"/>
  <c r="D24" i="28"/>
  <c r="E24" i="28"/>
  <c r="D13" i="28"/>
  <c r="P18" i="30"/>
  <c r="Q18" i="30" s="1"/>
  <c r="G18" i="12"/>
  <c r="Q20" i="30"/>
  <c r="P37" i="22"/>
  <c r="R10" i="31"/>
  <c r="P15" i="30"/>
  <c r="O29" i="22"/>
  <c r="Q7" i="30"/>
  <c r="E13" i="28" l="1"/>
  <c r="F24" i="28"/>
  <c r="E26" i="28"/>
  <c r="R22" i="30"/>
  <c r="G28" i="28" s="1"/>
  <c r="H18" i="12"/>
  <c r="R20" i="30"/>
  <c r="Q37" i="22"/>
  <c r="P29" i="22"/>
  <c r="Q15" i="30"/>
  <c r="R7" i="30"/>
  <c r="G33" i="28" l="1"/>
  <c r="G24" i="28"/>
  <c r="F26" i="28"/>
  <c r="F13" i="28"/>
  <c r="R18" i="30"/>
  <c r="S10" i="31"/>
  <c r="S20" i="30"/>
  <c r="R37" i="22"/>
  <c r="R15" i="30"/>
  <c r="Q29" i="22"/>
  <c r="S7" i="30"/>
  <c r="H33" i="28" l="1"/>
  <c r="I33" i="28"/>
  <c r="S22" i="30"/>
  <c r="H28" i="28" s="1"/>
  <c r="G13" i="28"/>
  <c r="S18" i="30"/>
  <c r="G26" i="28"/>
  <c r="T20" i="30"/>
  <c r="T7" i="30"/>
  <c r="H24" i="28"/>
  <c r="R29" i="22"/>
  <c r="S15" i="30"/>
  <c r="T15" i="30" s="1"/>
  <c r="S37" i="22" l="1"/>
  <c r="T10" i="31"/>
  <c r="T22" i="30" s="1"/>
  <c r="T37" i="22" s="1"/>
  <c r="H13" i="28"/>
  <c r="H26" i="28"/>
  <c r="I24" i="28"/>
  <c r="T18" i="30"/>
  <c r="S29" i="22"/>
  <c r="I28" i="28" l="1"/>
  <c r="I13" i="28"/>
  <c r="I26" i="28"/>
  <c r="T29" i="22"/>
  <c r="H36" i="21" l="1"/>
  <c r="F7" i="21"/>
  <c r="G7" i="21"/>
  <c r="H7" i="21"/>
  <c r="I7" i="21"/>
  <c r="J7" i="21"/>
  <c r="K7" i="21"/>
  <c r="F11" i="21"/>
  <c r="G11" i="21"/>
  <c r="H11" i="21"/>
  <c r="I11" i="21"/>
  <c r="J11" i="21"/>
  <c r="K11" i="21"/>
  <c r="F12" i="21"/>
  <c r="G12" i="21"/>
  <c r="H12" i="21"/>
  <c r="I12" i="21"/>
  <c r="J12" i="21"/>
  <c r="K12" i="21"/>
  <c r="J13" i="21"/>
  <c r="F14" i="21"/>
  <c r="G14" i="21"/>
  <c r="H14" i="21"/>
  <c r="I14" i="21"/>
  <c r="F15" i="21"/>
  <c r="G15" i="21"/>
  <c r="H15" i="21"/>
  <c r="I15" i="21"/>
  <c r="J15" i="21"/>
  <c r="K15" i="21"/>
  <c r="F16" i="21"/>
  <c r="G16" i="21"/>
  <c r="H16" i="21"/>
  <c r="I16" i="21"/>
  <c r="J16" i="21"/>
  <c r="K16" i="21"/>
  <c r="I17" i="21"/>
  <c r="J17" i="21"/>
  <c r="K17" i="21"/>
  <c r="F18" i="21"/>
  <c r="G18" i="21"/>
  <c r="H18" i="21"/>
  <c r="I18" i="21"/>
  <c r="J18" i="21"/>
  <c r="K18" i="21"/>
  <c r="F20" i="21"/>
  <c r="G20" i="21"/>
  <c r="H20" i="21"/>
  <c r="I20" i="21"/>
  <c r="J20" i="21"/>
  <c r="K20" i="21"/>
  <c r="F21" i="21"/>
  <c r="G21" i="21"/>
  <c r="H21" i="21"/>
  <c r="I21" i="21"/>
  <c r="J21" i="21"/>
  <c r="K21" i="21"/>
  <c r="F19" i="21"/>
  <c r="G19" i="21"/>
  <c r="H19" i="21"/>
  <c r="I19" i="21"/>
  <c r="J19" i="21"/>
  <c r="K19" i="21"/>
  <c r="F22" i="21"/>
  <c r="G22" i="21"/>
  <c r="H22" i="21"/>
  <c r="I22" i="21"/>
  <c r="J22" i="21"/>
  <c r="K22" i="21"/>
  <c r="F23" i="21"/>
  <c r="G23" i="21"/>
  <c r="H23" i="21"/>
  <c r="I23" i="21"/>
  <c r="J23" i="21"/>
  <c r="K23" i="21"/>
  <c r="F24" i="21"/>
  <c r="G24" i="21"/>
  <c r="H24" i="21"/>
  <c r="I24" i="21"/>
  <c r="J24" i="21"/>
  <c r="K24" i="21"/>
  <c r="F25" i="21"/>
  <c r="G25" i="21"/>
  <c r="H25" i="21"/>
  <c r="I25" i="21"/>
  <c r="J25" i="21"/>
  <c r="K25" i="21"/>
  <c r="I26" i="21"/>
  <c r="J26" i="21"/>
  <c r="K26" i="21"/>
  <c r="F27" i="21"/>
  <c r="G27" i="21"/>
  <c r="H27" i="21"/>
  <c r="I27" i="21"/>
  <c r="J27" i="21"/>
  <c r="K27" i="21"/>
  <c r="F29" i="21"/>
  <c r="G29" i="21"/>
  <c r="H29" i="21"/>
  <c r="I29" i="21"/>
  <c r="J29" i="21"/>
  <c r="K29" i="21"/>
  <c r="F30" i="21"/>
  <c r="G30" i="21"/>
  <c r="H30" i="21"/>
  <c r="I30" i="21"/>
  <c r="J30" i="21"/>
  <c r="K30" i="21"/>
  <c r="F31" i="21"/>
  <c r="G31" i="21"/>
  <c r="H31" i="21"/>
  <c r="I31" i="21"/>
  <c r="J31" i="21"/>
  <c r="K31" i="21"/>
  <c r="F32" i="21"/>
  <c r="G32" i="21"/>
  <c r="H32" i="21"/>
  <c r="I32" i="21"/>
  <c r="J32" i="21"/>
  <c r="K32" i="21"/>
  <c r="F33" i="21"/>
  <c r="G33" i="21"/>
  <c r="H33" i="21"/>
  <c r="I33" i="21"/>
  <c r="J33" i="21"/>
  <c r="K33" i="21"/>
  <c r="K34" i="21"/>
  <c r="F35" i="21"/>
  <c r="G35" i="21"/>
  <c r="H35" i="21"/>
  <c r="I35" i="21"/>
  <c r="J35" i="21"/>
  <c r="K35" i="21"/>
  <c r="F37" i="21"/>
  <c r="G37" i="21"/>
  <c r="H37" i="21"/>
  <c r="I37" i="21"/>
  <c r="J37" i="21"/>
  <c r="K37" i="21"/>
  <c r="F38" i="21"/>
  <c r="G38" i="21"/>
  <c r="H38" i="21"/>
  <c r="I38" i="21"/>
  <c r="J38" i="21"/>
  <c r="K38" i="21"/>
  <c r="F40" i="21"/>
  <c r="G40" i="21"/>
  <c r="H40" i="21"/>
  <c r="I40" i="21"/>
  <c r="J40" i="21"/>
  <c r="K40" i="21"/>
  <c r="F41" i="21"/>
  <c r="G41" i="21"/>
  <c r="H41" i="21"/>
  <c r="I41" i="21"/>
  <c r="J41" i="21"/>
  <c r="K41" i="21"/>
  <c r="F42" i="21"/>
  <c r="G42" i="21"/>
  <c r="H42" i="21"/>
  <c r="I42" i="21"/>
  <c r="J42" i="21"/>
  <c r="K42" i="21"/>
  <c r="F43" i="21"/>
  <c r="G43" i="21"/>
  <c r="H43" i="21"/>
  <c r="I43" i="21"/>
  <c r="J43" i="21"/>
  <c r="K43" i="21"/>
  <c r="F44" i="21"/>
  <c r="G44" i="21"/>
  <c r="H44" i="21"/>
  <c r="I44" i="21"/>
  <c r="F46" i="21"/>
  <c r="G46" i="21"/>
  <c r="H46" i="21"/>
  <c r="I46" i="21"/>
  <c r="J46" i="21"/>
  <c r="K46" i="21"/>
  <c r="F47" i="21"/>
  <c r="G47" i="21"/>
  <c r="H47" i="21"/>
  <c r="I47" i="21"/>
  <c r="J47" i="21"/>
  <c r="K47" i="21"/>
  <c r="F48" i="21"/>
  <c r="G48" i="21"/>
  <c r="H48" i="21"/>
  <c r="I48" i="21"/>
  <c r="J48" i="21"/>
  <c r="K48" i="21"/>
  <c r="F49" i="21"/>
  <c r="G49" i="21"/>
  <c r="H49" i="21"/>
  <c r="I49" i="21"/>
  <c r="J49" i="21"/>
  <c r="K49" i="21"/>
  <c r="F50" i="21"/>
  <c r="G50" i="21"/>
  <c r="H50" i="21"/>
  <c r="I50" i="21"/>
  <c r="J50" i="21"/>
  <c r="K50" i="21"/>
  <c r="F51" i="21"/>
  <c r="G51" i="21"/>
  <c r="H51" i="21"/>
  <c r="I51" i="21"/>
  <c r="J51" i="21"/>
  <c r="K51" i="21"/>
  <c r="G6" i="21"/>
  <c r="H6" i="21"/>
  <c r="I6" i="21"/>
  <c r="J6" i="21"/>
  <c r="K6" i="21"/>
  <c r="L6" i="21"/>
  <c r="F6" i="21"/>
  <c r="F7" i="40"/>
  <c r="G7" i="40"/>
  <c r="H7" i="40"/>
  <c r="I7" i="40"/>
  <c r="J7" i="40"/>
  <c r="K7" i="40"/>
  <c r="L7" i="40"/>
  <c r="F11" i="40"/>
  <c r="G11" i="40"/>
  <c r="H11" i="40"/>
  <c r="I11" i="40"/>
  <c r="J11" i="40"/>
  <c r="K11" i="40"/>
  <c r="L11" i="40"/>
  <c r="F12" i="40"/>
  <c r="G12" i="40"/>
  <c r="H12" i="40"/>
  <c r="I12" i="40"/>
  <c r="J12" i="40"/>
  <c r="K12" i="40"/>
  <c r="L12" i="40"/>
  <c r="J13" i="40"/>
  <c r="F14" i="40"/>
  <c r="G14" i="40"/>
  <c r="H14" i="40"/>
  <c r="I14" i="40"/>
  <c r="F15" i="40"/>
  <c r="G15" i="40"/>
  <c r="H15" i="40"/>
  <c r="I15" i="40"/>
  <c r="J15" i="40"/>
  <c r="K15" i="40"/>
  <c r="L15" i="40"/>
  <c r="F16" i="40"/>
  <c r="G16" i="40"/>
  <c r="H16" i="40"/>
  <c r="I16" i="40"/>
  <c r="J16" i="40"/>
  <c r="K16" i="40"/>
  <c r="L16" i="40"/>
  <c r="I17" i="40"/>
  <c r="J17" i="40"/>
  <c r="K17" i="40"/>
  <c r="L17" i="40"/>
  <c r="F18" i="40"/>
  <c r="G18" i="40"/>
  <c r="H18" i="40"/>
  <c r="I18" i="40"/>
  <c r="J18" i="40"/>
  <c r="K18" i="40"/>
  <c r="L18" i="40"/>
  <c r="F20" i="40"/>
  <c r="G20" i="40"/>
  <c r="H20" i="40"/>
  <c r="I20" i="40"/>
  <c r="J20" i="40"/>
  <c r="K20" i="40"/>
  <c r="L20" i="40"/>
  <c r="F21" i="40"/>
  <c r="G21" i="40"/>
  <c r="H21" i="40"/>
  <c r="I21" i="40"/>
  <c r="J21" i="40"/>
  <c r="K21" i="40"/>
  <c r="L21" i="40"/>
  <c r="F19" i="40"/>
  <c r="G19" i="40"/>
  <c r="H19" i="40"/>
  <c r="I19" i="40"/>
  <c r="J19" i="40"/>
  <c r="K19" i="40"/>
  <c r="L19" i="40"/>
  <c r="F22" i="40"/>
  <c r="G22" i="40"/>
  <c r="H22" i="40"/>
  <c r="I22" i="40"/>
  <c r="J22" i="40"/>
  <c r="K22" i="40"/>
  <c r="L22" i="40"/>
  <c r="F23" i="40"/>
  <c r="G23" i="40"/>
  <c r="H23" i="40"/>
  <c r="I23" i="40"/>
  <c r="J23" i="40"/>
  <c r="K23" i="40"/>
  <c r="L23" i="40"/>
  <c r="F24" i="40"/>
  <c r="G24" i="40"/>
  <c r="H24" i="40"/>
  <c r="I24" i="40"/>
  <c r="J24" i="40"/>
  <c r="K24" i="40"/>
  <c r="L24" i="40"/>
  <c r="F25" i="40"/>
  <c r="G25" i="40"/>
  <c r="H25" i="40"/>
  <c r="I25" i="40"/>
  <c r="J25" i="40"/>
  <c r="K25" i="40"/>
  <c r="L25" i="40"/>
  <c r="I26" i="40"/>
  <c r="J26" i="40"/>
  <c r="K26" i="40"/>
  <c r="L26" i="40"/>
  <c r="F27" i="40"/>
  <c r="G27" i="40"/>
  <c r="H27" i="40"/>
  <c r="I27" i="40"/>
  <c r="J27" i="40"/>
  <c r="K27" i="40"/>
  <c r="L27" i="40"/>
  <c r="F29" i="40"/>
  <c r="G29" i="40"/>
  <c r="H29" i="40"/>
  <c r="I29" i="40"/>
  <c r="J29" i="40"/>
  <c r="K29" i="40"/>
  <c r="L29" i="40"/>
  <c r="F30" i="40"/>
  <c r="G30" i="40"/>
  <c r="H30" i="40"/>
  <c r="I30" i="40"/>
  <c r="J30" i="40"/>
  <c r="K30" i="40"/>
  <c r="L30" i="40"/>
  <c r="F31" i="40"/>
  <c r="G31" i="40"/>
  <c r="H31" i="40"/>
  <c r="I31" i="40"/>
  <c r="J31" i="40"/>
  <c r="K31" i="40"/>
  <c r="L31" i="40"/>
  <c r="F32" i="40"/>
  <c r="G32" i="40"/>
  <c r="H32" i="40"/>
  <c r="I32" i="40"/>
  <c r="J32" i="40"/>
  <c r="K32" i="40"/>
  <c r="L32" i="40"/>
  <c r="F33" i="40"/>
  <c r="G33" i="40"/>
  <c r="H33" i="40"/>
  <c r="I33" i="40"/>
  <c r="J33" i="40"/>
  <c r="K33" i="40"/>
  <c r="L33" i="40"/>
  <c r="K34" i="40"/>
  <c r="L34" i="40"/>
  <c r="F35" i="40"/>
  <c r="G35" i="40"/>
  <c r="H35" i="40"/>
  <c r="I35" i="40"/>
  <c r="J35" i="40"/>
  <c r="K35" i="40"/>
  <c r="L35" i="40"/>
  <c r="H36" i="40"/>
  <c r="F37" i="40"/>
  <c r="G37" i="40"/>
  <c r="H37" i="40"/>
  <c r="I37" i="40"/>
  <c r="J37" i="40"/>
  <c r="K37" i="40"/>
  <c r="L37" i="40"/>
  <c r="F38" i="40"/>
  <c r="G38" i="40"/>
  <c r="H38" i="40"/>
  <c r="I38" i="40"/>
  <c r="J38" i="40"/>
  <c r="K38" i="40"/>
  <c r="L38" i="40"/>
  <c r="F40" i="40"/>
  <c r="G40" i="40"/>
  <c r="H40" i="40"/>
  <c r="I40" i="40"/>
  <c r="J40" i="40"/>
  <c r="K40" i="40"/>
  <c r="L40" i="40"/>
  <c r="F41" i="40"/>
  <c r="G41" i="40"/>
  <c r="H41" i="40"/>
  <c r="I41" i="40"/>
  <c r="J41" i="40"/>
  <c r="K41" i="40"/>
  <c r="L41" i="40"/>
  <c r="F42" i="40"/>
  <c r="G42" i="40"/>
  <c r="H42" i="40"/>
  <c r="I42" i="40"/>
  <c r="J42" i="40"/>
  <c r="K42" i="40"/>
  <c r="L42" i="40"/>
  <c r="F43" i="40"/>
  <c r="G43" i="40"/>
  <c r="H43" i="40"/>
  <c r="I43" i="40"/>
  <c r="J43" i="40"/>
  <c r="K43" i="40"/>
  <c r="L43" i="40"/>
  <c r="F44" i="40"/>
  <c r="G44" i="40"/>
  <c r="H44" i="40"/>
  <c r="I44" i="40"/>
  <c r="F46" i="40"/>
  <c r="G46" i="40"/>
  <c r="H46" i="40"/>
  <c r="I46" i="40"/>
  <c r="J46" i="40"/>
  <c r="K46" i="40"/>
  <c r="L46" i="40"/>
  <c r="F47" i="40"/>
  <c r="G47" i="40"/>
  <c r="H47" i="40"/>
  <c r="I47" i="40"/>
  <c r="J47" i="40"/>
  <c r="K47" i="40"/>
  <c r="L47" i="40"/>
  <c r="F48" i="40"/>
  <c r="G48" i="40"/>
  <c r="H48" i="40"/>
  <c r="I48" i="40"/>
  <c r="J48" i="40"/>
  <c r="K48" i="40"/>
  <c r="L48" i="40"/>
  <c r="F49" i="40"/>
  <c r="G49" i="40"/>
  <c r="H49" i="40"/>
  <c r="I49" i="40"/>
  <c r="J49" i="40"/>
  <c r="K49" i="40"/>
  <c r="L49" i="40"/>
  <c r="F50" i="40"/>
  <c r="G50" i="40"/>
  <c r="H50" i="40"/>
  <c r="I50" i="40"/>
  <c r="J50" i="40"/>
  <c r="K50" i="40"/>
  <c r="L50" i="40"/>
  <c r="F51" i="40"/>
  <c r="G51" i="40"/>
  <c r="H51" i="40"/>
  <c r="I51" i="40"/>
  <c r="J51" i="40"/>
  <c r="K51" i="40"/>
  <c r="L51" i="40"/>
  <c r="G6" i="40"/>
  <c r="H6" i="40"/>
  <c r="I6" i="40"/>
  <c r="J6" i="40"/>
  <c r="K6" i="40"/>
  <c r="L6" i="40"/>
  <c r="F6" i="40"/>
  <c r="B27" i="14"/>
  <c r="C27" i="14"/>
  <c r="D27" i="14"/>
  <c r="E27" i="14"/>
  <c r="F27" i="14"/>
  <c r="G27" i="14"/>
  <c r="H27" i="14"/>
  <c r="C26" i="14"/>
  <c r="D26" i="14"/>
  <c r="E26" i="14"/>
  <c r="F26" i="14"/>
  <c r="G26" i="14"/>
  <c r="H26" i="14"/>
  <c r="B26" i="14"/>
  <c r="D49" i="14"/>
  <c r="C49" i="14"/>
  <c r="M17" i="31"/>
  <c r="F15" i="20"/>
  <c r="G15" i="20"/>
  <c r="H15" i="20"/>
  <c r="I15" i="20"/>
  <c r="J15" i="20"/>
  <c r="K15" i="20"/>
  <c r="F16" i="20"/>
  <c r="G16" i="20"/>
  <c r="H16" i="20"/>
  <c r="I16" i="20"/>
  <c r="J16" i="20"/>
  <c r="K16" i="20"/>
  <c r="L16" i="20"/>
  <c r="F17" i="20"/>
  <c r="G17" i="20"/>
  <c r="H17" i="20"/>
  <c r="I17" i="20"/>
  <c r="J17" i="20"/>
  <c r="K17" i="20"/>
  <c r="L17" i="20"/>
  <c r="F18" i="20"/>
  <c r="G18" i="20"/>
  <c r="H18" i="20"/>
  <c r="I18" i="20"/>
  <c r="J18" i="20"/>
  <c r="K18" i="20"/>
  <c r="L18" i="20"/>
  <c r="F19" i="20"/>
  <c r="G19" i="20"/>
  <c r="H19" i="20"/>
  <c r="I19" i="20"/>
  <c r="J19" i="20"/>
  <c r="K19" i="20"/>
  <c r="F21" i="20"/>
  <c r="G21" i="20"/>
  <c r="H21" i="20"/>
  <c r="I21" i="20"/>
  <c r="J21" i="20"/>
  <c r="K21" i="20"/>
  <c r="L21" i="20"/>
  <c r="F22" i="20"/>
  <c r="G22" i="20"/>
  <c r="H22" i="20"/>
  <c r="I22" i="20"/>
  <c r="J22" i="20"/>
  <c r="K22" i="20"/>
  <c r="L22" i="20"/>
  <c r="F23" i="20"/>
  <c r="G23" i="20"/>
  <c r="H23" i="20"/>
  <c r="I23" i="20"/>
  <c r="J23" i="20"/>
  <c r="K23" i="20"/>
  <c r="L23" i="20"/>
  <c r="F24" i="20"/>
  <c r="G24" i="20"/>
  <c r="H24" i="20"/>
  <c r="I24" i="20"/>
  <c r="J24" i="20"/>
  <c r="G25" i="20"/>
  <c r="F26" i="20"/>
  <c r="G26" i="20"/>
  <c r="H26" i="20"/>
  <c r="I26" i="20"/>
  <c r="K26" i="20"/>
  <c r="L26" i="20"/>
  <c r="F27" i="20"/>
  <c r="G27" i="20"/>
  <c r="H27" i="20"/>
  <c r="I27" i="20"/>
  <c r="J27" i="20"/>
  <c r="K27" i="20"/>
  <c r="L27" i="20"/>
  <c r="F28" i="20"/>
  <c r="G28" i="20"/>
  <c r="H28" i="20"/>
  <c r="I28" i="20"/>
  <c r="J28" i="20"/>
  <c r="K28" i="20"/>
  <c r="L28" i="20"/>
  <c r="F29" i="20"/>
  <c r="G29" i="20"/>
  <c r="H29" i="20"/>
  <c r="I29" i="20"/>
  <c r="F30" i="20"/>
  <c r="G30" i="20"/>
  <c r="H30" i="20"/>
  <c r="G14" i="20"/>
  <c r="H14" i="20"/>
  <c r="I14" i="20"/>
  <c r="J14" i="20"/>
  <c r="K14" i="20"/>
  <c r="L14" i="20"/>
  <c r="F14" i="20"/>
  <c r="F11" i="20"/>
  <c r="G11" i="20"/>
  <c r="H11" i="20"/>
  <c r="I11" i="20"/>
  <c r="J11" i="20"/>
  <c r="K11" i="20"/>
  <c r="L11" i="20"/>
  <c r="F12" i="20"/>
  <c r="G87" i="14" s="1"/>
  <c r="G12" i="20"/>
  <c r="H87" i="14" s="1"/>
  <c r="H12" i="20"/>
  <c r="I87" i="14" s="1"/>
  <c r="I12" i="20"/>
  <c r="J87" i="14" s="1"/>
  <c r="J12" i="20"/>
  <c r="K87" i="14" s="1"/>
  <c r="K12" i="20"/>
  <c r="L87" i="14" s="1"/>
  <c r="L12" i="20"/>
  <c r="M87" i="14" s="1"/>
  <c r="L13" i="20"/>
  <c r="G10" i="20"/>
  <c r="H10" i="20"/>
  <c r="I10" i="20"/>
  <c r="J10" i="20"/>
  <c r="K10" i="20"/>
  <c r="L10" i="20"/>
  <c r="F10" i="20"/>
  <c r="L9" i="20"/>
  <c r="G5" i="20"/>
  <c r="H5" i="20"/>
  <c r="I5" i="20"/>
  <c r="J5" i="20"/>
  <c r="K5" i="20"/>
  <c r="L5" i="20"/>
  <c r="F5" i="20"/>
  <c r="L7" i="39"/>
  <c r="J20" i="39"/>
  <c r="M20" i="39"/>
  <c r="O20" i="39"/>
  <c r="P20" i="39"/>
  <c r="Q20" i="39"/>
  <c r="L39" i="39"/>
  <c r="N39" i="39"/>
  <c r="P39" i="39"/>
  <c r="Q39" i="39"/>
  <c r="R39" i="39"/>
  <c r="L20" i="39" l="1"/>
  <c r="U39" i="39"/>
  <c r="K39" i="39"/>
  <c r="K20" i="39"/>
  <c r="J39" i="39"/>
  <c r="U7" i="39"/>
  <c r="M39" i="39"/>
  <c r="S39" i="39"/>
  <c r="R20" i="39"/>
  <c r="Q7" i="39"/>
  <c r="U20" i="39"/>
  <c r="N20" i="39"/>
  <c r="T39" i="39"/>
  <c r="P7" i="39"/>
  <c r="O39" i="39"/>
  <c r="U5" i="39"/>
  <c r="T5" i="31" s="1"/>
  <c r="M5" i="39"/>
  <c r="N82" i="39" s="1"/>
  <c r="K7" i="39"/>
  <c r="S20" i="39"/>
  <c r="R7" i="39"/>
  <c r="J7" i="39"/>
  <c r="S7" i="39"/>
  <c r="M7" i="39"/>
  <c r="H28" i="14"/>
  <c r="F28" i="14"/>
  <c r="T7" i="39"/>
  <c r="E28" i="14"/>
  <c r="D28" i="14"/>
  <c r="C28" i="14"/>
  <c r="B28" i="14"/>
  <c r="G28" i="14"/>
  <c r="T20" i="39"/>
  <c r="T5" i="39"/>
  <c r="S5" i="31" s="1"/>
  <c r="O7" i="39"/>
  <c r="N7" i="39"/>
  <c r="I5" i="39"/>
  <c r="J82" i="39" s="1"/>
  <c r="L5" i="39"/>
  <c r="M82" i="39" s="1"/>
  <c r="J5" i="39"/>
  <c r="K82" i="39" s="1"/>
  <c r="K5" i="39"/>
  <c r="L82" i="39" s="1"/>
  <c r="Q5" i="39"/>
  <c r="P11" i="30" s="1"/>
  <c r="R5" i="39"/>
  <c r="Q11" i="30" s="1"/>
  <c r="O5" i="39"/>
  <c r="N11" i="30" s="1"/>
  <c r="S5" i="39"/>
  <c r="R11" i="30" s="1"/>
  <c r="P5" i="39"/>
  <c r="O11" i="30" s="1"/>
  <c r="N5" i="39"/>
  <c r="M11" i="30" s="1"/>
  <c r="I28" i="14" l="1"/>
  <c r="S25" i="30"/>
  <c r="S12" i="31"/>
  <c r="T35" i="30"/>
  <c r="T12" i="31"/>
  <c r="S34" i="30"/>
  <c r="S32" i="22" s="1"/>
  <c r="S35" i="30"/>
  <c r="S42" i="30"/>
  <c r="T42" i="30"/>
  <c r="S33" i="30"/>
  <c r="F12" i="28"/>
  <c r="T34" i="30"/>
  <c r="S30" i="30"/>
  <c r="T18" i="31"/>
  <c r="T48" i="40"/>
  <c r="T14" i="31"/>
  <c r="T23" i="40"/>
  <c r="T29" i="40"/>
  <c r="T9" i="30"/>
  <c r="T10" i="30"/>
  <c r="T20" i="40"/>
  <c r="T22" i="40"/>
  <c r="T10" i="20"/>
  <c r="T7" i="40"/>
  <c r="T18" i="40"/>
  <c r="T46" i="40"/>
  <c r="T15" i="40"/>
  <c r="T17" i="40"/>
  <c r="T33" i="30"/>
  <c r="T25" i="30"/>
  <c r="T5" i="20"/>
  <c r="S11" i="30"/>
  <c r="H12" i="28" s="1"/>
  <c r="T11" i="30"/>
  <c r="T30" i="30"/>
  <c r="S48" i="40"/>
  <c r="S23" i="40"/>
  <c r="S18" i="31"/>
  <c r="S14" i="31"/>
  <c r="S29" i="40"/>
  <c r="S10" i="30"/>
  <c r="S9" i="30"/>
  <c r="S7" i="40"/>
  <c r="S22" i="40"/>
  <c r="S20" i="40"/>
  <c r="S10" i="20"/>
  <c r="S46" i="40"/>
  <c r="S17" i="40"/>
  <c r="S18" i="40"/>
  <c r="S15" i="40"/>
  <c r="G12" i="28"/>
  <c r="D12" i="28"/>
  <c r="T7" i="22"/>
  <c r="M5" i="31"/>
  <c r="S7" i="22"/>
  <c r="S5" i="20"/>
  <c r="P5" i="31"/>
  <c r="O5" i="31"/>
  <c r="R5" i="31"/>
  <c r="Q5" i="31"/>
  <c r="N5" i="31"/>
  <c r="L38" i="22"/>
  <c r="I21" i="28" l="1"/>
  <c r="P19" i="31" a="1"/>
  <c r="P19" i="31" s="1"/>
  <c r="P29" i="30" a="1"/>
  <c r="P29" i="30" s="1"/>
  <c r="F33" i="28" s="1"/>
  <c r="O19" i="31" a="1"/>
  <c r="O19" i="31" s="1"/>
  <c r="O29" i="30" a="1"/>
  <c r="O29" i="30" s="1"/>
  <c r="N19" i="31" a="1"/>
  <c r="N19" i="31" s="1"/>
  <c r="N29" i="30" a="1"/>
  <c r="N29" i="30" s="1"/>
  <c r="M19" i="31" a="1"/>
  <c r="M19" i="31" s="1"/>
  <c r="M29" i="30" a="1"/>
  <c r="M29" i="30" s="1"/>
  <c r="I17" i="28"/>
  <c r="I20" i="28"/>
  <c r="T32" i="22"/>
  <c r="N12" i="31"/>
  <c r="M12" i="31"/>
  <c r="M12" i="20" s="1"/>
  <c r="Q12" i="31"/>
  <c r="R12" i="31"/>
  <c r="P12" i="31"/>
  <c r="O12" i="31"/>
  <c r="I16" i="28"/>
  <c r="I12" i="28"/>
  <c r="Q14" i="31"/>
  <c r="Q48" i="40"/>
  <c r="Q10" i="20"/>
  <c r="Q29" i="40"/>
  <c r="Q23" i="40"/>
  <c r="Q18" i="31"/>
  <c r="Q22" i="40"/>
  <c r="Q10" i="30"/>
  <c r="Q9" i="30"/>
  <c r="Q7" i="40"/>
  <c r="Q20" i="40"/>
  <c r="Q17" i="40"/>
  <c r="Q15" i="40"/>
  <c r="Q18" i="40"/>
  <c r="Q46" i="40"/>
  <c r="Q30" i="30"/>
  <c r="Q35" i="30"/>
  <c r="Q25" i="30"/>
  <c r="Q34" i="30"/>
  <c r="Q33" i="30"/>
  <c r="Q42" i="30"/>
  <c r="S12" i="22"/>
  <c r="S14" i="20"/>
  <c r="N10" i="20"/>
  <c r="N22" i="40"/>
  <c r="N14" i="31"/>
  <c r="N23" i="40"/>
  <c r="N18" i="31"/>
  <c r="N48" i="40"/>
  <c r="N10" i="30"/>
  <c r="N9" i="30"/>
  <c r="N20" i="40"/>
  <c r="N15" i="40"/>
  <c r="N18" i="40"/>
  <c r="N17" i="40"/>
  <c r="N7" i="40"/>
  <c r="N46" i="40"/>
  <c r="N25" i="30"/>
  <c r="N35" i="30"/>
  <c r="N34" i="30"/>
  <c r="N42" i="30"/>
  <c r="N30" i="30"/>
  <c r="N33" i="30"/>
  <c r="P14" i="31"/>
  <c r="P10" i="20"/>
  <c r="P29" i="40"/>
  <c r="P23" i="40"/>
  <c r="P18" i="31"/>
  <c r="P48" i="40"/>
  <c r="P22" i="40"/>
  <c r="P10" i="30"/>
  <c r="P9" i="30"/>
  <c r="P20" i="40"/>
  <c r="P7" i="40"/>
  <c r="P15" i="40"/>
  <c r="P18" i="40"/>
  <c r="P46" i="40"/>
  <c r="P17" i="40"/>
  <c r="P34" i="30"/>
  <c r="P35" i="30"/>
  <c r="P25" i="30"/>
  <c r="P42" i="30"/>
  <c r="P30" i="30"/>
  <c r="P33" i="30"/>
  <c r="T12" i="22"/>
  <c r="T14" i="20"/>
  <c r="R14" i="31"/>
  <c r="R48" i="40"/>
  <c r="R29" i="40"/>
  <c r="R18" i="31"/>
  <c r="R23" i="40"/>
  <c r="R10" i="30"/>
  <c r="R9" i="30"/>
  <c r="R10" i="20"/>
  <c r="R22" i="40"/>
  <c r="R7" i="40"/>
  <c r="R20" i="40"/>
  <c r="R15" i="40"/>
  <c r="R18" i="40"/>
  <c r="R17" i="40"/>
  <c r="R46" i="40"/>
  <c r="R35" i="30"/>
  <c r="R34" i="30"/>
  <c r="R33" i="30"/>
  <c r="H17" i="28" s="1"/>
  <c r="R25" i="30"/>
  <c r="R42" i="30"/>
  <c r="R30" i="30"/>
  <c r="O10" i="20"/>
  <c r="O23" i="40"/>
  <c r="O18" i="31"/>
  <c r="O14" i="31"/>
  <c r="O48" i="40"/>
  <c r="O22" i="40"/>
  <c r="O9" i="30"/>
  <c r="O10" i="30"/>
  <c r="O17" i="40"/>
  <c r="O46" i="40"/>
  <c r="O7" i="40"/>
  <c r="O15" i="40"/>
  <c r="O18" i="40"/>
  <c r="O20" i="40"/>
  <c r="O35" i="30"/>
  <c r="O25" i="30"/>
  <c r="O30" i="30"/>
  <c r="O34" i="30"/>
  <c r="O33" i="30"/>
  <c r="D17" i="28" s="1"/>
  <c r="O42" i="30"/>
  <c r="M29" i="40"/>
  <c r="M18" i="31"/>
  <c r="M22" i="40"/>
  <c r="M10" i="20"/>
  <c r="M23" i="40"/>
  <c r="M14" i="31"/>
  <c r="M48" i="40"/>
  <c r="M16" i="20"/>
  <c r="M9" i="30"/>
  <c r="M7" i="40"/>
  <c r="M15" i="40"/>
  <c r="M10" i="30"/>
  <c r="M17" i="40"/>
  <c r="M20" i="40"/>
  <c r="M18" i="40"/>
  <c r="M46" i="40"/>
  <c r="M30" i="30"/>
  <c r="B16" i="28" s="1"/>
  <c r="M17" i="20"/>
  <c r="M35" i="30"/>
  <c r="B21" i="28" s="1"/>
  <c r="M25" i="30"/>
  <c r="M33" i="30"/>
  <c r="B17" i="28" s="1"/>
  <c r="M42" i="30"/>
  <c r="B15" i="28" s="1"/>
  <c r="M34" i="30"/>
  <c r="B20" i="28" s="1"/>
  <c r="I15" i="28"/>
  <c r="M5" i="20"/>
  <c r="M7" i="22"/>
  <c r="P7" i="22"/>
  <c r="Q5" i="20"/>
  <c r="Q7" i="22"/>
  <c r="B41" i="28"/>
  <c r="R7" i="22"/>
  <c r="N5" i="20"/>
  <c r="N7" i="22"/>
  <c r="O5" i="20"/>
  <c r="O7" i="22"/>
  <c r="R5" i="20"/>
  <c r="P5" i="20"/>
  <c r="G28" i="22"/>
  <c r="H28" i="22"/>
  <c r="I28" i="22"/>
  <c r="J28" i="22"/>
  <c r="K28" i="22"/>
  <c r="L28" i="22"/>
  <c r="I13" i="22"/>
  <c r="J13" i="22"/>
  <c r="K13" i="22"/>
  <c r="L13" i="22"/>
  <c r="G38" i="22"/>
  <c r="H38" i="22"/>
  <c r="I38" i="22"/>
  <c r="J38" i="22"/>
  <c r="K38" i="22"/>
  <c r="G37" i="22"/>
  <c r="H37" i="22"/>
  <c r="I37" i="22"/>
  <c r="J37" i="22"/>
  <c r="K37" i="22"/>
  <c r="L37" i="22"/>
  <c r="G36" i="22"/>
  <c r="H36" i="22"/>
  <c r="I36" i="22"/>
  <c r="J36" i="22"/>
  <c r="K36" i="22"/>
  <c r="L36" i="22"/>
  <c r="G32" i="22"/>
  <c r="H32" i="22"/>
  <c r="I32" i="22"/>
  <c r="J32" i="22"/>
  <c r="K32" i="22"/>
  <c r="L32" i="22"/>
  <c r="G33" i="22"/>
  <c r="H33" i="22"/>
  <c r="I33" i="22"/>
  <c r="J33" i="22"/>
  <c r="K33" i="22"/>
  <c r="L33" i="22"/>
  <c r="G31" i="22"/>
  <c r="H31" i="22"/>
  <c r="I31" i="22"/>
  <c r="J31" i="22"/>
  <c r="K31" i="22"/>
  <c r="L31" i="22"/>
  <c r="G29" i="22"/>
  <c r="H29" i="22"/>
  <c r="I29" i="22"/>
  <c r="J29" i="22"/>
  <c r="K29" i="22"/>
  <c r="L29" i="22"/>
  <c r="G27" i="22"/>
  <c r="H27" i="22"/>
  <c r="I27" i="22"/>
  <c r="J27" i="22"/>
  <c r="K27" i="22"/>
  <c r="L27" i="22"/>
  <c r="G26" i="22"/>
  <c r="H26" i="22"/>
  <c r="I26" i="22"/>
  <c r="J26" i="22"/>
  <c r="K26" i="22"/>
  <c r="L26" i="22"/>
  <c r="F26" i="22"/>
  <c r="H66" i="14"/>
  <c r="I66" i="14"/>
  <c r="J66" i="14"/>
  <c r="K66" i="14"/>
  <c r="L66" i="14"/>
  <c r="G66" i="14"/>
  <c r="H65" i="14"/>
  <c r="I65" i="14"/>
  <c r="J65" i="14"/>
  <c r="K65" i="14"/>
  <c r="L65" i="14"/>
  <c r="M65" i="14"/>
  <c r="G65" i="14"/>
  <c r="F22" i="22"/>
  <c r="H22" i="22"/>
  <c r="I22" i="22"/>
  <c r="J22" i="22"/>
  <c r="K22" i="22"/>
  <c r="L22" i="22"/>
  <c r="G22" i="22"/>
  <c r="E33" i="28" l="1"/>
  <c r="O29" i="40"/>
  <c r="D33" i="28"/>
  <c r="N29" i="40"/>
  <c r="C27" i="11"/>
  <c r="B33" i="28"/>
  <c r="C33" i="28"/>
  <c r="D16" i="28"/>
  <c r="N91" i="14" a="1"/>
  <c r="N91" i="14" s="1"/>
  <c r="F17" i="28"/>
  <c r="E15" i="28"/>
  <c r="F16" i="28"/>
  <c r="G15" i="28"/>
  <c r="C15" i="28"/>
  <c r="F15" i="28"/>
  <c r="Q32" i="22"/>
  <c r="F20" i="28"/>
  <c r="R12" i="22"/>
  <c r="R14" i="20"/>
  <c r="N12" i="22"/>
  <c r="N14" i="20"/>
  <c r="F21" i="28"/>
  <c r="D15" i="28"/>
  <c r="G16" i="28"/>
  <c r="H16" i="28"/>
  <c r="M12" i="22"/>
  <c r="M14" i="20"/>
  <c r="P12" i="22"/>
  <c r="P14" i="20"/>
  <c r="G17" i="28"/>
  <c r="H15" i="28"/>
  <c r="D20" i="28"/>
  <c r="O12" i="22"/>
  <c r="O14" i="20"/>
  <c r="G20" i="28"/>
  <c r="R32" i="22"/>
  <c r="H20" i="28"/>
  <c r="Q12" i="22"/>
  <c r="Q14" i="20"/>
  <c r="D21" i="28"/>
  <c r="G21" i="28"/>
  <c r="H21" i="28"/>
  <c r="E16" i="28"/>
  <c r="C16" i="28"/>
  <c r="C41" i="28"/>
  <c r="K34" i="22"/>
  <c r="L34" i="22"/>
  <c r="J34" i="22"/>
  <c r="I34" i="22"/>
  <c r="H34" i="22"/>
  <c r="G34" i="22"/>
  <c r="S11" i="31" l="1"/>
  <c r="P11" i="31"/>
  <c r="N11" i="31"/>
  <c r="T11" i="31"/>
  <c r="O11" i="31"/>
  <c r="M11" i="31"/>
  <c r="R11" i="31"/>
  <c r="Q11" i="31"/>
  <c r="D41" i="28"/>
  <c r="G16" i="22"/>
  <c r="H16" i="22"/>
  <c r="I16" i="22"/>
  <c r="J16" i="22"/>
  <c r="K16" i="22"/>
  <c r="L16" i="22"/>
  <c r="F16" i="22"/>
  <c r="G11" i="22"/>
  <c r="I11" i="22"/>
  <c r="J11" i="22"/>
  <c r="K11" i="22"/>
  <c r="L11" i="22"/>
  <c r="F11" i="22"/>
  <c r="G10" i="22"/>
  <c r="H10" i="22"/>
  <c r="I10" i="22"/>
  <c r="J10" i="22"/>
  <c r="K10" i="22"/>
  <c r="L10" i="22"/>
  <c r="F10" i="22"/>
  <c r="A4" i="40"/>
  <c r="A1" i="40"/>
  <c r="A4" i="39"/>
  <c r="A1" i="39"/>
  <c r="K51" i="19"/>
  <c r="L51" i="19"/>
  <c r="J51" i="19"/>
  <c r="F51" i="19"/>
  <c r="G51" i="19"/>
  <c r="H51" i="19"/>
  <c r="I51" i="19"/>
  <c r="G39" i="30"/>
  <c r="H39" i="30"/>
  <c r="I39" i="30"/>
  <c r="J39" i="30"/>
  <c r="K39" i="30"/>
  <c r="L39" i="30"/>
  <c r="F39" i="30"/>
  <c r="F45" i="30"/>
  <c r="G9" i="20"/>
  <c r="H9" i="20"/>
  <c r="I9" i="20"/>
  <c r="F9" i="20"/>
  <c r="G7" i="22"/>
  <c r="H7" i="22"/>
  <c r="I7" i="22"/>
  <c r="J7" i="22"/>
  <c r="K7" i="22"/>
  <c r="L7" i="22"/>
  <c r="G52" i="30"/>
  <c r="H52" i="30"/>
  <c r="I52" i="30"/>
  <c r="J52" i="30"/>
  <c r="L52" i="30"/>
  <c r="L52" i="21" s="1"/>
  <c r="F52" i="30"/>
  <c r="L45" i="21" l="1"/>
  <c r="K8" i="31"/>
  <c r="K8" i="20" s="1"/>
  <c r="K7" i="20"/>
  <c r="L89" i="14" s="1"/>
  <c r="J9" i="20"/>
  <c r="E41" i="28"/>
  <c r="K9" i="20"/>
  <c r="J20" i="20"/>
  <c r="G39" i="21"/>
  <c r="G39" i="40"/>
  <c r="F45" i="21"/>
  <c r="F45" i="40"/>
  <c r="K45" i="40"/>
  <c r="K45" i="21"/>
  <c r="L39" i="40"/>
  <c r="H39" i="21"/>
  <c r="H39" i="40"/>
  <c r="L45" i="40"/>
  <c r="J45" i="40"/>
  <c r="J45" i="21"/>
  <c r="L52" i="40"/>
  <c r="I45" i="40"/>
  <c r="I45" i="21"/>
  <c r="K52" i="21"/>
  <c r="K52" i="40"/>
  <c r="G45" i="21"/>
  <c r="G45" i="40"/>
  <c r="G52" i="40"/>
  <c r="G52" i="21"/>
  <c r="F52" i="40"/>
  <c r="F52" i="21"/>
  <c r="J39" i="40"/>
  <c r="J39" i="21"/>
  <c r="H45" i="40"/>
  <c r="H45" i="21"/>
  <c r="J52" i="40"/>
  <c r="J52" i="21"/>
  <c r="I52" i="40"/>
  <c r="I52" i="21"/>
  <c r="F39" i="21"/>
  <c r="F39" i="40"/>
  <c r="H52" i="40"/>
  <c r="H52" i="21"/>
  <c r="K39" i="40"/>
  <c r="K39" i="21"/>
  <c r="I39" i="21"/>
  <c r="I39" i="40"/>
  <c r="K8" i="22"/>
  <c r="K14" i="22" s="1" a="1"/>
  <c r="K14" i="22" s="1"/>
  <c r="I20" i="20"/>
  <c r="G20" i="20"/>
  <c r="L8" i="31" l="1"/>
  <c r="L8" i="20" s="1"/>
  <c r="J8" i="22"/>
  <c r="I8" i="31"/>
  <c r="I8" i="20" s="1"/>
  <c r="J8" i="31"/>
  <c r="J8" i="20" s="1"/>
  <c r="H8" i="31"/>
  <c r="H8" i="20" s="1"/>
  <c r="G8" i="31"/>
  <c r="G8" i="20" s="1"/>
  <c r="F8" i="20"/>
  <c r="F41" i="28"/>
  <c r="K21" i="27"/>
  <c r="J7" i="20"/>
  <c r="K89" i="14" s="1"/>
  <c r="F7" i="20"/>
  <c r="G89" i="14" s="1"/>
  <c r="G8" i="22"/>
  <c r="G7" i="20"/>
  <c r="H89" i="14" s="1"/>
  <c r="I8" i="22"/>
  <c r="I14" i="22" s="1" a="1"/>
  <c r="I14" i="22" s="1"/>
  <c r="I7" i="20"/>
  <c r="J89" i="14" s="1"/>
  <c r="H8" i="22"/>
  <c r="H14" i="22" s="1" a="1"/>
  <c r="H14" i="22" s="1"/>
  <c r="H7" i="20"/>
  <c r="I89" i="14" s="1"/>
  <c r="L8" i="22"/>
  <c r="L14" i="22" s="1" a="1"/>
  <c r="L14" i="22" s="1"/>
  <c r="G14" i="22" l="1" a="1"/>
  <c r="G14" i="22" s="1"/>
  <c r="G21" i="27" s="1"/>
  <c r="F14" i="22" a="1"/>
  <c r="F14" i="22" s="1"/>
  <c r="F21" i="27" s="1"/>
  <c r="J14" i="22" a="1"/>
  <c r="J14" i="22" s="1"/>
  <c r="G41" i="28"/>
  <c r="L21" i="27"/>
  <c r="H21" i="27"/>
  <c r="I21" i="27"/>
  <c r="P31" i="14" l="1"/>
  <c r="N27" i="27"/>
  <c r="M27" i="27"/>
  <c r="S7" i="31"/>
  <c r="S27" i="27" s="1"/>
  <c r="T7" i="31"/>
  <c r="T27" i="27" s="1"/>
  <c r="Q7" i="31"/>
  <c r="Q27" i="27" s="1"/>
  <c r="R7" i="31"/>
  <c r="R27" i="27" s="1"/>
  <c r="P7" i="31"/>
  <c r="P27" i="27" s="1"/>
  <c r="O27" i="27"/>
  <c r="J21" i="27"/>
  <c r="H41" i="28"/>
  <c r="A4" i="31"/>
  <c r="A1" i="31"/>
  <c r="A4" i="30"/>
  <c r="A1" i="30"/>
  <c r="A4" i="22"/>
  <c r="A4" i="21"/>
  <c r="A4" i="20"/>
  <c r="A4" i="28"/>
  <c r="A4" i="19"/>
  <c r="A4" i="2"/>
  <c r="A4" i="1"/>
  <c r="M72" i="14"/>
  <c r="L72" i="14"/>
  <c r="K72" i="14"/>
  <c r="J72" i="14"/>
  <c r="I72" i="14"/>
  <c r="H72" i="14"/>
  <c r="G72" i="14"/>
  <c r="M67" i="14"/>
  <c r="L67" i="14"/>
  <c r="K67" i="14"/>
  <c r="J67" i="14"/>
  <c r="I67" i="14"/>
  <c r="H67" i="14"/>
  <c r="G67" i="14"/>
  <c r="M62" i="14"/>
  <c r="L62" i="14"/>
  <c r="K62" i="14"/>
  <c r="J62" i="14"/>
  <c r="I62" i="14"/>
  <c r="M56" i="14"/>
  <c r="L56" i="14"/>
  <c r="K56" i="14"/>
  <c r="J56" i="14"/>
  <c r="I56" i="14"/>
  <c r="H56" i="14"/>
  <c r="N56" i="14" s="1"/>
  <c r="B10" i="12"/>
  <c r="A4" i="27"/>
  <c r="N72" i="14" l="1"/>
  <c r="N62" i="14"/>
  <c r="M9" i="31"/>
  <c r="M9" i="22" s="1"/>
  <c r="N67" i="14"/>
  <c r="I41" i="28"/>
  <c r="C23" i="11"/>
  <c r="C16" i="11"/>
  <c r="C17" i="11" s="1"/>
  <c r="C13" i="11"/>
  <c r="C14" i="11" s="1"/>
  <c r="C9" i="11"/>
  <c r="C7" i="11"/>
  <c r="L25" i="22" l="1"/>
  <c r="L30" i="22" s="1"/>
  <c r="L35" i="22" s="1"/>
  <c r="L40" i="22" s="1"/>
  <c r="M47" i="22" s="1"/>
  <c r="B37" i="23" s="1"/>
  <c r="T25" i="22"/>
  <c r="F25" i="22"/>
  <c r="F30" i="22" s="1"/>
  <c r="F35" i="22" s="1"/>
  <c r="F15" i="27" s="1"/>
  <c r="H25" i="22"/>
  <c r="H30" i="22" s="1"/>
  <c r="H35" i="22" s="1"/>
  <c r="H15" i="27" s="1"/>
  <c r="I25" i="22"/>
  <c r="I30" i="22" s="1"/>
  <c r="I35" i="22" s="1"/>
  <c r="I40" i="22" s="1"/>
  <c r="J47" i="22" s="1"/>
  <c r="K25" i="22"/>
  <c r="K30" i="22" s="1"/>
  <c r="K35" i="22" s="1"/>
  <c r="K40" i="22" s="1"/>
  <c r="L47" i="22" s="1"/>
  <c r="J25" i="22"/>
  <c r="J30" i="22" s="1"/>
  <c r="J35" i="22" s="1"/>
  <c r="J40" i="22" s="1"/>
  <c r="K47" i="22" s="1"/>
  <c r="G25" i="22"/>
  <c r="G30" i="22" s="1"/>
  <c r="G35" i="22" s="1"/>
  <c r="G15" i="27" s="1"/>
  <c r="I19" i="22"/>
  <c r="J19" i="22"/>
  <c r="K19" i="22"/>
  <c r="F19" i="22"/>
  <c r="H19" i="22"/>
  <c r="G19" i="22"/>
  <c r="J18" i="22"/>
  <c r="L20" i="22"/>
  <c r="K18" i="22"/>
  <c r="H18" i="22"/>
  <c r="L18" i="22"/>
  <c r="F20" i="22"/>
  <c r="G20" i="22"/>
  <c r="G18" i="22"/>
  <c r="H20" i="22"/>
  <c r="I18" i="22"/>
  <c r="I20" i="22"/>
  <c r="F18" i="22"/>
  <c r="J20" i="22"/>
  <c r="K20" i="22"/>
  <c r="M20" i="22"/>
  <c r="M18" i="22"/>
  <c r="L17" i="22"/>
  <c r="J17" i="22"/>
  <c r="K17" i="22"/>
  <c r="I17" i="22"/>
  <c r="C10" i="11"/>
  <c r="B19" i="14" s="1"/>
  <c r="K15" i="27"/>
  <c r="M9" i="20"/>
  <c r="B8" i="28"/>
  <c r="L15" i="27"/>
  <c r="O1" i="14"/>
  <c r="A1" i="9"/>
  <c r="A12" i="9"/>
  <c r="A1" i="13"/>
  <c r="D5" i="13"/>
  <c r="A5" i="12"/>
  <c r="B53" i="23"/>
  <c r="B55" i="23"/>
  <c r="B54" i="23"/>
  <c r="A1" i="28"/>
  <c r="B47" i="12"/>
  <c r="B41" i="12"/>
  <c r="B43" i="12"/>
  <c r="B42" i="12"/>
  <c r="A22" i="12"/>
  <c r="A10" i="23"/>
  <c r="A1" i="24"/>
  <c r="L17" i="24"/>
  <c r="L24" i="24" s="1"/>
  <c r="M17" i="24"/>
  <c r="M23" i="24" s="1"/>
  <c r="K17" i="24"/>
  <c r="K22" i="24" s="1"/>
  <c r="J17" i="24"/>
  <c r="J23" i="24" s="1"/>
  <c r="I17" i="24"/>
  <c r="I23" i="24" s="1"/>
  <c r="H17" i="24"/>
  <c r="H26" i="24" s="1"/>
  <c r="G17" i="24"/>
  <c r="G25" i="24" s="1"/>
  <c r="M18" i="24"/>
  <c r="M19" i="24" s="1"/>
  <c r="L18" i="24"/>
  <c r="L19" i="24" s="1"/>
  <c r="K18" i="24"/>
  <c r="J18" i="24"/>
  <c r="I18" i="24"/>
  <c r="I19" i="24" s="1"/>
  <c r="H18" i="24"/>
  <c r="G18" i="24"/>
  <c r="M11" i="24"/>
  <c r="L11" i="24"/>
  <c r="K11" i="24"/>
  <c r="J11" i="24"/>
  <c r="I11" i="24"/>
  <c r="H11" i="24"/>
  <c r="G11" i="24"/>
  <c r="A4" i="24"/>
  <c r="E10" i="9"/>
  <c r="E18" i="9" s="1"/>
  <c r="F11" i="15"/>
  <c r="G10" i="15"/>
  <c r="F9" i="15"/>
  <c r="G8" i="15"/>
  <c r="F7" i="15"/>
  <c r="G6" i="15"/>
  <c r="A1" i="23"/>
  <c r="P13" i="13"/>
  <c r="P14" i="13"/>
  <c r="P15" i="13"/>
  <c r="P16" i="13"/>
  <c r="P17" i="13"/>
  <c r="P18" i="13"/>
  <c r="P19" i="13"/>
  <c r="P20" i="13"/>
  <c r="P21" i="13"/>
  <c r="B22" i="13"/>
  <c r="E4" i="9" s="1"/>
  <c r="Q13" i="13"/>
  <c r="Q14" i="13"/>
  <c r="Q15" i="13"/>
  <c r="Q16" i="13"/>
  <c r="Q17" i="13"/>
  <c r="Q18" i="13"/>
  <c r="Q19" i="13"/>
  <c r="Q20" i="13"/>
  <c r="Q21" i="13"/>
  <c r="G7" i="15"/>
  <c r="G11" i="15"/>
  <c r="F10" i="15"/>
  <c r="F6" i="15"/>
  <c r="G9" i="15"/>
  <c r="A1" i="27"/>
  <c r="A1" i="15"/>
  <c r="F8" i="15"/>
  <c r="A1" i="20"/>
  <c r="A1" i="22"/>
  <c r="A1" i="2"/>
  <c r="A1" i="19"/>
  <c r="A1" i="21"/>
  <c r="A1" i="11"/>
  <c r="A1" i="12"/>
  <c r="A1" i="1"/>
  <c r="I15" i="27" l="1"/>
  <c r="J21" i="22"/>
  <c r="J23" i="22" s="1"/>
  <c r="J42" i="22" s="1"/>
  <c r="J15" i="27"/>
  <c r="I21" i="22"/>
  <c r="I23" i="22" s="1"/>
  <c r="G21" i="22"/>
  <c r="G23" i="22" s="1"/>
  <c r="G42" i="22" s="1"/>
  <c r="K21" i="22"/>
  <c r="K23" i="22" s="1"/>
  <c r="H21" i="22"/>
  <c r="H23" i="22" s="1"/>
  <c r="F21" i="22"/>
  <c r="F23" i="22" s="1"/>
  <c r="F42" i="22" s="1"/>
  <c r="G13" i="15"/>
  <c r="B12" i="12"/>
  <c r="B19" i="12" s="1"/>
  <c r="E9" i="9"/>
  <c r="F18" i="9" s="1"/>
  <c r="G18" i="9" s="1"/>
  <c r="H18" i="9" s="1"/>
  <c r="I18" i="9" s="1"/>
  <c r="J18" i="9" s="1"/>
  <c r="K18" i="9" s="1"/>
  <c r="L18" i="9" s="1"/>
  <c r="B8" i="23"/>
  <c r="M50" i="22"/>
  <c r="J43" i="22"/>
  <c r="I17" i="13"/>
  <c r="L43" i="22"/>
  <c r="L50" i="22"/>
  <c r="K50" i="22"/>
  <c r="K43" i="22"/>
  <c r="J50" i="22"/>
  <c r="D22" i="13"/>
  <c r="J22" i="13" s="1"/>
  <c r="J19" i="13"/>
  <c r="J18" i="13"/>
  <c r="I27" i="24"/>
  <c r="I20" i="13"/>
  <c r="B44" i="12"/>
  <c r="I15" i="13"/>
  <c r="I14" i="13"/>
  <c r="I21" i="13"/>
  <c r="I18" i="13"/>
  <c r="M24" i="24"/>
  <c r="I13" i="13"/>
  <c r="I16" i="13"/>
  <c r="I19" i="13"/>
  <c r="M22" i="24"/>
  <c r="L26" i="24"/>
  <c r="I25" i="24"/>
  <c r="B57" i="23"/>
  <c r="J22" i="24"/>
  <c r="K26" i="24"/>
  <c r="K24" i="24"/>
  <c r="K23" i="24"/>
  <c r="I22" i="24"/>
  <c r="H24" i="24"/>
  <c r="H25" i="24"/>
  <c r="M26" i="24"/>
  <c r="G26" i="24"/>
  <c r="H23" i="24"/>
  <c r="M25" i="24"/>
  <c r="G24" i="24"/>
  <c r="H22" i="24"/>
  <c r="G23" i="24"/>
  <c r="G22" i="24"/>
  <c r="I26" i="24"/>
  <c r="I24" i="24"/>
  <c r="B56" i="23"/>
  <c r="B45" i="12"/>
  <c r="E5" i="9"/>
  <c r="E6" i="9" s="1"/>
  <c r="J21" i="13"/>
  <c r="J26" i="24"/>
  <c r="L23" i="24"/>
  <c r="J17" i="13"/>
  <c r="K17" i="13" s="1"/>
  <c r="G19" i="24"/>
  <c r="G27" i="24" s="1"/>
  <c r="K19" i="24"/>
  <c r="K27" i="24" s="1"/>
  <c r="J25" i="24"/>
  <c r="L22" i="24"/>
  <c r="J20" i="13"/>
  <c r="J24" i="24"/>
  <c r="L27" i="24"/>
  <c r="J14" i="13"/>
  <c r="C22" i="13"/>
  <c r="H19" i="24"/>
  <c r="H27" i="24" s="1"/>
  <c r="K25" i="24"/>
  <c r="J16" i="13"/>
  <c r="M27" i="24"/>
  <c r="L25" i="24"/>
  <c r="J13" i="13"/>
  <c r="J15" i="13"/>
  <c r="J19" i="24"/>
  <c r="J27" i="24" s="1"/>
  <c r="G46" i="22" l="1"/>
  <c r="G13" i="9"/>
  <c r="E13" i="9"/>
  <c r="J46" i="22"/>
  <c r="J48" i="22" s="1"/>
  <c r="J44" i="22"/>
  <c r="H46" i="22"/>
  <c r="H42" i="22"/>
  <c r="F46" i="22"/>
  <c r="K42" i="22"/>
  <c r="K44" i="22" s="1"/>
  <c r="K46" i="22"/>
  <c r="K48" i="22" s="1"/>
  <c r="I42" i="22"/>
  <c r="I46" i="22"/>
  <c r="E19" i="12"/>
  <c r="H19" i="12"/>
  <c r="F19" i="12"/>
  <c r="G19" i="12"/>
  <c r="D19" i="12"/>
  <c r="C19" i="12"/>
  <c r="K13" i="13"/>
  <c r="L13" i="13" s="1"/>
  <c r="N13" i="13" s="1"/>
  <c r="K18" i="13"/>
  <c r="M18" i="13" s="1"/>
  <c r="K19" i="13"/>
  <c r="L19" i="13" s="1"/>
  <c r="N19" i="13" s="1"/>
  <c r="K20" i="13"/>
  <c r="L20" i="13" s="1"/>
  <c r="N20" i="13" s="1"/>
  <c r="K16" i="13"/>
  <c r="M16" i="13" s="1"/>
  <c r="B46" i="12"/>
  <c r="B58" i="23"/>
  <c r="K15" i="13"/>
  <c r="L15" i="13" s="1"/>
  <c r="N15" i="13" s="1"/>
  <c r="K21" i="13"/>
  <c r="L21" i="13" s="1"/>
  <c r="N21" i="13" s="1"/>
  <c r="M28" i="24"/>
  <c r="H28" i="24"/>
  <c r="H13" i="24" s="1"/>
  <c r="I15" i="24" s="1"/>
  <c r="K14" i="13"/>
  <c r="L14" i="13" s="1"/>
  <c r="N14" i="13" s="1"/>
  <c r="I28" i="24"/>
  <c r="I13" i="24" s="1"/>
  <c r="F26" i="30" s="1"/>
  <c r="F39" i="22" s="1"/>
  <c r="F40" i="22" s="1"/>
  <c r="K28" i="24"/>
  <c r="K13" i="24" s="1"/>
  <c r="H26" i="30" s="1"/>
  <c r="H39" i="22" s="1"/>
  <c r="H40" i="22" s="1"/>
  <c r="J28" i="24"/>
  <c r="J13" i="24" s="1"/>
  <c r="G26" i="30" s="1"/>
  <c r="G39" i="22" s="1"/>
  <c r="G40" i="22" s="1"/>
  <c r="G28" i="24"/>
  <c r="G13" i="24" s="1"/>
  <c r="L17" i="13"/>
  <c r="N17" i="13" s="1"/>
  <c r="M17" i="13"/>
  <c r="F13" i="9"/>
  <c r="I22" i="13"/>
  <c r="K22" i="13" s="1"/>
  <c r="E8" i="9"/>
  <c r="E14" i="9" s="1"/>
  <c r="F14" i="9" s="1"/>
  <c r="G14" i="9" s="1"/>
  <c r="H14" i="9" s="1"/>
  <c r="I14" i="9" s="1"/>
  <c r="J14" i="9" s="1"/>
  <c r="K14" i="9" s="1"/>
  <c r="L14" i="9" s="1"/>
  <c r="L28" i="24"/>
  <c r="L13" i="24" s="1"/>
  <c r="H15" i="24" l="1"/>
  <c r="G12" i="24"/>
  <c r="M13" i="24"/>
  <c r="M12" i="24" s="1"/>
  <c r="G43" i="22"/>
  <c r="G47" i="22"/>
  <c r="G50" i="22" s="1"/>
  <c r="F43" i="22"/>
  <c r="F44" i="22" s="1"/>
  <c r="M13" i="13"/>
  <c r="E13" i="13" s="1"/>
  <c r="F13" i="13" s="1"/>
  <c r="K15" i="24"/>
  <c r="J15" i="24"/>
  <c r="K12" i="24"/>
  <c r="M15" i="13"/>
  <c r="L18" i="13"/>
  <c r="N18" i="13" s="1"/>
  <c r="M19" i="13"/>
  <c r="M20" i="13"/>
  <c r="L16" i="13"/>
  <c r="N16" i="13" s="1"/>
  <c r="L15" i="24"/>
  <c r="H12" i="24"/>
  <c r="M21" i="13"/>
  <c r="M14" i="13"/>
  <c r="I12" i="24"/>
  <c r="J12" i="24"/>
  <c r="E22" i="9"/>
  <c r="E15" i="9"/>
  <c r="M45" i="30" s="1"/>
  <c r="H22" i="9"/>
  <c r="H15" i="9"/>
  <c r="L22" i="9"/>
  <c r="L15" i="9"/>
  <c r="I22" i="9"/>
  <c r="I15" i="9"/>
  <c r="M15" i="24"/>
  <c r="L12" i="24"/>
  <c r="K22" i="9"/>
  <c r="K15" i="9"/>
  <c r="F15" i="9"/>
  <c r="F22" i="9"/>
  <c r="G15" i="24"/>
  <c r="M22" i="13"/>
  <c r="L22" i="13"/>
  <c r="N22" i="13" s="1"/>
  <c r="J22" i="9"/>
  <c r="J15" i="9"/>
  <c r="G22" i="9"/>
  <c r="G15" i="9"/>
  <c r="B39" i="28" l="1"/>
  <c r="N45" i="30"/>
  <c r="M45" i="40"/>
  <c r="H47" i="22"/>
  <c r="G44" i="22"/>
  <c r="I47" i="22"/>
  <c r="H43" i="22"/>
  <c r="H44" i="22" s="1"/>
  <c r="I43" i="22"/>
  <c r="I44" i="22" s="1"/>
  <c r="F22" i="13"/>
  <c r="B22" i="23" s="1"/>
  <c r="E22" i="13"/>
  <c r="O45" i="30" l="1"/>
  <c r="C39" i="28"/>
  <c r="N45" i="40"/>
  <c r="I50" i="22"/>
  <c r="I48" i="22"/>
  <c r="H48" i="22"/>
  <c r="H50" i="22"/>
  <c r="G48" i="22"/>
  <c r="O45" i="40" l="1"/>
  <c r="D39" i="28"/>
  <c r="P45" i="30"/>
  <c r="P45" i="40" l="1"/>
  <c r="Q45" i="30"/>
  <c r="E39" i="28"/>
  <c r="Q45" i="40" l="1"/>
  <c r="R45" i="30"/>
  <c r="S45" i="30" s="1"/>
  <c r="F39" i="28"/>
  <c r="M21" i="30"/>
  <c r="M21" i="40" s="1"/>
  <c r="R45" i="40" l="1"/>
  <c r="G39" i="28"/>
  <c r="B25" i="28"/>
  <c r="D25" i="28"/>
  <c r="E25" i="28"/>
  <c r="C25" i="28"/>
  <c r="I25" i="28"/>
  <c r="H25" i="28"/>
  <c r="G25" i="28"/>
  <c r="F25" i="28"/>
  <c r="M19" i="30"/>
  <c r="M26" i="30" s="1"/>
  <c r="M39" i="22" l="1"/>
  <c r="S45" i="40"/>
  <c r="H39" i="28"/>
  <c r="T45" i="30"/>
  <c r="M26" i="40"/>
  <c r="M19" i="40"/>
  <c r="N9" i="31"/>
  <c r="N9" i="22" s="1"/>
  <c r="M36" i="22"/>
  <c r="M13" i="22"/>
  <c r="M17" i="22" s="1"/>
  <c r="L14" i="27"/>
  <c r="I39" i="28" l="1"/>
  <c r="T45" i="40"/>
  <c r="N9" i="20"/>
  <c r="N21" i="30"/>
  <c r="N21" i="40" s="1"/>
  <c r="C8" i="28"/>
  <c r="T14" i="27" l="1"/>
  <c r="N19" i="30"/>
  <c r="N26" i="30" s="1"/>
  <c r="N39" i="22" s="1"/>
  <c r="O9" i="31" l="1"/>
  <c r="O9" i="22" s="1"/>
  <c r="N19" i="40"/>
  <c r="N26" i="40"/>
  <c r="N36" i="22"/>
  <c r="M14" i="27"/>
  <c r="D8" i="28" l="1"/>
  <c r="O21" i="30"/>
  <c r="O21" i="40" s="1"/>
  <c r="O9" i="20"/>
  <c r="N13" i="22"/>
  <c r="N17" i="22" s="1"/>
  <c r="O19" i="30" l="1"/>
  <c r="O26" i="30" s="1"/>
  <c r="N14" i="27" l="1"/>
  <c r="O36" i="22"/>
  <c r="O19" i="40"/>
  <c r="P9" i="31"/>
  <c r="P9" i="22" s="1"/>
  <c r="O26" i="40"/>
  <c r="O39" i="22"/>
  <c r="O13" i="22"/>
  <c r="O17" i="22" s="1"/>
  <c r="P21" i="30" l="1"/>
  <c r="P21" i="40" s="1"/>
  <c r="P9" i="20"/>
  <c r="E8" i="28"/>
  <c r="P19" i="30" l="1"/>
  <c r="P26" i="30" s="1"/>
  <c r="P39" i="22" s="1"/>
  <c r="P36" i="22" l="1"/>
  <c r="P19" i="40"/>
  <c r="Q9" i="31"/>
  <c r="Q21" i="30" s="1"/>
  <c r="Q21" i="40" s="1"/>
  <c r="O14" i="27"/>
  <c r="P26" i="40"/>
  <c r="P13" i="22"/>
  <c r="P17" i="22" s="1"/>
  <c r="Q9" i="20" l="1"/>
  <c r="Q9" i="22"/>
  <c r="F8" i="28"/>
  <c r="Q19" i="30"/>
  <c r="Q19" i="40" l="1"/>
  <c r="Q26" i="30"/>
  <c r="Q39" i="22" s="1"/>
  <c r="Q36" i="22"/>
  <c r="P14" i="27"/>
  <c r="R9" i="31"/>
  <c r="G8" i="28" l="1"/>
  <c r="R9" i="22"/>
  <c r="Q26" i="40"/>
  <c r="R9" i="20"/>
  <c r="R21" i="30"/>
  <c r="R21" i="40" s="1"/>
  <c r="Q13" i="22"/>
  <c r="Q17" i="22" s="1"/>
  <c r="R19" i="30" l="1"/>
  <c r="R19" i="40" l="1"/>
  <c r="R26" i="30"/>
  <c r="Q14" i="27"/>
  <c r="S9" i="31"/>
  <c r="R36" i="22"/>
  <c r="R26" i="40" l="1"/>
  <c r="R39" i="22"/>
  <c r="H8" i="28"/>
  <c r="S9" i="22"/>
  <c r="S9" i="20"/>
  <c r="R13" i="22"/>
  <c r="R17" i="22" s="1"/>
  <c r="S21" i="30"/>
  <c r="S21" i="40" s="1"/>
  <c r="S19" i="30" l="1"/>
  <c r="T9" i="31" l="1"/>
  <c r="S19" i="40"/>
  <c r="R14" i="27"/>
  <c r="S36" i="22"/>
  <c r="I8" i="28" l="1"/>
  <c r="T9" i="22"/>
  <c r="T9" i="20"/>
  <c r="T21" i="30"/>
  <c r="T19" i="30" l="1"/>
  <c r="T19" i="40" s="1"/>
  <c r="T21" i="40"/>
  <c r="T36" i="22" l="1"/>
  <c r="S14" i="27"/>
  <c r="N17" i="31"/>
  <c r="N18" i="22" l="1"/>
  <c r="N17" i="20"/>
  <c r="T17" i="31"/>
  <c r="T18" i="22" s="1"/>
  <c r="S17" i="31"/>
  <c r="O17" i="31"/>
  <c r="P17" i="31"/>
  <c r="Q17" i="31"/>
  <c r="R17" i="31"/>
  <c r="S18" i="22" l="1"/>
  <c r="S17" i="20"/>
  <c r="R17" i="20"/>
  <c r="R18" i="22"/>
  <c r="Q17" i="20"/>
  <c r="Q18" i="22"/>
  <c r="P18" i="22"/>
  <c r="P17" i="20"/>
  <c r="O18" i="22"/>
  <c r="O17" i="20"/>
  <c r="T17" i="20"/>
  <c r="E17" i="9"/>
  <c r="E19" i="9" s="1"/>
  <c r="E23" i="9" s="1"/>
  <c r="E24" i="9" s="1"/>
  <c r="B40" i="28"/>
  <c r="F21" i="9" l="1"/>
  <c r="M34" i="31"/>
  <c r="D20" i="15" l="1"/>
  <c r="E47" i="14"/>
  <c r="E49" i="14" s="1"/>
  <c r="M34" i="20"/>
  <c r="C24" i="11"/>
  <c r="B38" i="28"/>
  <c r="M31" i="30" a="1"/>
  <c r="M31" i="30" s="1"/>
  <c r="M33" i="31"/>
  <c r="M33" i="20" l="1"/>
  <c r="B37" i="28"/>
  <c r="J17" i="9"/>
  <c r="J19" i="9" s="1"/>
  <c r="J23" i="9" s="1"/>
  <c r="I17" i="9"/>
  <c r="I19" i="9" s="1"/>
  <c r="I23" i="9" s="1"/>
  <c r="H17" i="9"/>
  <c r="H19" i="9" s="1"/>
  <c r="H23" i="9" s="1"/>
  <c r="E40" i="28"/>
  <c r="D40" i="28"/>
  <c r="L17" i="9"/>
  <c r="L19" i="9" s="1"/>
  <c r="L23" i="9" s="1"/>
  <c r="K17" i="9"/>
  <c r="K19" i="9" s="1"/>
  <c r="K23" i="9" s="1"/>
  <c r="G17" i="9"/>
  <c r="G19" i="9" s="1"/>
  <c r="G23" i="9" s="1"/>
  <c r="F17" i="9"/>
  <c r="F19" i="9" s="1"/>
  <c r="F23" i="9" s="1"/>
  <c r="F24" i="9" s="1"/>
  <c r="I40" i="28"/>
  <c r="G40" i="28"/>
  <c r="H40" i="28"/>
  <c r="C40" i="28"/>
  <c r="F40" i="28"/>
  <c r="G21" i="9" l="1"/>
  <c r="G24" i="9" s="1"/>
  <c r="N34" i="31"/>
  <c r="F47" i="14" l="1"/>
  <c r="F49" i="14" s="1"/>
  <c r="D21" i="15"/>
  <c r="N34" i="20"/>
  <c r="C38" i="28"/>
  <c r="N31" i="30" a="1"/>
  <c r="N31" i="30" s="1"/>
  <c r="N33" i="31"/>
  <c r="H21" i="9"/>
  <c r="H24" i="9" s="1"/>
  <c r="O34" i="31"/>
  <c r="G47" i="14" s="1"/>
  <c r="G49" i="14" s="1"/>
  <c r="N33" i="20" l="1"/>
  <c r="O33" i="31"/>
  <c r="O34" i="20"/>
  <c r="D38" i="28"/>
  <c r="O31" i="30" a="1"/>
  <c r="O31" i="30" s="1"/>
  <c r="C37" i="28"/>
  <c r="I21" i="9"/>
  <c r="I24" i="9" s="1"/>
  <c r="P34" i="31"/>
  <c r="H47" i="14" s="1"/>
  <c r="H49" i="14" s="1"/>
  <c r="O33" i="20" l="1"/>
  <c r="P33" i="31"/>
  <c r="P34" i="20"/>
  <c r="E38" i="28"/>
  <c r="P31" i="30" a="1"/>
  <c r="P31" i="30" s="1"/>
  <c r="D37" i="28"/>
  <c r="J21" i="9"/>
  <c r="J24" i="9" s="1"/>
  <c r="Q34" i="31"/>
  <c r="I47" i="14" s="1"/>
  <c r="I49" i="14" s="1"/>
  <c r="P33" i="20" l="1"/>
  <c r="Q33" i="31"/>
  <c r="F38" i="28"/>
  <c r="Q34" i="20"/>
  <c r="Q31" i="30" a="1"/>
  <c r="Q31" i="30" s="1"/>
  <c r="E37" i="28"/>
  <c r="K21" i="9"/>
  <c r="K24" i="9" s="1"/>
  <c r="R34" i="31"/>
  <c r="J47" i="14" s="1"/>
  <c r="J49" i="14" s="1"/>
  <c r="Q33" i="20" l="1"/>
  <c r="R33" i="31"/>
  <c r="G38" i="28"/>
  <c r="R34" i="20"/>
  <c r="R31" i="30" a="1"/>
  <c r="R31" i="30" s="1"/>
  <c r="F37" i="28"/>
  <c r="L21" i="9"/>
  <c r="L24" i="9" s="1"/>
  <c r="S34" i="31"/>
  <c r="S31" i="30" s="1" a="1"/>
  <c r="S31" i="30" s="1"/>
  <c r="K47" i="14" l="1"/>
  <c r="K49" i="14" s="1"/>
  <c r="R33" i="20"/>
  <c r="G37" i="28"/>
  <c r="S33" i="31"/>
  <c r="H38" i="28"/>
  <c r="S34" i="20"/>
  <c r="T34" i="31"/>
  <c r="S33" i="20" l="1"/>
  <c r="T33" i="31"/>
  <c r="I38" i="28"/>
  <c r="T34" i="20"/>
  <c r="T31" i="30" a="1"/>
  <c r="T31" i="30" s="1"/>
  <c r="H37" i="28"/>
  <c r="M8" i="22"/>
  <c r="M8" i="31"/>
  <c r="M8" i="20" s="1"/>
  <c r="M7" i="20"/>
  <c r="T33" i="20" l="1"/>
  <c r="I37" i="28"/>
  <c r="R8" i="22"/>
  <c r="N8" i="22"/>
  <c r="O8" i="22"/>
  <c r="T8" i="31"/>
  <c r="T8" i="20" s="1"/>
  <c r="S8" i="22"/>
  <c r="N8" i="31"/>
  <c r="N8" i="20" s="1"/>
  <c r="P8" i="22"/>
  <c r="T7" i="20"/>
  <c r="T8" i="22"/>
  <c r="O8" i="31"/>
  <c r="O8" i="20" s="1"/>
  <c r="P8" i="31"/>
  <c r="P8" i="20" s="1"/>
  <c r="P7" i="20"/>
  <c r="R7" i="20"/>
  <c r="R8" i="31"/>
  <c r="R8" i="20" s="1"/>
  <c r="Q8" i="31"/>
  <c r="Q8" i="20" s="1"/>
  <c r="S8" i="31"/>
  <c r="S8" i="20" s="1"/>
  <c r="S7" i="20"/>
  <c r="N7" i="20"/>
  <c r="O7" i="20"/>
  <c r="Q7" i="20"/>
  <c r="Q8" i="22"/>
  <c r="M10" i="22"/>
  <c r="M11" i="20"/>
  <c r="S11" i="20"/>
  <c r="S10" i="22"/>
  <c r="O11" i="20"/>
  <c r="O10" i="22"/>
  <c r="Q11" i="20"/>
  <c r="Q10" i="22"/>
  <c r="R11" i="20"/>
  <c r="R10" i="22"/>
  <c r="T11" i="20"/>
  <c r="T10" i="22"/>
  <c r="N11" i="20"/>
  <c r="N10" i="22"/>
  <c r="P11" i="20"/>
  <c r="P10" i="22"/>
  <c r="M11" i="22"/>
  <c r="M14" i="22" l="1" a="1"/>
  <c r="M14" i="22" s="1"/>
  <c r="T12" i="20"/>
  <c r="T11" i="22"/>
  <c r="T14" i="22" s="1" a="1"/>
  <c r="T14" i="22" s="1"/>
  <c r="N12" i="20"/>
  <c r="N11" i="22"/>
  <c r="N14" i="22" s="1" a="1"/>
  <c r="N14" i="22" s="1"/>
  <c r="S12" i="20"/>
  <c r="S11" i="22"/>
  <c r="S14" i="22" s="1" a="1"/>
  <c r="S14" i="22" s="1"/>
  <c r="P12" i="20"/>
  <c r="P11" i="22"/>
  <c r="P14" i="22" s="1" a="1"/>
  <c r="P14" i="22" s="1"/>
  <c r="O12" i="20"/>
  <c r="O11" i="22"/>
  <c r="O14" i="22" s="1" a="1"/>
  <c r="O14" i="22" s="1"/>
  <c r="Q12" i="20"/>
  <c r="Q11" i="22"/>
  <c r="Q14" i="22" s="1" a="1"/>
  <c r="Q14" i="22" s="1"/>
  <c r="R12" i="20"/>
  <c r="R11" i="22"/>
  <c r="R14" i="22" s="1" a="1"/>
  <c r="R14" i="22" s="1"/>
  <c r="M18" i="20" l="1"/>
  <c r="R18" i="20" l="1"/>
  <c r="S18" i="20"/>
  <c r="N18" i="20"/>
  <c r="O18" i="20"/>
  <c r="Q18" i="20"/>
  <c r="P18" i="20"/>
  <c r="T18" i="20"/>
  <c r="M9" i="40" l="1"/>
  <c r="N9" i="40" s="1"/>
  <c r="O9" i="40" l="1"/>
  <c r="P9" i="40" l="1"/>
  <c r="Q9" i="40" l="1"/>
  <c r="R9" i="40" l="1"/>
  <c r="S9" i="40" l="1"/>
  <c r="T9" i="40" l="1"/>
  <c r="M27" i="22"/>
  <c r="M11" i="40"/>
  <c r="B12" i="28"/>
  <c r="C12" i="28" l="1"/>
  <c r="N27" i="22"/>
  <c r="N11" i="40"/>
  <c r="O11" i="40" l="1"/>
  <c r="O27" i="22"/>
  <c r="E12" i="28" l="1"/>
  <c r="P11" i="40"/>
  <c r="P27" i="22"/>
  <c r="Q11" i="40" l="1"/>
  <c r="Q27" i="22"/>
  <c r="R11" i="40" l="1"/>
  <c r="R27" i="22"/>
  <c r="S11" i="40" l="1"/>
  <c r="S27" i="22"/>
  <c r="T27" i="22" l="1"/>
  <c r="T11" i="40"/>
  <c r="M10" i="40"/>
  <c r="M8" i="30"/>
  <c r="M26" i="22" s="1"/>
  <c r="T10" i="40"/>
  <c r="T8" i="30"/>
  <c r="O10" i="40"/>
  <c r="O8" i="30"/>
  <c r="N10" i="40"/>
  <c r="N8" i="30"/>
  <c r="N8" i="40" s="1"/>
  <c r="P10" i="40"/>
  <c r="P8" i="30"/>
  <c r="P8" i="40" s="1"/>
  <c r="R10" i="40"/>
  <c r="R8" i="30"/>
  <c r="Q10" i="40"/>
  <c r="Q8" i="30"/>
  <c r="Q26" i="22" s="1"/>
  <c r="S10" i="40"/>
  <c r="S8" i="30"/>
  <c r="S26" i="22" s="1"/>
  <c r="C11" i="28" l="1"/>
  <c r="I11" i="28"/>
  <c r="N26" i="22"/>
  <c r="R26" i="22"/>
  <c r="G11" i="28"/>
  <c r="O26" i="22"/>
  <c r="D11" i="28"/>
  <c r="M8" i="40"/>
  <c r="S8" i="40"/>
  <c r="H11" i="28"/>
  <c r="P26" i="22"/>
  <c r="T26" i="22"/>
  <c r="B11" i="28"/>
  <c r="Q8" i="40"/>
  <c r="F11" i="28"/>
  <c r="T8" i="40"/>
  <c r="O8" i="40"/>
  <c r="R8" i="40"/>
  <c r="E11" i="28"/>
  <c r="B30" i="28"/>
  <c r="B31" i="28" s="1"/>
  <c r="M38" i="22"/>
  <c r="M25" i="40"/>
  <c r="D30" i="28" l="1"/>
  <c r="D31" i="28" s="1"/>
  <c r="I30" i="28"/>
  <c r="I31" i="28" s="1"/>
  <c r="G30" i="28"/>
  <c r="G31" i="28" s="1"/>
  <c r="C30" i="28"/>
  <c r="C31" i="28" s="1"/>
  <c r="S38" i="22"/>
  <c r="H30" i="28"/>
  <c r="H31" i="28" s="1"/>
  <c r="N38" i="22"/>
  <c r="T25" i="40"/>
  <c r="T38" i="22"/>
  <c r="N25" i="40"/>
  <c r="P38" i="22"/>
  <c r="P25" i="40"/>
  <c r="E30" i="28"/>
  <c r="E31" i="28" s="1"/>
  <c r="O38" i="22"/>
  <c r="Q38" i="22"/>
  <c r="Q25" i="40"/>
  <c r="F30" i="28"/>
  <c r="F31" i="28" s="1"/>
  <c r="R38" i="22"/>
  <c r="O25" i="40"/>
  <c r="S25" i="40"/>
  <c r="R25" i="40"/>
  <c r="M31" i="22" l="1"/>
  <c r="M30" i="40"/>
  <c r="S31" i="22"/>
  <c r="T31" i="22"/>
  <c r="R31" i="22"/>
  <c r="P31" i="22"/>
  <c r="R30" i="40"/>
  <c r="T30" i="40"/>
  <c r="P30" i="40"/>
  <c r="N30" i="40"/>
  <c r="N31" i="22"/>
  <c r="S30" i="40"/>
  <c r="Q30" i="40"/>
  <c r="Q31" i="22"/>
  <c r="O30" i="40"/>
  <c r="O31" i="22"/>
  <c r="M34" i="40" l="1"/>
  <c r="M32" i="22"/>
  <c r="M35" i="40"/>
  <c r="M33" i="40"/>
  <c r="T33" i="40" l="1"/>
  <c r="O35" i="40"/>
  <c r="E17" i="28"/>
  <c r="P33" i="40"/>
  <c r="R35" i="40"/>
  <c r="E20" i="28"/>
  <c r="S35" i="40"/>
  <c r="C17" i="28"/>
  <c r="N33" i="40"/>
  <c r="S33" i="40"/>
  <c r="O33" i="40"/>
  <c r="Q33" i="40"/>
  <c r="T35" i="40"/>
  <c r="R33" i="40"/>
  <c r="P35" i="40"/>
  <c r="E21" i="28"/>
  <c r="C20" i="28"/>
  <c r="N34" i="40"/>
  <c r="N32" i="22"/>
  <c r="N35" i="40"/>
  <c r="C21" i="28"/>
  <c r="Q35" i="40"/>
  <c r="P34" i="40"/>
  <c r="P32" i="22"/>
  <c r="O34" i="40"/>
  <c r="O32" i="22"/>
  <c r="M41" i="40" l="1"/>
  <c r="P41" i="40"/>
  <c r="O41" i="40"/>
  <c r="S41" i="40"/>
  <c r="Q41" i="40"/>
  <c r="N41" i="40"/>
  <c r="T41" i="40"/>
  <c r="R41" i="40"/>
  <c r="M42" i="40"/>
  <c r="Q42" i="40"/>
  <c r="P42" i="40"/>
  <c r="T42" i="40"/>
  <c r="O42" i="40"/>
  <c r="R42" i="40"/>
  <c r="S42" i="40"/>
  <c r="N42" i="40"/>
  <c r="M31" i="40"/>
  <c r="O31" i="40" l="1"/>
  <c r="R31" i="40"/>
  <c r="S31" i="40"/>
  <c r="Q31" i="40"/>
  <c r="T31" i="40"/>
  <c r="P31" i="40"/>
  <c r="N31" i="40"/>
  <c r="M39" i="40" l="1"/>
  <c r="N39" i="40" l="1"/>
  <c r="Q39" i="40"/>
  <c r="S39" i="40"/>
  <c r="P39" i="40"/>
  <c r="O39" i="40"/>
  <c r="T39" i="40"/>
  <c r="R39" i="40"/>
  <c r="L20" i="20" l="1"/>
  <c r="L20" i="31"/>
  <c r="L15" i="20"/>
  <c r="L19" i="31"/>
  <c r="L19" i="22" s="1"/>
  <c r="L21" i="22" s="1"/>
  <c r="L23" i="22" s="1"/>
  <c r="L19" i="20" l="1"/>
  <c r="L46" i="22"/>
  <c r="L48" i="22" s="1"/>
  <c r="L42" i="22"/>
  <c r="L44" i="22" s="1"/>
  <c r="R19" i="20" l="1"/>
  <c r="R19" i="22"/>
  <c r="P19" i="20"/>
  <c r="P19" i="22"/>
  <c r="T19" i="20"/>
  <c r="T19" i="22"/>
  <c r="S19" i="20"/>
  <c r="S19" i="22"/>
  <c r="O19" i="20"/>
  <c r="O19" i="22"/>
  <c r="N19" i="20"/>
  <c r="N19" i="22"/>
  <c r="M15" i="31" l="1"/>
  <c r="M21" i="31" s="1"/>
  <c r="M19" i="22"/>
  <c r="M19" i="20"/>
  <c r="Q19" i="22"/>
  <c r="Q19" i="20"/>
  <c r="M15" i="20" l="1"/>
  <c r="M20" i="31"/>
  <c r="M20" i="20" s="1"/>
  <c r="M24" i="30" l="1"/>
  <c r="M22" i="31"/>
  <c r="M32" i="30"/>
  <c r="M21" i="20"/>
  <c r="M33" i="22" l="1"/>
  <c r="M34" i="22" s="1"/>
  <c r="B18" i="28"/>
  <c r="M32" i="40"/>
  <c r="M37" i="30"/>
  <c r="M23" i="31"/>
  <c r="M12" i="30" a="1"/>
  <c r="M12" i="30" s="1"/>
  <c r="M38" i="30" s="1"/>
  <c r="M22" i="20"/>
  <c r="M40" i="30"/>
  <c r="M16" i="22"/>
  <c r="M21" i="22" s="1"/>
  <c r="M28" i="22"/>
  <c r="M24" i="40"/>
  <c r="B36" i="28" l="1"/>
  <c r="M38" i="40"/>
  <c r="C29" i="11"/>
  <c r="C31" i="11" s="1"/>
  <c r="M22" i="22"/>
  <c r="M23" i="22" s="1"/>
  <c r="M40" i="40"/>
  <c r="B9" i="28"/>
  <c r="B7" i="28" s="1"/>
  <c r="M27" i="31"/>
  <c r="M23" i="20"/>
  <c r="M37" i="40"/>
  <c r="M43" i="30"/>
  <c r="B14" i="28"/>
  <c r="B10" i="28" s="1"/>
  <c r="M12" i="40"/>
  <c r="C33" i="11" l="1"/>
  <c r="F24" i="11" s="1"/>
  <c r="B24" i="23"/>
  <c r="M21" i="27"/>
  <c r="M43" i="40"/>
  <c r="M27" i="20"/>
  <c r="M28" i="31" a="1"/>
  <c r="M28" i="31" s="1"/>
  <c r="M46" i="22"/>
  <c r="M48" i="22" s="1"/>
  <c r="M42" i="22"/>
  <c r="B18" i="23" l="1" a="1"/>
  <c r="B18" i="23" s="1"/>
  <c r="B39" i="23" s="1"/>
  <c r="F31" i="11"/>
  <c r="F33" i="11" s="1"/>
  <c r="M29" i="31"/>
  <c r="M31" i="31" s="1"/>
  <c r="M28" i="27" s="1"/>
  <c r="M28" i="20"/>
  <c r="M50" i="30"/>
  <c r="F36" i="11" l="1"/>
  <c r="B20" i="14" s="1"/>
  <c r="B35" i="28"/>
  <c r="B42" i="28" s="1"/>
  <c r="M50" i="40"/>
  <c r="M32" i="31"/>
  <c r="M25" i="27"/>
  <c r="M32" i="27"/>
  <c r="M31" i="20"/>
  <c r="B6" i="28"/>
  <c r="B22" i="28" s="1"/>
  <c r="M10" i="27" s="1"/>
  <c r="M47" i="30"/>
  <c r="B7" i="23" l="1"/>
  <c r="L51" i="22"/>
  <c r="L52" i="22" s="1"/>
  <c r="H51" i="22"/>
  <c r="H52" i="22" s="1"/>
  <c r="M51" i="22"/>
  <c r="M52" i="22" s="1"/>
  <c r="B32" i="23" s="1"/>
  <c r="I51" i="22"/>
  <c r="I52" i="22" s="1"/>
  <c r="G51" i="22"/>
  <c r="G52" i="22" s="1"/>
  <c r="C51" i="22"/>
  <c r="F51" i="22"/>
  <c r="D51" i="22"/>
  <c r="B51" i="22"/>
  <c r="K51" i="22"/>
  <c r="K52" i="22" s="1"/>
  <c r="E51" i="22"/>
  <c r="J51" i="22"/>
  <c r="J52" i="22" s="1"/>
  <c r="M47" i="40"/>
  <c r="M49" i="30"/>
  <c r="D15" i="15"/>
  <c r="M31" i="27"/>
  <c r="B7" i="12"/>
  <c r="B43" i="28"/>
  <c r="B45" i="28" s="1"/>
  <c r="M6" i="30" s="1"/>
  <c r="N16" i="31" s="1"/>
  <c r="B34" i="23" l="1"/>
  <c r="M7" i="27"/>
  <c r="M16" i="30"/>
  <c r="M6" i="40"/>
  <c r="M9" i="27"/>
  <c r="C44" i="28"/>
  <c r="F15" i="15"/>
  <c r="D18" i="15"/>
  <c r="M49" i="40"/>
  <c r="M51" i="30"/>
  <c r="M51" i="40" l="1"/>
  <c r="M52" i="30"/>
  <c r="M20" i="27"/>
  <c r="M8" i="27"/>
  <c r="M27" i="30"/>
  <c r="M51" i="21" s="1"/>
  <c r="M16" i="40"/>
  <c r="N16" i="20"/>
  <c r="N15" i="31"/>
  <c r="N20" i="22"/>
  <c r="M16" i="21" l="1"/>
  <c r="M10" i="21"/>
  <c r="M19" i="21"/>
  <c r="M8" i="21"/>
  <c r="M43" i="21"/>
  <c r="M33" i="21"/>
  <c r="M37" i="21"/>
  <c r="M42" i="21"/>
  <c r="M46" i="21"/>
  <c r="M27" i="40"/>
  <c r="M50" i="21"/>
  <c r="M30" i="21"/>
  <c r="M19" i="27"/>
  <c r="M32" i="21"/>
  <c r="M11" i="21"/>
  <c r="M40" i="21"/>
  <c r="M18" i="21"/>
  <c r="M25" i="21"/>
  <c r="M21" i="21"/>
  <c r="M26" i="21"/>
  <c r="M35" i="21"/>
  <c r="M24" i="21"/>
  <c r="M20" i="21"/>
  <c r="M41" i="21"/>
  <c r="M27" i="21"/>
  <c r="M34" i="21"/>
  <c r="M22" i="21"/>
  <c r="M13" i="27"/>
  <c r="M7" i="21"/>
  <c r="M45" i="21"/>
  <c r="M31" i="21"/>
  <c r="M15" i="21"/>
  <c r="M29" i="21"/>
  <c r="M39" i="21"/>
  <c r="M48" i="21"/>
  <c r="M9" i="21"/>
  <c r="M17" i="21"/>
  <c r="M26" i="27"/>
  <c r="M38" i="21"/>
  <c r="M12" i="21"/>
  <c r="M23" i="21"/>
  <c r="M47" i="21"/>
  <c r="M49" i="21"/>
  <c r="M6" i="21"/>
  <c r="N15" i="20"/>
  <c r="N20" i="31"/>
  <c r="N20" i="20" s="1"/>
  <c r="N21" i="31"/>
  <c r="M52" i="21"/>
  <c r="M52" i="40"/>
  <c r="N21" i="20" l="1"/>
  <c r="N22" i="31"/>
  <c r="N23" i="31" s="1"/>
  <c r="N32" i="30"/>
  <c r="N24" i="30"/>
  <c r="N23" i="20" l="1"/>
  <c r="N27" i="31"/>
  <c r="N24" i="40"/>
  <c r="N28" i="22"/>
  <c r="N22" i="20"/>
  <c r="N16" i="22"/>
  <c r="N21" i="22" s="1"/>
  <c r="N40" i="30"/>
  <c r="N12" i="30" a="1"/>
  <c r="N12" i="30" s="1"/>
  <c r="C18" i="28"/>
  <c r="N33" i="22"/>
  <c r="N34" i="22" s="1"/>
  <c r="N32" i="40"/>
  <c r="N37" i="30"/>
  <c r="N38" i="30" l="1"/>
  <c r="N43" i="30" s="1"/>
  <c r="C14" i="28"/>
  <c r="C10" i="28" s="1"/>
  <c r="N12" i="40"/>
  <c r="N22" i="22"/>
  <c r="N23" i="22" s="1"/>
  <c r="N40" i="40"/>
  <c r="C9" i="28"/>
  <c r="C7" i="28" s="1"/>
  <c r="N37" i="40"/>
  <c r="N27" i="20"/>
  <c r="N28" i="31" a="1"/>
  <c r="N28" i="31" s="1"/>
  <c r="N29" i="31" s="1"/>
  <c r="N31" i="31" s="1"/>
  <c r="N28" i="27" s="1"/>
  <c r="N32" i="31" l="1"/>
  <c r="N25" i="27"/>
  <c r="N31" i="20"/>
  <c r="C6" i="28"/>
  <c r="C22" i="28" s="1"/>
  <c r="N32" i="27"/>
  <c r="N47" i="30"/>
  <c r="N46" i="22"/>
  <c r="N42" i="22"/>
  <c r="N28" i="20"/>
  <c r="N50" i="30"/>
  <c r="N43" i="40"/>
  <c r="N21" i="27"/>
  <c r="C36" i="28"/>
  <c r="N38" i="40"/>
  <c r="C35" i="28" l="1"/>
  <c r="C42" i="28" s="1"/>
  <c r="C43" i="28" s="1"/>
  <c r="C45" i="28" s="1"/>
  <c r="N6" i="30" s="1"/>
  <c r="O16" i="31" s="1"/>
  <c r="N50" i="40"/>
  <c r="N10" i="27"/>
  <c r="N49" i="30"/>
  <c r="N47" i="40"/>
  <c r="E15" i="15"/>
  <c r="N31" i="27"/>
  <c r="C7" i="12"/>
  <c r="N6" i="40" l="1"/>
  <c r="D44" i="28"/>
  <c r="M25" i="22"/>
  <c r="M30" i="22" s="1"/>
  <c r="M35" i="22" s="1"/>
  <c r="N9" i="27"/>
  <c r="N7" i="27"/>
  <c r="N16" i="30"/>
  <c r="D19" i="15"/>
  <c r="G15" i="15"/>
  <c r="N49" i="40"/>
  <c r="N51" i="30"/>
  <c r="N51" i="40" l="1"/>
  <c r="N20" i="27"/>
  <c r="N52" i="30"/>
  <c r="N16" i="40"/>
  <c r="N8" i="27"/>
  <c r="N27" i="30"/>
  <c r="N16" i="21" s="1"/>
  <c r="M40" i="22"/>
  <c r="M15" i="27"/>
  <c r="O20" i="22"/>
  <c r="O16" i="20"/>
  <c r="O15" i="31"/>
  <c r="N47" i="22" l="1"/>
  <c r="M43" i="22"/>
  <c r="M44" i="22" s="1"/>
  <c r="B13" i="23" s="1"/>
  <c r="B15" i="23" s="1"/>
  <c r="N8" i="21"/>
  <c r="N33" i="21"/>
  <c r="N37" i="21"/>
  <c r="N10" i="21"/>
  <c r="N22" i="21"/>
  <c r="N19" i="27"/>
  <c r="N35" i="21"/>
  <c r="N15" i="21"/>
  <c r="N27" i="40"/>
  <c r="N38" i="21"/>
  <c r="N26" i="27"/>
  <c r="N29" i="21"/>
  <c r="N7" i="21"/>
  <c r="N47" i="21"/>
  <c r="N31" i="21"/>
  <c r="N32" i="21"/>
  <c r="N45" i="21"/>
  <c r="N27" i="21"/>
  <c r="N46" i="21"/>
  <c r="N9" i="21"/>
  <c r="N23" i="21"/>
  <c r="N43" i="21"/>
  <c r="N11" i="21"/>
  <c r="N21" i="21"/>
  <c r="N30" i="21"/>
  <c r="N49" i="21"/>
  <c r="N39" i="21"/>
  <c r="N24" i="21"/>
  <c r="N42" i="21"/>
  <c r="N26" i="21"/>
  <c r="N13" i="27"/>
  <c r="N20" i="21"/>
  <c r="N50" i="21"/>
  <c r="N41" i="21"/>
  <c r="N19" i="21"/>
  <c r="N25" i="21"/>
  <c r="N34" i="21"/>
  <c r="N12" i="21"/>
  <c r="N18" i="21"/>
  <c r="N48" i="21"/>
  <c r="N40" i="21"/>
  <c r="N17" i="21"/>
  <c r="N6" i="21"/>
  <c r="N51" i="21"/>
  <c r="N52" i="40"/>
  <c r="N52" i="21"/>
  <c r="O15" i="20"/>
  <c r="O20" i="31"/>
  <c r="O20" i="20" s="1"/>
  <c r="O21" i="31"/>
  <c r="O21" i="20" l="1"/>
  <c r="O22" i="31"/>
  <c r="O23" i="31" s="1"/>
  <c r="O24" i="30"/>
  <c r="O32" i="30"/>
  <c r="N50" i="22"/>
  <c r="N48" i="22"/>
  <c r="N51" i="22" s="1"/>
  <c r="O28" i="22" l="1"/>
  <c r="O24" i="40"/>
  <c r="O27" i="31"/>
  <c r="O23" i="20"/>
  <c r="N52" i="22"/>
  <c r="C32" i="23" s="1"/>
  <c r="C34" i="23" s="1"/>
  <c r="D18" i="28"/>
  <c r="O32" i="40"/>
  <c r="O37" i="30"/>
  <c r="O33" i="22"/>
  <c r="O34" i="22" s="1"/>
  <c r="O40" i="30"/>
  <c r="O22" i="20"/>
  <c r="O16" i="22"/>
  <c r="O21" i="22" s="1"/>
  <c r="O12" i="30" a="1"/>
  <c r="O12" i="30" s="1"/>
  <c r="O37" i="40" l="1"/>
  <c r="O40" i="40"/>
  <c r="D9" i="28"/>
  <c r="D7" i="28" s="1"/>
  <c r="O22" i="22"/>
  <c r="O23" i="22" s="1"/>
  <c r="O27" i="20"/>
  <c r="O28" i="31" a="1"/>
  <c r="O28" i="31" s="1"/>
  <c r="O38" i="30"/>
  <c r="D14" i="28"/>
  <c r="D10" i="28" s="1"/>
  <c r="O12" i="40"/>
  <c r="O46" i="22" l="1"/>
  <c r="O42" i="22"/>
  <c r="O38" i="40"/>
  <c r="D36" i="28"/>
  <c r="O43" i="30"/>
  <c r="O28" i="20"/>
  <c r="O50" i="30"/>
  <c r="O29" i="31"/>
  <c r="O31" i="31" s="1"/>
  <c r="O28" i="27" s="1"/>
  <c r="O50" i="40" l="1"/>
  <c r="D35" i="28"/>
  <c r="D42" i="28" s="1"/>
  <c r="D6" i="28"/>
  <c r="D22" i="28" s="1"/>
  <c r="O32" i="27"/>
  <c r="O25" i="27"/>
  <c r="O32" i="31"/>
  <c r="O31" i="20"/>
  <c r="O47" i="30"/>
  <c r="O43" i="40"/>
  <c r="O21" i="27"/>
  <c r="O47" i="40" l="1"/>
  <c r="O49" i="30"/>
  <c r="O10" i="27"/>
  <c r="D43" i="28"/>
  <c r="D45" i="28" s="1"/>
  <c r="O6" i="30" s="1"/>
  <c r="P16" i="31" s="1"/>
  <c r="D7" i="12"/>
  <c r="O31" i="27"/>
  <c r="O51" i="30" l="1"/>
  <c r="O49" i="40"/>
  <c r="E44" i="28"/>
  <c r="O9" i="27"/>
  <c r="O6" i="40"/>
  <c r="N25" i="22"/>
  <c r="N30" i="22" s="1"/>
  <c r="N35" i="22" s="1"/>
  <c r="O7" i="27"/>
  <c r="O16" i="30"/>
  <c r="O27" i="30" l="1"/>
  <c r="O16" i="21" s="1"/>
  <c r="O8" i="27"/>
  <c r="O16" i="40"/>
  <c r="P16" i="20"/>
  <c r="P20" i="22"/>
  <c r="P15" i="31"/>
  <c r="N15" i="27"/>
  <c r="N40" i="22"/>
  <c r="O52" i="30"/>
  <c r="O51" i="40"/>
  <c r="O20" i="27"/>
  <c r="O52" i="21" l="1"/>
  <c r="O52" i="40"/>
  <c r="N43" i="22"/>
  <c r="N44" i="22" s="1"/>
  <c r="C13" i="23" s="1"/>
  <c r="C15" i="23" s="1"/>
  <c r="O47" i="22"/>
  <c r="P21" i="31"/>
  <c r="P15" i="20"/>
  <c r="P20" i="31"/>
  <c r="P20" i="20" s="1"/>
  <c r="O11" i="21"/>
  <c r="O27" i="21"/>
  <c r="O33" i="21"/>
  <c r="O26" i="27"/>
  <c r="O42" i="21"/>
  <c r="O10" i="21"/>
  <c r="O20" i="21"/>
  <c r="O47" i="21"/>
  <c r="O17" i="21"/>
  <c r="O49" i="21"/>
  <c r="O8" i="21"/>
  <c r="O48" i="21"/>
  <c r="O41" i="21"/>
  <c r="O21" i="21"/>
  <c r="O35" i="21"/>
  <c r="O26" i="21"/>
  <c r="O43" i="21"/>
  <c r="O32" i="21"/>
  <c r="O19" i="21"/>
  <c r="O22" i="21"/>
  <c r="O25" i="21"/>
  <c r="O34" i="21"/>
  <c r="O6" i="21"/>
  <c r="O19" i="27"/>
  <c r="O51" i="21"/>
  <c r="O23" i="21"/>
  <c r="O38" i="21"/>
  <c r="O15" i="21"/>
  <c r="O46" i="21"/>
  <c r="O37" i="21"/>
  <c r="O29" i="21"/>
  <c r="O50" i="21"/>
  <c r="O18" i="21"/>
  <c r="O9" i="21"/>
  <c r="O24" i="21"/>
  <c r="O40" i="21"/>
  <c r="O45" i="21"/>
  <c r="O7" i="21"/>
  <c r="O13" i="27"/>
  <c r="O27" i="40"/>
  <c r="O31" i="21"/>
  <c r="O39" i="21"/>
  <c r="O30" i="21"/>
  <c r="O12" i="21"/>
  <c r="P21" i="20" l="1"/>
  <c r="P24" i="30"/>
  <c r="P32" i="30"/>
  <c r="P22" i="31"/>
  <c r="O50" i="22"/>
  <c r="O48" i="22"/>
  <c r="O51" i="22" s="1"/>
  <c r="P16" i="22" l="1"/>
  <c r="P21" i="22" s="1"/>
  <c r="P12" i="30" a="1"/>
  <c r="P12" i="30" s="1"/>
  <c r="P22" i="20"/>
  <c r="P40" i="30"/>
  <c r="P23" i="31"/>
  <c r="P24" i="40"/>
  <c r="P28" i="22"/>
  <c r="O52" i="22"/>
  <c r="D32" i="23" s="1"/>
  <c r="D34" i="23" s="1"/>
  <c r="P33" i="22"/>
  <c r="P34" i="22" s="1"/>
  <c r="P32" i="40"/>
  <c r="E18" i="28"/>
  <c r="P37" i="30"/>
  <c r="P37" i="40" l="1"/>
  <c r="P38" i="30"/>
  <c r="P43" i="30" s="1"/>
  <c r="E14" i="28"/>
  <c r="E10" i="28" s="1"/>
  <c r="P12" i="40"/>
  <c r="P27" i="31"/>
  <c r="P23" i="20"/>
  <c r="P40" i="40"/>
  <c r="E9" i="28"/>
  <c r="E7" i="28" s="1"/>
  <c r="P22" i="22"/>
  <c r="P23" i="22" s="1"/>
  <c r="P43" i="40" l="1"/>
  <c r="P21" i="27"/>
  <c r="P28" i="31" a="1"/>
  <c r="P28" i="31" s="1"/>
  <c r="P27" i="20"/>
  <c r="P46" i="22"/>
  <c r="P42" i="22"/>
  <c r="P38" i="40"/>
  <c r="E36" i="28"/>
  <c r="P29" i="31" l="1"/>
  <c r="P31" i="31" s="1"/>
  <c r="P28" i="27" s="1"/>
  <c r="P50" i="30"/>
  <c r="P28" i="20"/>
  <c r="P50" i="40" l="1"/>
  <c r="E35" i="28"/>
  <c r="E42" i="28" s="1"/>
  <c r="P25" i="27"/>
  <c r="E6" i="28"/>
  <c r="E22" i="28" s="1"/>
  <c r="P32" i="27"/>
  <c r="P31" i="20"/>
  <c r="P47" i="30"/>
  <c r="P32" i="31"/>
  <c r="P47" i="40" l="1"/>
  <c r="P49" i="30"/>
  <c r="P10" i="27"/>
  <c r="E43" i="28"/>
  <c r="E45" i="28" s="1"/>
  <c r="P6" i="30" s="1"/>
  <c r="Q16" i="31" s="1"/>
  <c r="P31" i="27"/>
  <c r="E7" i="12"/>
  <c r="P7" i="27" l="1"/>
  <c r="P6" i="40"/>
  <c r="P9" i="27"/>
  <c r="O25" i="22"/>
  <c r="O30" i="22" s="1"/>
  <c r="O35" i="22" s="1"/>
  <c r="F44" i="28"/>
  <c r="P16" i="30"/>
  <c r="P51" i="30"/>
  <c r="P49" i="40"/>
  <c r="P20" i="27" l="1"/>
  <c r="P51" i="40"/>
  <c r="P52" i="30"/>
  <c r="P16" i="40"/>
  <c r="P27" i="30"/>
  <c r="P51" i="21" s="1"/>
  <c r="P8" i="27"/>
  <c r="Q20" i="22"/>
  <c r="Q15" i="31"/>
  <c r="Q16" i="20"/>
  <c r="O40" i="22"/>
  <c r="O15" i="27"/>
  <c r="P16" i="21" l="1"/>
  <c r="P31" i="21"/>
  <c r="P50" i="21"/>
  <c r="P11" i="21"/>
  <c r="P15" i="21"/>
  <c r="P39" i="21"/>
  <c r="P47" i="21"/>
  <c r="P34" i="21"/>
  <c r="P10" i="21"/>
  <c r="P42" i="21"/>
  <c r="P6" i="21"/>
  <c r="P48" i="21"/>
  <c r="P7" i="21"/>
  <c r="P38" i="21"/>
  <c r="P19" i="21"/>
  <c r="P27" i="40"/>
  <c r="P20" i="21"/>
  <c r="P45" i="21"/>
  <c r="P29" i="21"/>
  <c r="P24" i="21"/>
  <c r="P23" i="21"/>
  <c r="P12" i="21"/>
  <c r="P46" i="21"/>
  <c r="P40" i="21"/>
  <c r="P17" i="21"/>
  <c r="P35" i="21"/>
  <c r="P19" i="27"/>
  <c r="P32" i="21"/>
  <c r="P22" i="21"/>
  <c r="P25" i="21"/>
  <c r="P27" i="21"/>
  <c r="P41" i="21"/>
  <c r="P13" i="27"/>
  <c r="P30" i="21"/>
  <c r="P8" i="21"/>
  <c r="P26" i="27"/>
  <c r="P9" i="21"/>
  <c r="P18" i="21"/>
  <c r="P21" i="21"/>
  <c r="P37" i="21"/>
  <c r="P43" i="21"/>
  <c r="P33" i="21"/>
  <c r="P26" i="21"/>
  <c r="P49" i="21"/>
  <c r="Q21" i="31"/>
  <c r="Q20" i="31"/>
  <c r="Q20" i="20" s="1"/>
  <c r="Q15" i="20"/>
  <c r="P47" i="22"/>
  <c r="O43" i="22"/>
  <c r="O44" i="22" s="1"/>
  <c r="D13" i="23" s="1"/>
  <c r="D15" i="23" s="1"/>
  <c r="P52" i="40"/>
  <c r="P52" i="21"/>
  <c r="P50" i="22" l="1"/>
  <c r="P48" i="22"/>
  <c r="P51" i="22" s="1"/>
  <c r="Q32" i="30"/>
  <c r="Q22" i="31"/>
  <c r="Q21" i="20"/>
  <c r="Q24" i="30"/>
  <c r="Q23" i="31" l="1"/>
  <c r="Q12" i="30" a="1"/>
  <c r="Q12" i="30" s="1"/>
  <c r="Q40" i="30"/>
  <c r="Q16" i="22"/>
  <c r="Q21" i="22" s="1"/>
  <c r="Q22" i="20"/>
  <c r="Q37" i="30"/>
  <c r="Q32" i="40"/>
  <c r="Q33" i="22"/>
  <c r="Q34" i="22" s="1"/>
  <c r="F18" i="28"/>
  <c r="Q24" i="40"/>
  <c r="Q28" i="22"/>
  <c r="P52" i="22"/>
  <c r="E32" i="23" s="1"/>
  <c r="E34" i="23" s="1"/>
  <c r="Q38" i="30" l="1"/>
  <c r="Q43" i="30" s="1"/>
  <c r="Q12" i="40"/>
  <c r="F14" i="28"/>
  <c r="F10" i="28" s="1"/>
  <c r="Q37" i="40"/>
  <c r="F9" i="28"/>
  <c r="F7" i="28" s="1"/>
  <c r="Q22" i="22"/>
  <c r="Q23" i="22" s="1"/>
  <c r="Q40" i="40"/>
  <c r="Q23" i="20"/>
  <c r="Q27" i="31"/>
  <c r="Q43" i="40" l="1"/>
  <c r="Q21" i="27"/>
  <c r="Q28" i="31" a="1"/>
  <c r="Q28" i="31" s="1"/>
  <c r="Q27" i="20"/>
  <c r="Q46" i="22"/>
  <c r="Q42" i="22"/>
  <c r="F36" i="28"/>
  <c r="Q38" i="40"/>
  <c r="Q29" i="31" l="1"/>
  <c r="Q31" i="31" s="1"/>
  <c r="Q28" i="27" s="1"/>
  <c r="Q28" i="20"/>
  <c r="Q50" i="30"/>
  <c r="F35" i="28" l="1"/>
  <c r="F42" i="28" s="1"/>
  <c r="Q50" i="40"/>
  <c r="Q32" i="31"/>
  <c r="Q47" i="30"/>
  <c r="Q31" i="20"/>
  <c r="F6" i="28"/>
  <c r="F22" i="28" s="1"/>
  <c r="Q10" i="27" s="1"/>
  <c r="Q32" i="27"/>
  <c r="Q25" i="27"/>
  <c r="Q31" i="27" l="1"/>
  <c r="F7" i="12"/>
  <c r="Q49" i="30"/>
  <c r="Q47" i="40"/>
  <c r="F43" i="28"/>
  <c r="F45" i="28" s="1"/>
  <c r="Q6" i="30" s="1"/>
  <c r="R16" i="31" s="1"/>
  <c r="Q51" i="30" l="1"/>
  <c r="Q49" i="40"/>
  <c r="Q7" i="27"/>
  <c r="Q6" i="40"/>
  <c r="G44" i="28"/>
  <c r="Q9" i="27"/>
  <c r="Q16" i="30"/>
  <c r="P25" i="22"/>
  <c r="P30" i="22" s="1"/>
  <c r="P35" i="22" s="1"/>
  <c r="P40" i="22" l="1"/>
  <c r="P15" i="27"/>
  <c r="Q16" i="40"/>
  <c r="Q27" i="30"/>
  <c r="Q16" i="21" s="1"/>
  <c r="Q8" i="27"/>
  <c r="R20" i="22"/>
  <c r="R15" i="31"/>
  <c r="R16" i="20"/>
  <c r="Q20" i="27"/>
  <c r="Q51" i="40"/>
  <c r="Q52" i="30"/>
  <c r="Q52" i="40" l="1"/>
  <c r="Q52" i="21"/>
  <c r="Q10" i="21"/>
  <c r="Q33" i="21"/>
  <c r="Q12" i="21"/>
  <c r="Q8" i="21"/>
  <c r="Q25" i="21"/>
  <c r="Q45" i="21"/>
  <c r="Q23" i="21"/>
  <c r="Q38" i="21"/>
  <c r="Q48" i="21"/>
  <c r="Q7" i="21"/>
  <c r="Q27" i="21"/>
  <c r="Q13" i="27"/>
  <c r="Q26" i="21"/>
  <c r="Q46" i="21"/>
  <c r="Q40" i="21"/>
  <c r="Q9" i="21"/>
  <c r="Q20" i="21"/>
  <c r="Q26" i="27"/>
  <c r="Q18" i="21"/>
  <c r="Q29" i="21"/>
  <c r="Q11" i="21"/>
  <c r="Q24" i="21"/>
  <c r="Q22" i="21"/>
  <c r="Q31" i="21"/>
  <c r="Q34" i="21"/>
  <c r="Q37" i="21"/>
  <c r="Q43" i="21"/>
  <c r="Q35" i="21"/>
  <c r="Q39" i="21"/>
  <c r="Q21" i="21"/>
  <c r="Q19" i="21"/>
  <c r="Q41" i="21"/>
  <c r="Q42" i="21"/>
  <c r="Q30" i="21"/>
  <c r="Q17" i="21"/>
  <c r="Q19" i="27"/>
  <c r="Q50" i="21"/>
  <c r="Q27" i="40"/>
  <c r="Q32" i="21"/>
  <c r="Q15" i="21"/>
  <c r="Q47" i="21"/>
  <c r="Q6" i="21"/>
  <c r="Q49" i="21"/>
  <c r="R20" i="31"/>
  <c r="R20" i="20" s="1"/>
  <c r="R15" i="20"/>
  <c r="R21" i="31"/>
  <c r="Q51" i="21"/>
  <c r="P43" i="22"/>
  <c r="P44" i="22" s="1"/>
  <c r="E13" i="23" s="1"/>
  <c r="E15" i="23" s="1"/>
  <c r="Q47" i="22"/>
  <c r="R21" i="20" l="1"/>
  <c r="R22" i="31"/>
  <c r="R24" i="30"/>
  <c r="R32" i="30"/>
  <c r="Q50" i="22"/>
  <c r="Q48" i="22"/>
  <c r="Q51" i="22" s="1"/>
  <c r="Q52" i="22" l="1"/>
  <c r="F32" i="23" s="1"/>
  <c r="F34" i="23" s="1"/>
  <c r="R32" i="40"/>
  <c r="G18" i="28"/>
  <c r="R33" i="22"/>
  <c r="R34" i="22" s="1"/>
  <c r="R37" i="30"/>
  <c r="R37" i="40" s="1"/>
  <c r="R24" i="40"/>
  <c r="R28" i="22"/>
  <c r="R23" i="31"/>
  <c r="R16" i="22"/>
  <c r="R21" i="22" s="1"/>
  <c r="R12" i="30" a="1"/>
  <c r="R12" i="30" s="1"/>
  <c r="R22" i="20"/>
  <c r="R40" i="30"/>
  <c r="R12" i="40" l="1"/>
  <c r="G14" i="28"/>
  <c r="G10" i="28" s="1"/>
  <c r="R38" i="30"/>
  <c r="R27" i="31"/>
  <c r="R23" i="20"/>
  <c r="R40" i="40"/>
  <c r="G9" i="28"/>
  <c r="G7" i="28" s="1"/>
  <c r="R22" i="22"/>
  <c r="R23" i="22" s="1"/>
  <c r="R28" i="31" l="1" a="1"/>
  <c r="R28" i="31" s="1"/>
  <c r="R27" i="20"/>
  <c r="R46" i="22"/>
  <c r="R42" i="22"/>
  <c r="R43" i="30"/>
  <c r="R38" i="40"/>
  <c r="G36" i="28"/>
  <c r="R43" i="40" l="1"/>
  <c r="R21" i="27"/>
  <c r="R29" i="31"/>
  <c r="R31" i="31" s="1"/>
  <c r="R28" i="27" s="1"/>
  <c r="R28" i="20"/>
  <c r="R50" i="30"/>
  <c r="G35" i="28" l="1"/>
  <c r="G42" i="28" s="1"/>
  <c r="R50" i="40"/>
  <c r="G6" i="28"/>
  <c r="G22" i="28" s="1"/>
  <c r="R10" i="27" s="1"/>
  <c r="R25" i="27"/>
  <c r="R31" i="20"/>
  <c r="R32" i="27"/>
  <c r="R32" i="31"/>
  <c r="R47" i="30"/>
  <c r="R31" i="27" l="1"/>
  <c r="G7" i="12"/>
  <c r="R49" i="30"/>
  <c r="R47" i="40"/>
  <c r="G43" i="28"/>
  <c r="G45" i="28" s="1"/>
  <c r="R6" i="30" s="1"/>
  <c r="S16" i="31" s="1"/>
  <c r="R9" i="27" l="1"/>
  <c r="R6" i="40"/>
  <c r="Q25" i="22"/>
  <c r="Q30" i="22" s="1"/>
  <c r="Q35" i="22" s="1"/>
  <c r="H44" i="28"/>
  <c r="R7" i="27"/>
  <c r="R16" i="30"/>
  <c r="R51" i="30"/>
  <c r="R49" i="40"/>
  <c r="R51" i="40" l="1"/>
  <c r="R52" i="30"/>
  <c r="R20" i="27"/>
  <c r="Q40" i="22"/>
  <c r="Q15" i="27"/>
  <c r="R27" i="30"/>
  <c r="R16" i="21" s="1"/>
  <c r="R16" i="40"/>
  <c r="R8" i="27"/>
  <c r="S20" i="22"/>
  <c r="S16" i="20"/>
  <c r="S15" i="31"/>
  <c r="R7" i="21" l="1"/>
  <c r="R31" i="21"/>
  <c r="R33" i="21"/>
  <c r="R30" i="21"/>
  <c r="R10" i="21"/>
  <c r="R45" i="21"/>
  <c r="R22" i="21"/>
  <c r="R19" i="21"/>
  <c r="R19" i="27"/>
  <c r="R35" i="21"/>
  <c r="R11" i="21"/>
  <c r="R24" i="21"/>
  <c r="R27" i="21"/>
  <c r="R32" i="21"/>
  <c r="R15" i="21"/>
  <c r="R40" i="21"/>
  <c r="R34" i="21"/>
  <c r="R42" i="21"/>
  <c r="R21" i="21"/>
  <c r="R48" i="21"/>
  <c r="R39" i="21"/>
  <c r="R27" i="40"/>
  <c r="R41" i="21"/>
  <c r="R12" i="21"/>
  <c r="R18" i="21"/>
  <c r="R38" i="21"/>
  <c r="R26" i="21"/>
  <c r="R20" i="21"/>
  <c r="R29" i="21"/>
  <c r="R23" i="21"/>
  <c r="R9" i="21"/>
  <c r="R13" i="27"/>
  <c r="R17" i="21"/>
  <c r="R37" i="21"/>
  <c r="R8" i="21"/>
  <c r="R46" i="21"/>
  <c r="R25" i="21"/>
  <c r="R43" i="21"/>
  <c r="R50" i="21"/>
  <c r="R26" i="27"/>
  <c r="R47" i="21"/>
  <c r="R6" i="21"/>
  <c r="R49" i="21"/>
  <c r="Q43" i="22"/>
  <c r="Q44" i="22" s="1"/>
  <c r="F13" i="23" s="1"/>
  <c r="F15" i="23" s="1"/>
  <c r="R47" i="22"/>
  <c r="R51" i="21"/>
  <c r="R52" i="21"/>
  <c r="R52" i="40"/>
  <c r="S21" i="31"/>
  <c r="S15" i="20"/>
  <c r="S20" i="31"/>
  <c r="S20" i="20" s="1"/>
  <c r="R48" i="22" l="1"/>
  <c r="R51" i="22" s="1"/>
  <c r="R50" i="22"/>
  <c r="S22" i="31"/>
  <c r="S23" i="31" s="1"/>
  <c r="S21" i="20"/>
  <c r="S24" i="30"/>
  <c r="S32" i="30"/>
  <c r="R52" i="22" l="1"/>
  <c r="G32" i="23" s="1"/>
  <c r="G34" i="23" s="1"/>
  <c r="S33" i="22"/>
  <c r="S34" i="22" s="1"/>
  <c r="S37" i="30"/>
  <c r="H18" i="28"/>
  <c r="S32" i="40"/>
  <c r="S27" i="31"/>
  <c r="S23" i="20"/>
  <c r="S28" i="22"/>
  <c r="S24" i="40"/>
  <c r="S16" i="22"/>
  <c r="S21" i="22" s="1"/>
  <c r="S22" i="20"/>
  <c r="S40" i="30"/>
  <c r="S12" i="30" a="1"/>
  <c r="S12" i="30" s="1"/>
  <c r="S38" i="30" s="1"/>
  <c r="H9" i="28" l="1"/>
  <c r="H7" i="28" s="1"/>
  <c r="S40" i="40"/>
  <c r="S22" i="22"/>
  <c r="S23" i="22" s="1"/>
  <c r="S38" i="40"/>
  <c r="H36" i="28"/>
  <c r="S28" i="31" a="1"/>
  <c r="S28" i="31" s="1"/>
  <c r="S29" i="31" s="1"/>
  <c r="S31" i="31" s="1"/>
  <c r="S28" i="27" s="1"/>
  <c r="S27" i="20"/>
  <c r="S37" i="40"/>
  <c r="S43" i="30"/>
  <c r="H14" i="28"/>
  <c r="H10" i="28" s="1"/>
  <c r="S12" i="40"/>
  <c r="S43" i="40" l="1"/>
  <c r="S21" i="27"/>
  <c r="S32" i="31"/>
  <c r="S31" i="20"/>
  <c r="S25" i="27"/>
  <c r="H6" i="28"/>
  <c r="H22" i="28" s="1"/>
  <c r="S32" i="27"/>
  <c r="S47" i="30"/>
  <c r="S28" i="20"/>
  <c r="S50" i="30"/>
  <c r="S46" i="22"/>
  <c r="S42" i="22"/>
  <c r="H35" i="28" l="1"/>
  <c r="H42" i="28" s="1"/>
  <c r="H43" i="28" s="1"/>
  <c r="H45" i="28" s="1"/>
  <c r="S6" i="30" s="1"/>
  <c r="T16" i="31" s="1"/>
  <c r="S50" i="40"/>
  <c r="S49" i="30"/>
  <c r="S47" i="40"/>
  <c r="S10" i="27"/>
  <c r="H7" i="12"/>
  <c r="S31" i="27"/>
  <c r="S51" i="30" l="1"/>
  <c r="S49" i="40"/>
  <c r="S6" i="40"/>
  <c r="S9" i="27"/>
  <c r="R25" i="22"/>
  <c r="R30" i="22" s="1"/>
  <c r="R35" i="22" s="1"/>
  <c r="I44" i="28"/>
  <c r="S7" i="27"/>
  <c r="S16" i="30"/>
  <c r="S27" i="30" l="1"/>
  <c r="S16" i="21" s="1"/>
  <c r="S16" i="40"/>
  <c r="S8" i="27"/>
  <c r="T16" i="20"/>
  <c r="T15" i="31"/>
  <c r="T20" i="22"/>
  <c r="R40" i="22"/>
  <c r="R15" i="27"/>
  <c r="S51" i="40"/>
  <c r="S52" i="30"/>
  <c r="S20" i="27"/>
  <c r="S51" i="21" l="1"/>
  <c r="T20" i="31"/>
  <c r="T20" i="20" s="1"/>
  <c r="T21" i="31"/>
  <c r="T15" i="20"/>
  <c r="S52" i="40"/>
  <c r="S52" i="21"/>
  <c r="R43" i="22"/>
  <c r="R44" i="22" s="1"/>
  <c r="G13" i="23" s="1"/>
  <c r="G15" i="23" s="1"/>
  <c r="S47" i="22"/>
  <c r="S48" i="21"/>
  <c r="S27" i="40"/>
  <c r="S38" i="21"/>
  <c r="S46" i="21"/>
  <c r="S31" i="21"/>
  <c r="S27" i="21"/>
  <c r="S30" i="21"/>
  <c r="S23" i="21"/>
  <c r="S9" i="21"/>
  <c r="S13" i="27"/>
  <c r="S33" i="21"/>
  <c r="S21" i="21"/>
  <c r="S11" i="21"/>
  <c r="S19" i="27"/>
  <c r="S15" i="21"/>
  <c r="S20" i="21"/>
  <c r="S17" i="21"/>
  <c r="S8" i="21"/>
  <c r="S32" i="21"/>
  <c r="S42" i="21"/>
  <c r="S25" i="21"/>
  <c r="S39" i="21"/>
  <c r="S41" i="21"/>
  <c r="S18" i="21"/>
  <c r="S12" i="21"/>
  <c r="S7" i="21"/>
  <c r="S29" i="21"/>
  <c r="S45" i="21"/>
  <c r="S35" i="21"/>
  <c r="S22" i="21"/>
  <c r="S37" i="21"/>
  <c r="S10" i="21"/>
  <c r="S40" i="21"/>
  <c r="S24" i="21"/>
  <c r="S19" i="21"/>
  <c r="S34" i="21"/>
  <c r="S43" i="21"/>
  <c r="S26" i="27"/>
  <c r="S47" i="21"/>
  <c r="S50" i="21"/>
  <c r="S49" i="21"/>
  <c r="S6" i="21"/>
  <c r="S48" i="22" l="1"/>
  <c r="S51" i="22" s="1"/>
  <c r="S50" i="22"/>
  <c r="T24" i="30"/>
  <c r="T22" i="31"/>
  <c r="T32" i="30"/>
  <c r="T21" i="20"/>
  <c r="S52" i="22" l="1"/>
  <c r="H32" i="23" s="1"/>
  <c r="H34" i="23" s="1"/>
  <c r="T33" i="22"/>
  <c r="T34" i="22" s="1"/>
  <c r="T37" i="30"/>
  <c r="I18" i="28"/>
  <c r="T32" i="40"/>
  <c r="T23" i="31"/>
  <c r="T12" i="30" a="1"/>
  <c r="T12" i="30" s="1"/>
  <c r="T16" i="22"/>
  <c r="T21" i="22" s="1"/>
  <c r="T22" i="20"/>
  <c r="T40" i="30"/>
  <c r="T28" i="22"/>
  <c r="T30" i="22" s="1"/>
  <c r="T24" i="40"/>
  <c r="T35" i="22" l="1"/>
  <c r="T40" i="22" s="1"/>
  <c r="T12" i="40"/>
  <c r="I14" i="28"/>
  <c r="I10" i="28" s="1"/>
  <c r="T38" i="30"/>
  <c r="T43" i="30" s="1"/>
  <c r="T40" i="40"/>
  <c r="I9" i="28"/>
  <c r="I7" i="28" s="1"/>
  <c r="T22" i="22"/>
  <c r="T23" i="22" s="1"/>
  <c r="T37" i="40"/>
  <c r="T27" i="31"/>
  <c r="T23" i="20"/>
  <c r="T15" i="27" l="1"/>
  <c r="T28" i="31" a="1"/>
  <c r="T28" i="31" s="1"/>
  <c r="T27" i="20"/>
  <c r="T46" i="22"/>
  <c r="T42" i="22"/>
  <c r="T43" i="40"/>
  <c r="T21" i="27"/>
  <c r="T38" i="40"/>
  <c r="I36" i="28"/>
  <c r="T29" i="31" l="1"/>
  <c r="T31" i="31" s="1"/>
  <c r="T28" i="27" s="1"/>
  <c r="T50" i="30"/>
  <c r="T28" i="20"/>
  <c r="I35" i="28" l="1"/>
  <c r="I42" i="28" s="1"/>
  <c r="T50" i="40"/>
  <c r="T25" i="27"/>
  <c r="B11" i="12" s="1"/>
  <c r="I15" i="12" s="1"/>
  <c r="T32" i="27"/>
  <c r="T32" i="31"/>
  <c r="T31" i="20"/>
  <c r="I6" i="28"/>
  <c r="I22" i="28" s="1"/>
  <c r="T10" i="27" s="1"/>
  <c r="T47" i="30"/>
  <c r="I7" i="12" l="1"/>
  <c r="I16" i="12" s="1"/>
  <c r="I17" i="12" s="1"/>
  <c r="I19" i="12" s="1"/>
  <c r="B21" i="12" s="1"/>
  <c r="B22" i="12" s="1"/>
  <c r="T31" i="27"/>
  <c r="T47" i="40"/>
  <c r="T49" i="30"/>
  <c r="I43" i="28"/>
  <c r="I45" i="28" s="1"/>
  <c r="T6" i="30" s="1"/>
  <c r="T9" i="27" l="1"/>
  <c r="T7" i="27"/>
  <c r="S25" i="22"/>
  <c r="S30" i="22" s="1"/>
  <c r="S35" i="22" s="1"/>
  <c r="T6" i="40"/>
  <c r="T16" i="30"/>
  <c r="T51" i="30"/>
  <c r="T49" i="40"/>
  <c r="T8" i="27" l="1"/>
  <c r="T27" i="30"/>
  <c r="T51" i="21" s="1"/>
  <c r="T16" i="40"/>
  <c r="T51" i="40"/>
  <c r="T52" i="30"/>
  <c r="T20" i="27"/>
  <c r="S15" i="27"/>
  <c r="S40" i="22"/>
  <c r="T47" i="22" l="1"/>
  <c r="S43" i="22"/>
  <c r="S44" i="22" s="1"/>
  <c r="H13" i="23" s="1"/>
  <c r="H15" i="23" s="1"/>
  <c r="T43" i="22"/>
  <c r="T44" i="22" s="1"/>
  <c r="T52" i="40"/>
  <c r="T52" i="21"/>
  <c r="T16" i="21"/>
  <c r="T29" i="21"/>
  <c r="T21" i="21"/>
  <c r="T40" i="21"/>
  <c r="T25" i="21"/>
  <c r="T35" i="21"/>
  <c r="T48" i="21"/>
  <c r="T19" i="27"/>
  <c r="T20" i="21"/>
  <c r="T17" i="21"/>
  <c r="T8" i="21"/>
  <c r="T12" i="21"/>
  <c r="T27" i="21"/>
  <c r="T37" i="21"/>
  <c r="T45" i="21"/>
  <c r="T38" i="21"/>
  <c r="T41" i="21"/>
  <c r="T15" i="21"/>
  <c r="T19" i="21"/>
  <c r="T11" i="21"/>
  <c r="T23" i="21"/>
  <c r="T24" i="21"/>
  <c r="T46" i="21"/>
  <c r="T32" i="21"/>
  <c r="T30" i="21"/>
  <c r="T13" i="27"/>
  <c r="T9" i="21"/>
  <c r="T27" i="40"/>
  <c r="T39" i="21"/>
  <c r="T33" i="21"/>
  <c r="T18" i="21"/>
  <c r="T22" i="21"/>
  <c r="T34" i="21"/>
  <c r="T10" i="21"/>
  <c r="T42" i="21"/>
  <c r="T31" i="21"/>
  <c r="T7" i="21"/>
  <c r="T43" i="21"/>
  <c r="T50" i="21"/>
  <c r="T26" i="27"/>
  <c r="T47" i="21"/>
  <c r="T6" i="21"/>
  <c r="T49" i="21"/>
  <c r="T48" i="22" l="1"/>
  <c r="T50" i="22"/>
  <c r="T51" i="22" l="1"/>
  <c r="T52" i="22" s="1"/>
  <c r="I32" i="23" s="1"/>
  <c r="B6" i="23"/>
  <c r="I14" i="23" s="1"/>
  <c r="I15" i="23" s="1"/>
  <c r="B17" i="23" s="1"/>
  <c r="B26" i="23" s="1"/>
  <c r="B28" i="23" s="1"/>
  <c r="B29" i="23" s="1"/>
  <c r="I33" i="23" l="1"/>
  <c r="I34" i="23" s="1"/>
  <c r="B36" i="23" s="1"/>
  <c r="B38" i="23" s="1"/>
  <c r="B40" i="23" s="1"/>
  <c r="B42" i="23" s="1"/>
  <c r="B43" i="23" s="1"/>
  <c r="P5" i="14" l="1"/>
  <c r="D4" i="14" s="1"/>
  <c r="Z27" i="14"/>
  <c r="Z5" i="14"/>
  <c r="Z16" i="14"/>
  <c r="P16" i="14"/>
  <c r="P27"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tc={F9714180-F228-4A36-B404-4A221A8B4335}</author>
    <author>tc={44F8742D-73BC-4D31-9BCF-B501CB8782BB}</author>
  </authors>
  <commentList>
    <comment ref="C48" authorId="0" shapeId="0" xr:uid="{00000000-0006-0000-0000-000001000000}">
      <text>
        <t>[Threaded comment]
Your version of Excel allows you to read this threaded comment; however, any edits to it will get removed if the file is opened in a newer version of Excel. Learn more: https://go.microsoft.com/fwlink/?linkid=870924
Comment:
    May be estimated by using the average payout ratio, applying a growth rate to the prior year's dividend, or on a per share basis.</t>
      </text>
    </comment>
    <comment ref="C49" authorId="1" shapeId="0" xr:uid="{00000000-0006-0000-0000-000002000000}">
      <text>
        <t>[Threaded comment]
Your version of Excel allows you to read this threaded comment; however, any edits to it will get removed if the file is opened in a newer version of Excel. Learn more: https://go.microsoft.com/fwlink/?linkid=870924
Comment:
    Total dividends paid is subtracted from retained earnings (RE) on the B/S and also listed on the CF statement.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Houge, Todd</author>
  </authors>
  <commentList>
    <comment ref="A2" authorId="0" shapeId="0" xr:uid="{639F43E0-0DF9-4BF6-A57D-F8AAFDBDFBDD}">
      <text>
        <r>
          <rPr>
            <b/>
            <sz val="9"/>
            <color indexed="81"/>
            <rFont val="Tahoma"/>
            <family val="2"/>
          </rPr>
          <t>Houge, Todd:</t>
        </r>
        <r>
          <rPr>
            <sz val="9"/>
            <color indexed="81"/>
            <rFont val="Tahoma"/>
            <family val="2"/>
          </rPr>
          <t xml:space="preserve">
Decompose revenues as detailed as possible. 
Revenues might be broken out into segments, divisions, geography, unit sales, volume and price, etc. We eventually want to tie company revenues back to a macro level story. More revenue detail will generally allow for a more robust projection when forecasting.
In addition, please show growth rates (%) for both segments and total revenues.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Houge, Todd</author>
  </authors>
  <commentList>
    <comment ref="A2" authorId="0" shapeId="0" xr:uid="{00000000-0006-0000-0200-000001000000}">
      <text>
        <r>
          <rPr>
            <b/>
            <sz val="9"/>
            <color indexed="81"/>
            <rFont val="Tahoma"/>
            <family val="2"/>
          </rPr>
          <t>Houge, Todd:</t>
        </r>
        <r>
          <rPr>
            <sz val="9"/>
            <color indexed="81"/>
            <rFont val="Tahoma"/>
            <family val="2"/>
          </rPr>
          <t xml:space="preserve">
Organize the historical I/S data so that it more closely resembles how the company reported the data in the most recent 10K or annual report. 
If the company does not break out depreciation and amortization separately, I suggest backing these out of COGS as individual line items before building out the model. 
In addition, at the bottom of the I/S please show: basic EPS, total shares outstanding, and dividends per share. We will not need to display diluted share information for the project.
Depending on the size of the company, I suggest download the original data in either $millions or $000 to reduce the amount of clutter on the page.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Houge, Todd</author>
  </authors>
  <commentList>
    <comment ref="A2" authorId="0" shapeId="0" xr:uid="{FE19F6E3-1DE3-4302-ACB9-51AB21F62753}">
      <text>
        <r>
          <rPr>
            <b/>
            <sz val="9"/>
            <color rgb="FF000000"/>
            <rFont val="Tahoma"/>
            <family val="2"/>
          </rPr>
          <t>Houge, Todd:</t>
        </r>
        <r>
          <rPr>
            <sz val="9"/>
            <color rgb="FF000000"/>
            <rFont val="Tahoma"/>
            <family val="2"/>
          </rPr>
          <t xml:space="preserve">
</t>
        </r>
        <r>
          <rPr>
            <sz val="9"/>
            <color rgb="FF000000"/>
            <rFont val="Tahoma"/>
            <family val="2"/>
          </rPr>
          <t xml:space="preserve">Organize the historical I/S data so that it more closely resembles how the company reported the data in the most recent 10K or annual report. 
</t>
        </r>
        <r>
          <rPr>
            <sz val="9"/>
            <color rgb="FF000000"/>
            <rFont val="Tahoma"/>
            <family val="2"/>
          </rPr>
          <t xml:space="preserve">
</t>
        </r>
        <r>
          <rPr>
            <sz val="9"/>
            <color rgb="FF000000"/>
            <rFont val="Tahoma"/>
            <family val="2"/>
          </rPr>
          <t xml:space="preserve">If the company does not break out depreciation and amortization separately, I suggest backing these out of COGS as individual line items before building out the model. 
</t>
        </r>
        <r>
          <rPr>
            <sz val="9"/>
            <color rgb="FF000000"/>
            <rFont val="Tahoma"/>
            <family val="2"/>
          </rPr>
          <t xml:space="preserve">
</t>
        </r>
        <r>
          <rPr>
            <sz val="9"/>
            <color rgb="FF000000"/>
            <rFont val="Tahoma"/>
            <family val="2"/>
          </rPr>
          <t xml:space="preserve">In addition, at the bottom of the I/S please show: basic EPS, total shares outstanding, and dividends per share. We will not need to display diluted share information for the project.
</t>
        </r>
        <r>
          <rPr>
            <sz val="9"/>
            <color rgb="FF000000"/>
            <rFont val="Tahoma"/>
            <family val="2"/>
          </rPr>
          <t xml:space="preserve">
</t>
        </r>
        <r>
          <rPr>
            <sz val="9"/>
            <color rgb="FF000000"/>
            <rFont val="Tahoma"/>
            <family val="2"/>
          </rPr>
          <t>Depending on the size of the company, I suggest download the original data in either $millions or $000 to reduce the amount of clutter on the page.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Houge, Todd</author>
  </authors>
  <commentList>
    <comment ref="A2" authorId="0" shapeId="0" xr:uid="{00000000-0006-0000-0400-000001000000}">
      <text>
        <r>
          <rPr>
            <b/>
            <sz val="9"/>
            <color indexed="81"/>
            <rFont val="Tahoma"/>
            <family val="2"/>
          </rPr>
          <t>Houge, Todd:</t>
        </r>
        <r>
          <rPr>
            <sz val="9"/>
            <color indexed="81"/>
            <rFont val="Tahoma"/>
            <family val="2"/>
          </rPr>
          <t xml:space="preserve">
Use this worksheet to only display historical cash flow statement data. We will not make any forecasts on this worksheet. It is only used for reporting the historical data.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Houge, Todd</author>
  </authors>
  <commentList>
    <comment ref="A2" authorId="0" shapeId="0" xr:uid="{00000000-0006-0000-0500-000001000000}">
      <text>
        <r>
          <rPr>
            <b/>
            <sz val="9"/>
            <color indexed="81"/>
            <rFont val="Tahoma"/>
            <family val="2"/>
          </rPr>
          <t>Houge, Todd:</t>
        </r>
        <r>
          <rPr>
            <sz val="9"/>
            <color indexed="81"/>
            <rFont val="Tahoma"/>
            <family val="2"/>
          </rPr>
          <t xml:space="preserve">
Use this worksheet to only estimate the forecasted years' cash flows. There will not be any historical data on this worksheet. Set up this worksheet as a series of changes in the corresponding balance sheet accounts. The organization of this worksheet does NOT need to follow the layout or accounts shown on the historical CF statement. We will create an indirect statement, which then results in an end of the year cash forecast necessary to balance the balance sheet.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Houge, Todd</author>
  </authors>
  <commentList>
    <comment ref="A2" authorId="0" shapeId="0" xr:uid="{00000000-0006-0000-0600-000001000000}">
      <text>
        <r>
          <rPr>
            <b/>
            <sz val="9"/>
            <color indexed="81"/>
            <rFont val="Tahoma"/>
            <family val="2"/>
          </rPr>
          <t>Houge, Todd:</t>
        </r>
        <r>
          <rPr>
            <sz val="9"/>
            <color indexed="81"/>
            <rFont val="Tahoma"/>
            <family val="2"/>
          </rPr>
          <t xml:space="preserve">
After you have cleaned up the formatting of the historical I/S data, copy the layout to this worksheet first. For each item, estimate the number as a percentage of the corresponding year's sales. Make sure to fix the cell reference (F4 function) for the sales year before copying formulas.
If you are covering a bank or insurance company, estimate the common size I/S as a percentage of total assets instead of sales.
Display the figures as a percentage (%) with 2 decimal places.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Houge, Todd</author>
  </authors>
  <commentList>
    <comment ref="A2" authorId="0" shapeId="0" xr:uid="{FCEAB901-F190-48BC-A43A-ECD5125A085D}">
      <text>
        <r>
          <rPr>
            <b/>
            <sz val="9"/>
            <color indexed="81"/>
            <rFont val="Tahoma"/>
            <family val="2"/>
          </rPr>
          <t>Houge, Todd:</t>
        </r>
        <r>
          <rPr>
            <sz val="9"/>
            <color indexed="81"/>
            <rFont val="Tahoma"/>
            <family val="2"/>
          </rPr>
          <t xml:space="preserve">
After you have cleaned up the formatting of the historical B/S data, copy the layout to this worksheet FIRST. ThenFor each item, estimate the number as a percentage of the corresponding year's </t>
        </r>
        <r>
          <rPr>
            <u/>
            <sz val="9"/>
            <color indexed="81"/>
            <rFont val="Tahoma"/>
            <family val="2"/>
          </rPr>
          <t>SALES</t>
        </r>
        <r>
          <rPr>
            <sz val="9"/>
            <color indexed="81"/>
            <rFont val="Tahoma"/>
            <family val="2"/>
          </rPr>
          <t>. Make sure to fix the cell reference (F4 function) for the sales year before copying formulas. Your group may also wish to create a 2nd common size B/S that is computed as a percentage of Assets.
If you are covering a bank or insurance company, estimate the common size B/S as a percentage of total assets instead of sales.
Display the numbers as a percentage (%) with 2 decimal places.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Houge, Todd</author>
  </authors>
  <commentList>
    <comment ref="A2" authorId="0" shapeId="0" xr:uid="{00000000-0006-0000-0700-000001000000}">
      <text>
        <r>
          <rPr>
            <b/>
            <sz val="9"/>
            <color indexed="81"/>
            <rFont val="Tahoma"/>
            <family val="2"/>
          </rPr>
          <t>Houge, Todd:</t>
        </r>
        <r>
          <rPr>
            <sz val="9"/>
            <color indexed="81"/>
            <rFont val="Tahoma"/>
            <family val="2"/>
          </rPr>
          <t xml:space="preserve">
After you have cleaned up the formatting of the historical B/S data, copy the layout to this worksheet FIRST. ThenFor each item, estimate the number as a percentage of the corresponding year's </t>
        </r>
        <r>
          <rPr>
            <u/>
            <sz val="9"/>
            <color indexed="81"/>
            <rFont val="Tahoma"/>
            <family val="2"/>
          </rPr>
          <t>SALES</t>
        </r>
        <r>
          <rPr>
            <sz val="9"/>
            <color indexed="81"/>
            <rFont val="Tahoma"/>
            <family val="2"/>
          </rPr>
          <t>. Make sure to fix the cell reference (F4 function) for the sales year before copying formulas. Your group may also wish to create a 2nd common size B/S that is computed as a percentage of Assets.
If you are covering a bank or insurance company, estimate the common size B/S as a percentage of total assets instead of sales.
Display the numbers as a percentage (%) with 2 decimal places.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tc={2BF4B63B-A630-481B-B9AF-C3E8425A2078}</author>
  </authors>
  <commentList>
    <comment ref="B6" authorId="0" shapeId="0" xr:uid="{2BF4B63B-A630-481B-B9AF-C3E8425A2078}">
      <text>
        <t>[Threaded comment]
Your version of Excel allows you to read this threaded comment; however, any edits to it will get removed if the file is opened in a newer version of Excel. Learn more: https://go.microsoft.com/fwlink/?linkid=870924
Comment:
    This is the ROIC computed in the last forecast year on the Value Drivers worksheet.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bizsetup</author>
  </authors>
  <commentList>
    <comment ref="D15" authorId="0" shapeId="0" xr:uid="{00000000-0006-0000-0C00-000001000000}">
      <text>
        <r>
          <rPr>
            <b/>
            <sz val="9"/>
            <color indexed="81"/>
            <rFont val="Tahoma"/>
            <family val="2"/>
          </rPr>
          <t>TH:</t>
        </r>
        <r>
          <rPr>
            <sz val="9"/>
            <color indexed="81"/>
            <rFont val="Tahoma"/>
            <family val="2"/>
          </rPr>
          <t xml:space="preserve">
This should be YOUR model's estimate from the income statement forecast.
</t>
        </r>
      </text>
    </comment>
    <comment ref="E15" authorId="0" shapeId="0" xr:uid="{00000000-0006-0000-0C00-000002000000}">
      <text>
        <r>
          <rPr>
            <b/>
            <sz val="9"/>
            <color indexed="81"/>
            <rFont val="Tahoma"/>
            <family val="2"/>
          </rPr>
          <t>TH:</t>
        </r>
        <r>
          <rPr>
            <sz val="9"/>
            <color indexed="81"/>
            <rFont val="Tahoma"/>
            <family val="2"/>
          </rPr>
          <t xml:space="preserve">
This should be YOUR model's estimate from the income statement forecast.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tc={D01A3336-D0BE-4142-ABFC-AE66C96B6C9D}</author>
  </authors>
  <commentList>
    <comment ref="B11" authorId="0" shapeId="0" xr:uid="{D01A3336-D0BE-4142-ABFC-AE66C96B6C9D}">
      <text>
        <t>[Threaded comment]
Your version of Excel allows you to read this threaded comment; however, any edits to it will get removed if the file is opened in a newer version of Excel. Learn more: https://go.microsoft.com/fwlink/?linkid=870924
Comment:
    This is the ROE computed from the forecast horizon CV year. I suggest linking to the computation on the Ratios worksheet.
ROE = NI / Beginning TSE</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Tippie College of Business</author>
  </authors>
  <commentList>
    <comment ref="C13" authorId="0" shapeId="0" xr:uid="{00000000-0006-0000-0E00-000001000000}">
      <text>
        <r>
          <rPr>
            <b/>
            <sz val="8"/>
            <color indexed="81"/>
            <rFont val="Tahoma"/>
            <family val="2"/>
          </rPr>
          <t>Todd Houge:</t>
        </r>
        <r>
          <rPr>
            <sz val="8"/>
            <color indexed="81"/>
            <rFont val="Tahoma"/>
            <family val="2"/>
          </rPr>
          <t xml:space="preserve">
The PV of operating leases needs to be subtracted from the value of the firm in the DCF model, included in the IC calculation, and factored into the WACC estimation.</t>
        </r>
      </text>
    </comment>
    <comment ref="C17" authorId="0" shapeId="0" xr:uid="{00000000-0006-0000-0E00-000005000000}">
      <text>
        <r>
          <rPr>
            <b/>
            <sz val="8"/>
            <color indexed="81"/>
            <rFont val="Tahoma"/>
            <family val="2"/>
          </rPr>
          <t>Todd Houge:</t>
        </r>
        <r>
          <rPr>
            <sz val="8"/>
            <color indexed="81"/>
            <rFont val="Tahoma"/>
            <family val="2"/>
          </rPr>
          <t xml:space="preserve">  Link this cell to the cell containing your assumption for the firm's implied pre-tax cost of debt.</t>
        </r>
      </text>
    </comment>
    <comment ref="C18" authorId="0" shapeId="0" xr:uid="{00000000-0006-0000-0E00-000009000000}">
      <text>
        <r>
          <rPr>
            <b/>
            <sz val="8"/>
            <color indexed="81"/>
            <rFont val="Tahoma"/>
            <family val="2"/>
          </rPr>
          <t>Todd Houge:</t>
        </r>
        <r>
          <rPr>
            <sz val="8"/>
            <color indexed="81"/>
            <rFont val="Tahoma"/>
            <family val="2"/>
          </rPr>
          <t xml:space="preserve">
The average lease expense in year 5 is used to estimate the number payments embedded in the year 6 (thereafter) lease obligation.</t>
        </r>
      </text>
    </comment>
    <comment ref="C19" authorId="0" shapeId="0" xr:uid="{00000000-0006-0000-0E00-00000D000000}">
      <text>
        <r>
          <rPr>
            <b/>
            <sz val="8"/>
            <color indexed="81"/>
            <rFont val="Tahoma"/>
            <family val="2"/>
          </rPr>
          <t>todd Houge:</t>
        </r>
        <r>
          <rPr>
            <sz val="8"/>
            <color indexed="81"/>
            <rFont val="Tahoma"/>
            <family val="2"/>
          </rPr>
          <t xml:space="preserve">
Commitment beyond year 6 is converted into an annuity.</t>
        </r>
      </text>
    </comment>
    <comment ref="A21" authorId="0" shapeId="0" xr:uid="{00000000-0006-0000-0E00-00000E000000}">
      <text>
        <r>
          <rPr>
            <b/>
            <sz val="8"/>
            <color indexed="81"/>
            <rFont val="Tahoma"/>
            <family val="2"/>
          </rPr>
          <t>Todd Houge:</t>
        </r>
        <r>
          <rPr>
            <sz val="8"/>
            <color indexed="81"/>
            <rFont val="Tahoma"/>
            <family val="2"/>
          </rPr>
          <t xml:space="preserve">
The methodology used in this worksheet is based on the operating lease converter spreadsheet originally created by Aswath Damodaran (www.damodaran.com).</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Todd Houge</author>
  </authors>
  <commentList>
    <comment ref="E15" authorId="0" shapeId="0" xr:uid="{00000000-0006-0000-0F00-000001000000}">
      <text>
        <r>
          <rPr>
            <b/>
            <sz val="8"/>
            <color indexed="81"/>
            <rFont val="Tahoma"/>
            <family val="2"/>
          </rPr>
          <t>Todd Houge:</t>
        </r>
        <r>
          <rPr>
            <sz val="8"/>
            <color indexed="81"/>
            <rFont val="Tahoma"/>
            <family val="2"/>
          </rPr>
          <t xml:space="preserve">
Amount by which the common stock account is predicted to increase by on the balance sheet as a result of ESOP exercises.  You may need to scale this figure up or down by a multiple of 1,000 to reflect the way the balance sheet reported. </t>
        </r>
      </text>
    </comment>
    <comment ref="E17" authorId="0" shapeId="0" xr:uid="{00000000-0006-0000-0F00-000002000000}">
      <text>
        <r>
          <rPr>
            <b/>
            <sz val="8"/>
            <color indexed="81"/>
            <rFont val="Tahoma"/>
            <family val="2"/>
          </rPr>
          <t>Todd Houge:</t>
        </r>
        <r>
          <rPr>
            <sz val="8"/>
            <color indexed="81"/>
            <rFont val="Tahoma"/>
            <family val="2"/>
          </rPr>
          <t xml:space="preserve">
Link to the assumption for each year's total dollar expenditures on share repurchases. This amount will appear on the forecasted statement of cash flows and is also equal to the change in the Treasury account (ending - beginning of year) from the balance sheet. Enter the repurchases as a POSITIVE number on the same scale as the financial statements.</t>
        </r>
      </text>
    </comment>
    <comment ref="E21" authorId="0" shapeId="0" xr:uid="{00000000-0006-0000-0F00-000003000000}">
      <text>
        <r>
          <rPr>
            <b/>
            <sz val="8"/>
            <color indexed="81"/>
            <rFont val="Tahoma"/>
            <family val="2"/>
          </rPr>
          <t>Todd Houge:</t>
        </r>
        <r>
          <rPr>
            <sz val="8"/>
            <color indexed="81"/>
            <rFont val="Tahoma"/>
            <family val="2"/>
          </rPr>
          <t xml:space="preserve">
Link this cell to the number of shares currently outstanding as of the last fiscal year end. The number and scale as reported on the income statement.</t>
        </r>
      </text>
    </comment>
    <comment ref="E24" authorId="0" shapeId="0" xr:uid="{00000000-0006-0000-0F00-000004000000}">
      <text>
        <r>
          <rPr>
            <b/>
            <sz val="8"/>
            <color indexed="81"/>
            <rFont val="Tahoma"/>
            <family val="2"/>
          </rPr>
          <t>Todd Houge:</t>
        </r>
        <r>
          <rPr>
            <sz val="8"/>
            <color indexed="81"/>
            <rFont val="Tahoma"/>
            <family val="2"/>
          </rPr>
          <t xml:space="preserve">
Link this cell to your income statement. This figure is an estimate for the number of shares outstanding at the END of the fiscal year, and it is necessary to compute EPS.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Todd Houge</author>
  </authors>
  <commentList>
    <comment ref="D5" authorId="0" shapeId="0" xr:uid="{00000000-0006-0000-1000-000001000000}">
      <text>
        <r>
          <rPr>
            <b/>
            <sz val="8"/>
            <color indexed="81"/>
            <rFont val="Tahoma"/>
            <family val="2"/>
          </rPr>
          <t>Todd Houge:</t>
        </r>
        <r>
          <rPr>
            <sz val="8"/>
            <color indexed="81"/>
            <rFont val="Tahoma"/>
            <family val="2"/>
          </rPr>
          <t xml:space="preserve">
Ideally, the risk free rate for this computation should correspond to the yield on treasury bonds with a muturity matching the duration of the options.  However, using the same risk free rate you use in your WACC estimation will work as well.</t>
        </r>
      </text>
    </comment>
    <comment ref="D6" authorId="0" shapeId="0" xr:uid="{00000000-0006-0000-1000-000002000000}">
      <text>
        <r>
          <rPr>
            <b/>
            <sz val="8"/>
            <color indexed="81"/>
            <rFont val="Tahoma"/>
            <family val="2"/>
          </rPr>
          <t>Todd Houge:</t>
        </r>
        <r>
          <rPr>
            <sz val="8"/>
            <color indexed="81"/>
            <rFont val="Tahoma"/>
            <family val="2"/>
          </rPr>
          <t xml:space="preserve">
Enter the current dividend yield (expected annual dividend/current price).  This information can be quickly retrieved from a variety of locations.  </t>
        </r>
      </text>
    </comment>
    <comment ref="D7" authorId="0" shapeId="0" xr:uid="{00000000-0006-0000-1000-000003000000}">
      <text>
        <r>
          <rPr>
            <b/>
            <sz val="8"/>
            <color indexed="81"/>
            <rFont val="Tahoma"/>
            <family val="2"/>
          </rPr>
          <t>Todd Houge:</t>
        </r>
        <r>
          <rPr>
            <sz val="8"/>
            <color indexed="81"/>
            <rFont val="Tahoma"/>
            <family val="2"/>
          </rPr>
          <t xml:space="preserve">
Enter the annualized standard deviation of stock returns.  This can be difficult to find.  It is also a very important component of option valuation.  Best sources is probably Bloomberg.  On Bloomberg type the following chain:
Ticker Symbol [EQUITY] HVT [GO]
This command will take you to the Historical Volatility Table (HVT) for your company.  You will want the standard deviation implied by call and put option contracts currently in the market.  This should be on the right side of the screen.  This number changes daily, so you might need to take an average.  Use long-term options if available.  </t>
        </r>
      </text>
    </comment>
    <comment ref="F22" authorId="0" shapeId="0" xr:uid="{00000000-0006-0000-1000-000004000000}">
      <text>
        <r>
          <rPr>
            <b/>
            <sz val="8"/>
            <color indexed="81"/>
            <rFont val="Tahoma"/>
            <family val="2"/>
          </rPr>
          <t>Todd Houge:</t>
        </r>
        <r>
          <rPr>
            <sz val="8"/>
            <color indexed="81"/>
            <rFont val="Tahoma"/>
            <family val="2"/>
          </rPr>
          <t xml:space="preserve">
Represents the value of options granted to employees of the firm.  This amount should be subtracted from the value of the firm when computing target price.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<sst xmlns="http://schemas.openxmlformats.org/spreadsheetml/2006/main" count="1908" uniqueCount="751">
  <si>
    <t>Pfizer</t>
  </si>
  <si>
    <t>Key Assumptions of Valuation Model</t>
  </si>
  <si>
    <t>Sensitivity Tables</t>
  </si>
  <si>
    <t>Ticker Symbol</t>
  </si>
  <si>
    <t>PFE</t>
  </si>
  <si>
    <t>Current Share Price</t>
  </si>
  <si>
    <t>Current Model Date</t>
  </si>
  <si>
    <t>FY End (month/day)</t>
  </si>
  <si>
    <t>Dec. 31</t>
  </si>
  <si>
    <t>Last FYE Date</t>
  </si>
  <si>
    <t>Next FYE Date</t>
  </si>
  <si>
    <t>Pre-Tax Cost of Debt</t>
  </si>
  <si>
    <t>Beta</t>
  </si>
  <si>
    <t>Risk-Free Rate</t>
  </si>
  <si>
    <t>Equity Risk Premium</t>
  </si>
  <si>
    <t>CV Growth of NOPLAT</t>
  </si>
  <si>
    <t>CV Growth of EPS</t>
  </si>
  <si>
    <t>Current Dividend Yield</t>
  </si>
  <si>
    <t>Forecasted Marginal Tax Rate</t>
  </si>
  <si>
    <t>Forecasted Effective Tax Rate</t>
  </si>
  <si>
    <t>Cost of Equity</t>
  </si>
  <si>
    <t>WACC</t>
  </si>
  <si>
    <t>Normal Cash Estimate (% sales)</t>
  </si>
  <si>
    <t>10 Year Treasury Bond Yield</t>
  </si>
  <si>
    <t>Payout Ratio</t>
  </si>
  <si>
    <t>Dividend Per Share</t>
  </si>
  <si>
    <t>EPS</t>
  </si>
  <si>
    <t>The area below is for recording key information or assumptions to be referenced in building the FORECASTS. Add rows and variables as necessary.</t>
  </si>
  <si>
    <t>2023E</t>
  </si>
  <si>
    <t>2024E</t>
  </si>
  <si>
    <t>2025E</t>
  </si>
  <si>
    <t>2026E</t>
  </si>
  <si>
    <t>2027E</t>
  </si>
  <si>
    <t>2028E</t>
  </si>
  <si>
    <t>2029E</t>
  </si>
  <si>
    <t>2030E</t>
  </si>
  <si>
    <t>2031E</t>
  </si>
  <si>
    <t>2032E</t>
  </si>
  <si>
    <t>2033E</t>
  </si>
  <si>
    <t>Amortization Expense Schedule (from 10K notes)</t>
  </si>
  <si>
    <t>LT Debt Maturity Schedule (from 10K notes)</t>
  </si>
  <si>
    <t>Total Dividends Paid</t>
  </si>
  <si>
    <t xml:space="preserve">   Beginning of FY Shares Outstanding</t>
  </si>
  <si>
    <t xml:space="preserve">   Expected Dividend per Share</t>
  </si>
  <si>
    <t xml:space="preserve">   Total Dividends Paid ($)</t>
  </si>
  <si>
    <t>The area below is for calculating HISTORICAL metrics to referenced when building forecasts.</t>
  </si>
  <si>
    <t>Depreciation Rate:</t>
  </si>
  <si>
    <t xml:space="preserve">   Depreciation Expense</t>
  </si>
  <si>
    <t xml:space="preserve">   Beginning Net PPE</t>
  </si>
  <si>
    <t xml:space="preserve">   Implied Depreciation Rate (%)</t>
  </si>
  <si>
    <t>Average</t>
  </si>
  <si>
    <t>Marginal Tax Rate (%)</t>
  </si>
  <si>
    <t xml:space="preserve">   US Statutory (Federal) Tax (%)</t>
  </si>
  <si>
    <t xml:space="preserve">   State and Local Tax (%)</t>
  </si>
  <si>
    <t>-</t>
  </si>
  <si>
    <t xml:space="preserve">   Foreign Income Tax (%)</t>
  </si>
  <si>
    <t xml:space="preserve">   Implied Marginal Tax Rate</t>
  </si>
  <si>
    <t>Normal Cash Calculation (%)</t>
  </si>
  <si>
    <t xml:space="preserve">   Cash from B/S</t>
  </si>
  <si>
    <t xml:space="preserve">   Revenue</t>
  </si>
  <si>
    <t xml:space="preserve">   Cash as a % of Sales</t>
  </si>
  <si>
    <t>Minimum</t>
  </si>
  <si>
    <t>Dividend Payout Ratio (%)</t>
  </si>
  <si>
    <t xml:space="preserve">   Total Dividends</t>
  </si>
  <si>
    <t xml:space="preserve">   Net Income</t>
  </si>
  <si>
    <t xml:space="preserve">   Implied Payout Ratio (%)</t>
  </si>
  <si>
    <t>Revenue Decomposition</t>
  </si>
  <si>
    <t>Analyst Est. $66.02B</t>
  </si>
  <si>
    <t>Pfizer Est. $67-70B</t>
  </si>
  <si>
    <t>Patent/Trademark Exp.</t>
  </si>
  <si>
    <t>Total Revenue</t>
  </si>
  <si>
    <t>Primary Care</t>
  </si>
  <si>
    <t>growth rate %</t>
  </si>
  <si>
    <t>Paxlovid</t>
  </si>
  <si>
    <t>Prevnar family</t>
  </si>
  <si>
    <t>2026 (US), 2029 (Jap.)</t>
  </si>
  <si>
    <t>Premarin Family</t>
  </si>
  <si>
    <t>BMP2</t>
  </si>
  <si>
    <t>Nimenrix</t>
  </si>
  <si>
    <t>Nurtec ODT/Vydura</t>
  </si>
  <si>
    <t>FSME/IMMUN-ticovac</t>
  </si>
  <si>
    <t>Toviaz</t>
  </si>
  <si>
    <t>All other primary care</t>
  </si>
  <si>
    <t>Speciality Care</t>
  </si>
  <si>
    <t>Vyndaqel family</t>
  </si>
  <si>
    <t>2024 (US, pending 2028), 2026 (Eu), 2026/2029 (Jap.)</t>
  </si>
  <si>
    <t>Xeljanz</t>
  </si>
  <si>
    <t>2025 (US/Jap.), 2028 (Eu)</t>
  </si>
  <si>
    <t>2028/2029 (US)</t>
  </si>
  <si>
    <t>Sulperazon</t>
  </si>
  <si>
    <t>Inflectra/Remsima</t>
  </si>
  <si>
    <t>Ig Portfolio</t>
  </si>
  <si>
    <t>BeneFIX</t>
  </si>
  <si>
    <t>Zavicefta</t>
  </si>
  <si>
    <t>Genotropin</t>
  </si>
  <si>
    <t>Zithromax</t>
  </si>
  <si>
    <t>Medrol</t>
  </si>
  <si>
    <t>Fragmin</t>
  </si>
  <si>
    <t>Somavert</t>
  </si>
  <si>
    <t>Refacto AF/Xyntha</t>
  </si>
  <si>
    <t>Vfend</t>
  </si>
  <si>
    <t>All other Speciality Care</t>
  </si>
  <si>
    <t>All other Anti-infectives</t>
  </si>
  <si>
    <t>Oncology</t>
  </si>
  <si>
    <t>Ibrance</t>
  </si>
  <si>
    <t>2027(US), 2028 (Eu, Jap.)</t>
  </si>
  <si>
    <t>2027 (US)</t>
  </si>
  <si>
    <t>Inlyta</t>
  </si>
  <si>
    <t>Bosulif</t>
  </si>
  <si>
    <t>Zirabev</t>
  </si>
  <si>
    <t>Xalkori</t>
  </si>
  <si>
    <t>2029 (US), 2027 (Eu), 2028 (Jap.)</t>
  </si>
  <si>
    <t>Ruxience</t>
  </si>
  <si>
    <t>Retacrit</t>
  </si>
  <si>
    <t>Sutent</t>
  </si>
  <si>
    <t>Lorbrena</t>
  </si>
  <si>
    <t>2033 (US), 2034 (Eu), 2036 (Jap.)</t>
  </si>
  <si>
    <t>Aromasin</t>
  </si>
  <si>
    <t>Besponsa</t>
  </si>
  <si>
    <t>Trazimera</t>
  </si>
  <si>
    <t>Braftovi</t>
  </si>
  <si>
    <t>2030 (US)</t>
  </si>
  <si>
    <t>Mektovi</t>
  </si>
  <si>
    <t>2031 (US)</t>
  </si>
  <si>
    <t>All other Oncology</t>
  </si>
  <si>
    <t>Other Historical Hospital Revenue</t>
  </si>
  <si>
    <t>Pfizer CentreOne</t>
  </si>
  <si>
    <t>Pfizer Ignite</t>
  </si>
  <si>
    <t>Income Statement</t>
  </si>
  <si>
    <t>Report Date</t>
  </si>
  <si>
    <t>12/31/2016</t>
  </si>
  <si>
    <t>12/31/2017</t>
  </si>
  <si>
    <t>12/31/2018</t>
  </si>
  <si>
    <t>12/31/2019</t>
  </si>
  <si>
    <t>12/31/2020</t>
  </si>
  <si>
    <t>12/31/2021</t>
  </si>
  <si>
    <t>12/31/2022</t>
  </si>
  <si>
    <t>12/31/2023</t>
  </si>
  <si>
    <t>12/31/2024</t>
  </si>
  <si>
    <t>12/31/2025</t>
  </si>
  <si>
    <t>12/31/2026</t>
  </si>
  <si>
    <t>12/31/2027</t>
  </si>
  <si>
    <t>12/31/2028</t>
  </si>
  <si>
    <t>12/31/2029</t>
  </si>
  <si>
    <t>12/31/2030</t>
  </si>
  <si>
    <t>Currency</t>
  </si>
  <si>
    <t>USD</t>
  </si>
  <si>
    <t>Audit Status</t>
  </si>
  <si>
    <t>Not Qualified</t>
  </si>
  <si>
    <t>Consolidated</t>
  </si>
  <si>
    <t>Yes</t>
  </si>
  <si>
    <t>Scale</t>
  </si>
  <si>
    <t>Millions</t>
  </si>
  <si>
    <t>Revenues</t>
  </si>
  <si>
    <t>Cost of sales</t>
  </si>
  <si>
    <t>Selling, informational &amp; administrative expenses</t>
  </si>
  <si>
    <t>Research &amp; development expenses</t>
  </si>
  <si>
    <t>Acquired in-process research &amp; development expenses</t>
  </si>
  <si>
    <t>Amortization of intangible assets</t>
  </si>
  <si>
    <t>Restructuring charges &amp; certain acquisition-related costs</t>
  </si>
  <si>
    <t>Gain (loss) on completion of Consumer Healthcare JV transaction</t>
  </si>
  <si>
    <t>Interest income</t>
  </si>
  <si>
    <t>Interest expense</t>
  </si>
  <si>
    <t>Net interest income (expense)</t>
  </si>
  <si>
    <t>Royalty-related income</t>
  </si>
  <si>
    <t>Net gains (losses) on asset disposals</t>
  </si>
  <si>
    <t>Net gains (losses) recognized during the period on equity securities</t>
  </si>
  <si>
    <t>Net realized gains (losses) on sales of investments in debt securities</t>
  </si>
  <si>
    <t>Income from collaborations, out-licensing arrangements &amp; sales of compound or product rights</t>
  </si>
  <si>
    <t>Net periodic benefit costs (credits) other than service costs</t>
  </si>
  <si>
    <t>Certain legal matters, net</t>
  </si>
  <si>
    <t>Certain asset impairments</t>
  </si>
  <si>
    <t>Business alignment costs</t>
  </si>
  <si>
    <t>Adjustments to loss on sale of HIS net assets</t>
  </si>
  <si>
    <t>Loss on sale &amp; impairment on remeasurement of HIS net assets</t>
  </si>
  <si>
    <t>Business &amp; legal entity alignment costs</t>
  </si>
  <si>
    <t>Net losses (gains) on early retirement of debt</t>
  </si>
  <si>
    <t>Haleon/Consumer Healthcare JV equity method income (loss)</t>
  </si>
  <si>
    <t>Other income (deductions) - net</t>
  </si>
  <si>
    <t>Income (loss) from continuing operations before provision for taxes on income - U.S.</t>
  </si>
  <si>
    <t>Income (loss) from continuing operations before provision for taxes on income - international</t>
  </si>
  <si>
    <t>Income (loss) from continuing operations before provision (benefit) for taxes on income</t>
  </si>
  <si>
    <t>Current federal income taxes provision (benefit)</t>
  </si>
  <si>
    <t>Current state &amp; local income taxes provision (benefit)</t>
  </si>
  <si>
    <t>Deferred federal income taxes provision (benefit)</t>
  </si>
  <si>
    <t>Deferred state &amp; local income taxes provision (benefit)</t>
  </si>
  <si>
    <t>Total U.S. tax provision (benefit)</t>
  </si>
  <si>
    <t>TCJA - current income taxes provision (benefit)</t>
  </si>
  <si>
    <t>TCJA - deferred Income taxes provision (benefit)</t>
  </si>
  <si>
    <t>Total TCJA tax provision (benefit)</t>
  </si>
  <si>
    <t xml:space="preserve">Current international income taxes provision (benefit) </t>
  </si>
  <si>
    <t xml:space="preserve">Deferred international income taxes provision (benefit) </t>
  </si>
  <si>
    <t>Total international tax provision (benefit)</t>
  </si>
  <si>
    <t>Provision (benefit) for taxes on income</t>
  </si>
  <si>
    <t>Income (loss) from continuing operations</t>
  </si>
  <si>
    <t>Income (loss) from discontinued operations - net of tax</t>
  </si>
  <si>
    <t>Gain (loss) on disposal of discontinued operations - net of tax</t>
  </si>
  <si>
    <t>Discontinued operations - net of tax</t>
  </si>
  <si>
    <t>Net income before allocation to noncontrolling interests</t>
  </si>
  <si>
    <t>Less: net income attributable to noncontrolling interests</t>
  </si>
  <si>
    <t>Net income attributable to Pfizer Inc.</t>
  </si>
  <si>
    <t>Less: preferred stock dividends, net of tax</t>
  </si>
  <si>
    <t>Net income attributable to Pfizer Inc. common shareholders</t>
  </si>
  <si>
    <t>Weighted average shares outstanding - basic</t>
  </si>
  <si>
    <t>Weighted average shares outstanding - diluted</t>
  </si>
  <si>
    <t>Year end shares outstanding</t>
  </si>
  <si>
    <t>Earnings (loss) per common share from continuing operations - basic</t>
  </si>
  <si>
    <t>Earnings (loss) per common share from discontinued operations - basic</t>
  </si>
  <si>
    <t>Net earnings (loss) per common share - basic</t>
  </si>
  <si>
    <t>Earnings (loss) per common share from continuing operations - diluted</t>
  </si>
  <si>
    <t>Earnings (loss) per common share from discontinued operations - diluted</t>
  </si>
  <si>
    <t>Net earnings (loss) per common share - diluted</t>
  </si>
  <si>
    <t>Cash dividends paid per common share</t>
  </si>
  <si>
    <t>Total number of employees</t>
  </si>
  <si>
    <t>Number of common stockholders</t>
  </si>
  <si>
    <t>Foreign currency translation adjustments</t>
  </si>
  <si>
    <t> </t>
  </si>
  <si>
    <t>Cost of Sales and Expenses:</t>
  </si>
  <si>
    <t>Depreciation &amp; Amortization</t>
  </si>
  <si>
    <t xml:space="preserve">          Interest income</t>
  </si>
  <si>
    <t xml:space="preserve">          Interest expense</t>
  </si>
  <si>
    <t xml:space="preserve">          Royalty-related income</t>
  </si>
  <si>
    <t>Other income (deductions) - gross</t>
  </si>
  <si>
    <t>Earnings Per Common Share - Basic:</t>
  </si>
  <si>
    <t>Total shares outstanding</t>
  </si>
  <si>
    <t>Balance Sheet</t>
  </si>
  <si>
    <t>Cash &amp; cash equivalents</t>
  </si>
  <si>
    <t>Short-term investments</t>
  </si>
  <si>
    <t>Accounts receivable, gross</t>
  </si>
  <si>
    <t>Less allowance for doubtful accounts</t>
  </si>
  <si>
    <t>Trade accounts receivable</t>
  </si>
  <si>
    <t>Finished goods</t>
  </si>
  <si>
    <t>Work in process</t>
  </si>
  <si>
    <t>Raw materials &amp; supplies</t>
  </si>
  <si>
    <t>Inventories</t>
  </si>
  <si>
    <t>Current tax assets</t>
  </si>
  <si>
    <t>Other current assets</t>
  </si>
  <si>
    <t>Assets held for sale</t>
  </si>
  <si>
    <t>Current assets of discontinued operations &amp; other assets held for sale</t>
  </si>
  <si>
    <t>Total current assets</t>
  </si>
  <si>
    <t>Equity-method investments</t>
  </si>
  <si>
    <t>Long-term investments</t>
  </si>
  <si>
    <t>Land</t>
  </si>
  <si>
    <t>Buildings</t>
  </si>
  <si>
    <t>Machinery &amp; equipment</t>
  </si>
  <si>
    <t>Furniture, fixtures &amp; other property, plant &amp; equipment</t>
  </si>
  <si>
    <t>Construction in progress</t>
  </si>
  <si>
    <t>Property, plant &amp; equipment, at cost</t>
  </si>
  <si>
    <t>Less: accumulated depreciation</t>
  </si>
  <si>
    <t>Property, plant &amp; equipment</t>
  </si>
  <si>
    <t>Identifiable intangible assets</t>
  </si>
  <si>
    <t>Goodwill</t>
  </si>
  <si>
    <t>Noncurrent deferred tax assets &amp; other noncurrent tax assets</t>
  </si>
  <si>
    <t>Other noncurrent assets</t>
  </si>
  <si>
    <t>Total assets</t>
  </si>
  <si>
    <t>Short-term borrowings</t>
  </si>
  <si>
    <t>Trade accounts payable</t>
  </si>
  <si>
    <t>Dividends payable</t>
  </si>
  <si>
    <t>Income taxes payable</t>
  </si>
  <si>
    <t>Accrued compensation &amp; related items</t>
  </si>
  <si>
    <t>Deferred revenues</t>
  </si>
  <si>
    <t>Other current liabilities</t>
  </si>
  <si>
    <t>Liabilities held for sale</t>
  </si>
  <si>
    <t>Total current liabilities</t>
  </si>
  <si>
    <t>Notes</t>
  </si>
  <si>
    <t>Net fair value adjustments related to hedging &amp; purchase accounting</t>
  </si>
  <si>
    <t>Net unamortized discounts, premiums &amp; debt issuance costs</t>
  </si>
  <si>
    <t>Other long-term debt</t>
  </si>
  <si>
    <t>Long-term debt</t>
  </si>
  <si>
    <t>Pension benefit obligations</t>
  </si>
  <si>
    <t>Postretirement benefit obligations</t>
  </si>
  <si>
    <t>Pension &amp; postretirement benefit obligations</t>
  </si>
  <si>
    <t>Noncurrent deferred tax liabilities</t>
  </si>
  <si>
    <t>Other taxes payable</t>
  </si>
  <si>
    <t>Other noncurrent liabilities</t>
  </si>
  <si>
    <t>Total liabilities</t>
  </si>
  <si>
    <t>Preferred stock</t>
  </si>
  <si>
    <t>Common stock</t>
  </si>
  <si>
    <t>Additional paid-in capital</t>
  </si>
  <si>
    <t>Treasury stock</t>
  </si>
  <si>
    <t>Retained earnings (accumulated deficit)</t>
  </si>
  <si>
    <t>Net unrealized gains (losses) on foreign currency translation adjustments</t>
  </si>
  <si>
    <t>Net unrealized gains (losses) on derivative financial instruments</t>
  </si>
  <si>
    <t>Net unrealized gains (losses) on available-for-sale securities</t>
  </si>
  <si>
    <t>Actuarial gains (losses)</t>
  </si>
  <si>
    <t>Prior service credits (costs) &amp; other comprehensive income (loss)</t>
  </si>
  <si>
    <t>Accumulated other comprehensive income (loss)</t>
  </si>
  <si>
    <t>Total Pfizer Inc. shareholders' equity (deficit)</t>
  </si>
  <si>
    <t>Equity attributable to noncontrolling interests</t>
  </si>
  <si>
    <t>Total equity (deficit)</t>
  </si>
  <si>
    <t>(MILLIONS, EXCEPT PER SHARE DATA)</t>
  </si>
  <si>
    <t>Assets</t>
  </si>
  <si>
    <t xml:space="preserve"> - </t>
  </si>
  <si>
    <t>Gross Property, plant &amp; equipment</t>
  </si>
  <si>
    <t>Net Property, plant &amp; equipment</t>
  </si>
  <si>
    <t>ROU assets (Lease Liability)</t>
  </si>
  <si>
    <t xml:space="preserve">     Total assets</t>
  </si>
  <si>
    <t>Liabilities and Equity</t>
  </si>
  <si>
    <t xml:space="preserve">     Total liabilities</t>
  </si>
  <si>
    <t>Common Equity</t>
  </si>
  <si>
    <t xml:space="preserve">     Total Pfizer Inc. shareholders' equity (deficit)</t>
  </si>
  <si>
    <t xml:space="preserve">     Total equity (deficit)</t>
  </si>
  <si>
    <t xml:space="preserve">     Total liabilities and equity</t>
  </si>
  <si>
    <t>Historical Cash Flow Statement</t>
  </si>
  <si>
    <t>(millions)</t>
  </si>
  <si>
    <t>Net income (loss) from continuing operations before allocation to noncontrolling interests</t>
  </si>
  <si>
    <t>Depreciation &amp; amortization</t>
  </si>
  <si>
    <t>Asset write-offs &amp; impairments</t>
  </si>
  <si>
    <t>Loss on sale of HIS net assets</t>
  </si>
  <si>
    <t>Write-down of HIS net assets to fair value less estimated costs to sell</t>
  </si>
  <si>
    <t>Tax Cuts &amp; Jobs Act ("TCJA") impact</t>
  </si>
  <si>
    <t>Loss (gain) on completion of Consumer Healthcare JV transaction, net of cash conveyed</t>
  </si>
  <si>
    <t>Deferred taxes from continuing operations</t>
  </si>
  <si>
    <t>Share-based compensation expense</t>
  </si>
  <si>
    <t>Benefit plan contributions in excess of expense or income</t>
  </si>
  <si>
    <t>Other adjustments, net</t>
  </si>
  <si>
    <t>Other assets</t>
  </si>
  <si>
    <t>Other liabilities</t>
  </si>
  <si>
    <t>Other tax accounts, net</t>
  </si>
  <si>
    <t>Net cash flows from operating activities from continuing operations</t>
  </si>
  <si>
    <t>Net cash flows from operating activities from discontinued operations</t>
  </si>
  <si>
    <t>Net cash flows from operating activities</t>
  </si>
  <si>
    <t>Purchases of property, plant &amp; equipment</t>
  </si>
  <si>
    <t>Purchases of short-term investments</t>
  </si>
  <si>
    <t>Proceeds from redemptions or sales of short-term investments</t>
  </si>
  <si>
    <t>Net proceeds from (purchases of) redemptions or sales of short-term investments with original maturities of three months or less</t>
  </si>
  <si>
    <t>Purchases of long-term investments</t>
  </si>
  <si>
    <t>Proceeds from redemptions or sales of long-term investments</t>
  </si>
  <si>
    <t>Acquisitions of businesses, net of cash acquired</t>
  </si>
  <si>
    <t>Dividend received from the GSK Consumer Healthcare joint venture</t>
  </si>
  <si>
    <t>Acquisitions of intangible assets</t>
  </si>
  <si>
    <t>Other investing activities, net</t>
  </si>
  <si>
    <t>Net cash flows from investing activities from continuing operations</t>
  </si>
  <si>
    <t>Net cash flows from investing activities from discontinued operations</t>
  </si>
  <si>
    <t>Net cash flows from investing activities</t>
  </si>
  <si>
    <t>Proceeds from short-term borrowings</t>
  </si>
  <si>
    <t>Payments on short-term borrowings</t>
  </si>
  <si>
    <t>Net proceeds from (payments on) short-term borrowings with original maturities of three months or less</t>
  </si>
  <si>
    <t>Proceeds from issuances of long-term debt</t>
  </si>
  <si>
    <t>Payments on long-term debt</t>
  </si>
  <si>
    <t>Purchases of common stock</t>
  </si>
  <si>
    <t>Cash dividends paid</t>
  </si>
  <si>
    <t>Proceeds from exercise of stock options</t>
  </si>
  <si>
    <t>Other financing activities, net</t>
  </si>
  <si>
    <t>Net cash flows from financing activities from continuing operations</t>
  </si>
  <si>
    <t>Net cash flows from financing activities from discontinued operations</t>
  </si>
  <si>
    <t>Net cash flows from financing activities</t>
  </si>
  <si>
    <t>Net increase (decrease) in cash &amp; cash equivalents &amp; restricted cash &amp; cash equivalents</t>
  </si>
  <si>
    <t>Cash &amp; cash equivalents &amp; restricted cash &amp; cash equivalents, at beginning of period</t>
  </si>
  <si>
    <t>Cash &amp; cash equivalents &amp; restricted cash &amp; cash equivalents, at end of period</t>
  </si>
  <si>
    <t>Effect of exchange-rate changes on cash &amp; cash equivalentss</t>
  </si>
  <si>
    <t>Net increase/(decrease) in cash &amp; cash equivalents</t>
  </si>
  <si>
    <t>Cash &amp; cash equivalents, beginning</t>
  </si>
  <si>
    <t>Cash &amp; cash equivalents, end</t>
  </si>
  <si>
    <t>Forecasted Cash Flow Statement</t>
  </si>
  <si>
    <t>Common Size Income Statement</t>
  </si>
  <si>
    <t>Common Size Balance Sheet (% sales)</t>
  </si>
  <si>
    <t>Common Size Balance Sheet (% assets)</t>
  </si>
  <si>
    <t>Value Driver Estimation</t>
  </si>
  <si>
    <t>NOPLAT:</t>
  </si>
  <si>
    <t>EBIT</t>
  </si>
  <si>
    <t>Revenue</t>
  </si>
  <si>
    <t>COGS (excluding D&amp;A)</t>
  </si>
  <si>
    <t>D&amp;A Expense</t>
  </si>
  <si>
    <t>SG&amp;A Expense</t>
  </si>
  <si>
    <t>R&amp;D Expense</t>
  </si>
  <si>
    <t>Implied Interest of Operating Lease</t>
  </si>
  <si>
    <t>Adjusted Taxes (-)</t>
  </si>
  <si>
    <t>Income Tax Expense</t>
  </si>
  <si>
    <t>(+) Tax shield on operating lease interest</t>
  </si>
  <si>
    <t>(+) Tax shield on Interest Expense</t>
  </si>
  <si>
    <t>(-) Tax on non-operating income</t>
  </si>
  <si>
    <t xml:space="preserve">(-) Tax on Interest Income </t>
  </si>
  <si>
    <t>Total Adjusted Taxes</t>
  </si>
  <si>
    <t>Change in Deferred Taxes (+)</t>
  </si>
  <si>
    <t>NOPLAT</t>
  </si>
  <si>
    <t>Invested Capital (IC):</t>
  </si>
  <si>
    <t>Normal Cash</t>
  </si>
  <si>
    <t>Prepaid Expenses</t>
  </si>
  <si>
    <t>Other Current Operating Assets</t>
  </si>
  <si>
    <t>Operating CA</t>
  </si>
  <si>
    <t>Deferred Revenue</t>
  </si>
  <si>
    <t>Income Tax Payable</t>
  </si>
  <si>
    <t>Non Interest-Bearing  CL</t>
  </si>
  <si>
    <t>Operating Working Capital</t>
  </si>
  <si>
    <t>Plus: Net PPE</t>
  </si>
  <si>
    <t>Identifiable Intangible Assets</t>
  </si>
  <si>
    <t>Other Non-Current Assets</t>
  </si>
  <si>
    <t>Add: ROU Asset</t>
  </si>
  <si>
    <t>Free Cash Flow (FCF):</t>
  </si>
  <si>
    <t>Change in IC</t>
  </si>
  <si>
    <t>FCF</t>
  </si>
  <si>
    <t>Return on Invested Capital (ROIC):</t>
  </si>
  <si>
    <t>Beginning IC</t>
  </si>
  <si>
    <t>ROIC</t>
  </si>
  <si>
    <t>Economic Profit (EP):</t>
  </si>
  <si>
    <t>x (ROIC - WACC)</t>
  </si>
  <si>
    <t>EP</t>
  </si>
  <si>
    <t>Weighted Average Cost of Capital (WACC) Estimation</t>
  </si>
  <si>
    <t>Cost of Equity:</t>
  </si>
  <si>
    <t>ASSUMPTIONS:</t>
  </si>
  <si>
    <t>Cost of Debt:</t>
  </si>
  <si>
    <t>Implied Default Premium</t>
  </si>
  <si>
    <t>Marginal Tax Rate</t>
  </si>
  <si>
    <t>After-Tax Cost of Debt</t>
  </si>
  <si>
    <t>Market Value of Common Equity:</t>
  </si>
  <si>
    <t>MV Weights</t>
  </si>
  <si>
    <t>Total Shares Outstanding</t>
  </si>
  <si>
    <t>Current Stock Price</t>
  </si>
  <si>
    <t>MV of Equity</t>
  </si>
  <si>
    <t>Market Value of Debt:</t>
  </si>
  <si>
    <t>Short-Term Debt</t>
  </si>
  <si>
    <t>Current Portion of LTD</t>
  </si>
  <si>
    <t>Long-Term Debt</t>
  </si>
  <si>
    <t>PV of Operating Leases</t>
  </si>
  <si>
    <t>MV of Total Debt</t>
  </si>
  <si>
    <t>Market Value of the Firm</t>
  </si>
  <si>
    <t>Estimated WACC</t>
  </si>
  <si>
    <t>Discounted Cash Flow (DCF) and Economic Profit (EP) Valuation Models</t>
  </si>
  <si>
    <t>Key Inputs:</t>
  </si>
  <si>
    <t xml:space="preserve">     CV Growth of NOPLAT</t>
  </si>
  <si>
    <t xml:space="preserve">     CV Year ROIC</t>
  </si>
  <si>
    <t xml:space="preserve">     WACC</t>
  </si>
  <si>
    <t xml:space="preserve">     Cost of Equity</t>
  </si>
  <si>
    <t>DCF Model:</t>
  </si>
  <si>
    <t>Free Cash Flow (FCF)</t>
  </si>
  <si>
    <t>Continuing Value (CV)</t>
  </si>
  <si>
    <t>PV of FCF</t>
  </si>
  <si>
    <t>Value of Operating Assets:</t>
  </si>
  <si>
    <t>Non-Operating Adjustments</t>
  </si>
  <si>
    <t>Value of Equity</t>
  </si>
  <si>
    <t>Shares Outstanding</t>
  </si>
  <si>
    <t>Intrinsic Value of Last FYE</t>
  </si>
  <si>
    <t>Implied Price as of Today</t>
  </si>
  <si>
    <t>EP Model:</t>
  </si>
  <si>
    <t>Economic Profit (EP)</t>
  </si>
  <si>
    <t>PV of EP</t>
  </si>
  <si>
    <t>Total PV of EP</t>
  </si>
  <si>
    <t>Invested Capital (last FYE)</t>
  </si>
  <si>
    <t xml:space="preserve">DO NOT INCLUDE THIS SECTION IN PRINT AREA </t>
  </si>
  <si>
    <t>Number of Periods to Discount</t>
  </si>
  <si>
    <t>Model Date</t>
  </si>
  <si>
    <t>Next FYE</t>
  </si>
  <si>
    <t>Last FYE</t>
  </si>
  <si>
    <t>Days in FY</t>
  </si>
  <si>
    <t>Days since FYE</t>
  </si>
  <si>
    <t>Elapsed Fraction of FY</t>
  </si>
  <si>
    <t>Dividend Yield</t>
  </si>
  <si>
    <t>Dividend Discount Model (DDM) or Fundamental P/E Valuation Model</t>
  </si>
  <si>
    <t>Key Assumptions</t>
  </si>
  <si>
    <t xml:space="preserve">   CV growth of EPS</t>
  </si>
  <si>
    <t xml:space="preserve">   CV Year ROE</t>
  </si>
  <si>
    <t xml:space="preserve">   Cost of Equity</t>
  </si>
  <si>
    <t>Future Cash Flows</t>
  </si>
  <si>
    <t xml:space="preserve">     P/E Multiple (CV Year)</t>
  </si>
  <si>
    <t xml:space="preserve">     EPS (CV Year)</t>
  </si>
  <si>
    <t xml:space="preserve">     Future Stock Price</t>
  </si>
  <si>
    <t xml:space="preserve">     Dividends Per Share</t>
  </si>
  <si>
    <t xml:space="preserve">     Discounted Cash Flows</t>
  </si>
  <si>
    <t>Intrinsic Value as of Last FYE</t>
  </si>
  <si>
    <t>DO NOT INCLUDE THIS SECTION IN PRINT AREA</t>
  </si>
  <si>
    <t>Relative Valuation Models</t>
  </si>
  <si>
    <t>Ticker</t>
  </si>
  <si>
    <t>Company</t>
  </si>
  <si>
    <t>Price</t>
  </si>
  <si>
    <t>P/E 23</t>
  </si>
  <si>
    <t>P/E 24</t>
  </si>
  <si>
    <t>Implied Relative Value:</t>
  </si>
  <si>
    <t xml:space="preserve">   P/E (EPS23)</t>
  </si>
  <si>
    <t xml:space="preserve">   P/E (EPS24)</t>
  </si>
  <si>
    <t>Notes for using this worksheet:</t>
  </si>
  <si>
    <t>1. Not all ratios will be relevant to each company. Relative valuation metrics tend to be industry specific. (P/B is usually only used for banks and insurance companies.)</t>
  </si>
  <si>
    <t>2. Choose those ratios which make the most sense for the target company.</t>
  </si>
  <si>
    <t>3. Hide or delete the ratios and metrics which do not apply. PEG ratio can be hit or miss depending on availability of 5-year earnings growth rates for peers.</t>
  </si>
  <si>
    <t>4. Remove cells that are outliers from the "Average"</t>
  </si>
  <si>
    <t>5. Add or delte rows as necessary to fit the number of comparable firms.</t>
  </si>
  <si>
    <t>6. We want to see at one relative valuation model that works for your company.</t>
  </si>
  <si>
    <t>7. Make sure your earnings estimates are GAAP estimates, as analysts often report non-GAAP EPS.</t>
  </si>
  <si>
    <t>8. Delete or hide any relative valuation models that do not work for your company or industry.</t>
  </si>
  <si>
    <t>9. If most of the peers do not have positive earnings, you may want to consider using a P/S or EV/EBITDA multiple.</t>
  </si>
  <si>
    <t>Key Management Ratios</t>
  </si>
  <si>
    <t>Liquidity Ratios:</t>
  </si>
  <si>
    <t>Asset-Management Ratios:</t>
  </si>
  <si>
    <t>Financial Leverage Ratios:</t>
  </si>
  <si>
    <t>Profitability Ratios:</t>
  </si>
  <si>
    <t>Return on Equity (NI/Beg TSE)</t>
  </si>
  <si>
    <t>Payout Policy Ratios:</t>
  </si>
  <si>
    <t>Dividend Payout Ratio (Dividend/EPS)</t>
  </si>
  <si>
    <t>Total Payout Ratio ((Divs. + Repurchases)/NI)</t>
  </si>
  <si>
    <t>1. Include at least 3-4 ratios per category</t>
  </si>
  <si>
    <t>2. Provide the definition for each ratio</t>
  </si>
  <si>
    <t>3. Display consistent decimal places</t>
  </si>
  <si>
    <t>Present Value of Operating Lease Obligations</t>
  </si>
  <si>
    <t>Year</t>
  </si>
  <si>
    <t>Thereafter</t>
  </si>
  <si>
    <t>Total Minimum Payments</t>
  </si>
  <si>
    <t>Less: Cumulative Interest</t>
  </si>
  <si>
    <t>PV of Minimum Payments</t>
  </si>
  <si>
    <t>Implied Interest in Year 1 Payment</t>
  </si>
  <si>
    <t>Years Implied by Year 6 Payment</t>
  </si>
  <si>
    <t>Expected Obligation in Year 6 &amp; Beyond</t>
  </si>
  <si>
    <t>Present Value of Lease Payments</t>
  </si>
  <si>
    <t>PV of Year 1</t>
  </si>
  <si>
    <t>PV of Year 2</t>
  </si>
  <si>
    <t>PV of Year 3</t>
  </si>
  <si>
    <t>PV of Year 4</t>
  </si>
  <si>
    <t>PV of Year 5</t>
  </si>
  <si>
    <t>PV of 6 &amp; beyond</t>
  </si>
  <si>
    <t>Capitalized PV of Payments</t>
  </si>
  <si>
    <t>This worksheet is only for computing the HISTORICAL present value of operating leases.</t>
  </si>
  <si>
    <t>Prior to fiscal year 2019, GAAP rules allowed operating leases to be recorded off balance sheet.</t>
  </si>
  <si>
    <t>Operating lease information is noted in the footnotes to the 10K.</t>
  </si>
  <si>
    <t>Beginning in fiscal year 2019, most companies should begin reporting operating leases on the balance sheet as "operating lease right-of-use assets."</t>
  </si>
  <si>
    <t>For those years where "right-of-use" assets are recorded on the balance sheet, this worksheet is not necessary.</t>
  </si>
  <si>
    <t>Effects of ESOP Exercise and Share Repurchases on Common Stock Account and Number of Shares Outstanding</t>
  </si>
  <si>
    <t xml:space="preserve">Number of Options Outstanding (shares): </t>
  </si>
  <si>
    <t>Average Time to Maturity (years):</t>
  </si>
  <si>
    <t>Expected Annual Number of Options Exercised:</t>
  </si>
  <si>
    <t>Current Average Strike Price:</t>
  </si>
  <si>
    <t>Current Stock Price:</t>
  </si>
  <si>
    <t>Increase in Shares Outstanding:</t>
  </si>
  <si>
    <t>Average Strike Price:</t>
  </si>
  <si>
    <t>Increase in Common Stock Account:</t>
  </si>
  <si>
    <t>Share Repurchases ($)</t>
  </si>
  <si>
    <t>Expected Price of Repurchased Shares:</t>
  </si>
  <si>
    <t>Number of Shares Repurchased:</t>
  </si>
  <si>
    <t>Shares Outstanding (beginning of the year)</t>
  </si>
  <si>
    <t>Plus: Shares Issued Through ESOP</t>
  </si>
  <si>
    <t>Less: Shares Repurchased in Treasury</t>
  </si>
  <si>
    <t>Shares Outstanding (end of the year)</t>
  </si>
  <si>
    <t>Valuation of Options Granted under ESOP</t>
  </si>
  <si>
    <t>Risk Free Rate</t>
  </si>
  <si>
    <t>Annualized St. Dev. of Stock Returns</t>
  </si>
  <si>
    <t>B-S</t>
  </si>
  <si>
    <t>Value</t>
  </si>
  <si>
    <t>Weighted</t>
  </si>
  <si>
    <t xml:space="preserve">Weighted </t>
  </si>
  <si>
    <t>Range of</t>
  </si>
  <si>
    <t>Number</t>
  </si>
  <si>
    <t>Exercise</t>
  </si>
  <si>
    <t>Remaining</t>
  </si>
  <si>
    <t>Option</t>
  </si>
  <si>
    <t>of Options</t>
  </si>
  <si>
    <t>Z-Stat</t>
  </si>
  <si>
    <t>Outstanding Options</t>
  </si>
  <si>
    <t>of Shares</t>
  </si>
  <si>
    <t>Life (yrs)</t>
  </si>
  <si>
    <t>Granted</t>
  </si>
  <si>
    <t>How to use this worksheet:</t>
  </si>
  <si>
    <t>D1</t>
  </si>
  <si>
    <t>D2</t>
  </si>
  <si>
    <t>N(D1)</t>
  </si>
  <si>
    <t>N(D2)</t>
  </si>
  <si>
    <t>Strike</t>
  </si>
  <si>
    <t>Life</t>
  </si>
  <si>
    <t>Range 1</t>
  </si>
  <si>
    <t>Enter the number of options, prices, and remaining life for each range provided in the notes to the annual report (10K).</t>
  </si>
  <si>
    <t>Range 2</t>
  </si>
  <si>
    <t>Some companies only report the total options oustanding, which would result in using only one row of this worksheet.</t>
  </si>
  <si>
    <t>Range 3</t>
  </si>
  <si>
    <t>Range 4</t>
  </si>
  <si>
    <t>Range 5</t>
  </si>
  <si>
    <t>Range 6</t>
  </si>
  <si>
    <t>You may delete or hide any unused rows.</t>
  </si>
  <si>
    <t>Range 7</t>
  </si>
  <si>
    <t>Range 8</t>
  </si>
  <si>
    <t>Range 9</t>
  </si>
  <si>
    <t>Total</t>
  </si>
  <si>
    <t>The value of all options granted under the ESOP as of the end of the most recent fiscal year.</t>
  </si>
  <si>
    <t>You may need to scale this number up or down by 1,000 or 1,000,000 to put on the same scale as your valuation.</t>
  </si>
  <si>
    <t>Subtract this amount from your value of operating assets to arrive at the value of equity.</t>
  </si>
  <si>
    <t>EXAMPLE 1: Stock options reported in TOTAL ONLY, which will result in using only 1 row above.</t>
  </si>
  <si>
    <t>EXAMPLE 2: Stock options reported in "ranges", which will result in using multiple rows above.</t>
  </si>
  <si>
    <t>Current Ratio (CA/CL)</t>
  </si>
  <si>
    <t xml:space="preserve">   Quick Ratio (Cash+AR/CL)</t>
  </si>
  <si>
    <t>Cash Ratio (Cash/CL)</t>
  </si>
  <si>
    <t>Operation Cash Flow Ratio (Cash from Ops/CL)</t>
  </si>
  <si>
    <t>Get rid of this row?</t>
  </si>
  <si>
    <t>Cash Flow From Operating Activities</t>
  </si>
  <si>
    <t>Net Income</t>
  </si>
  <si>
    <t>Change in Working Capital</t>
  </si>
  <si>
    <t>Other</t>
  </si>
  <si>
    <t>Accrued Compensation &amp; Other Liabilities</t>
  </si>
  <si>
    <t>Change in Deferred Taxes</t>
  </si>
  <si>
    <t>Cash Flow From Investing Activities</t>
  </si>
  <si>
    <t>Average % Tax Payable</t>
  </si>
  <si>
    <t>Avg LT Debt %</t>
  </si>
  <si>
    <t>LT Debt</t>
  </si>
  <si>
    <t>Sum Non Cash Total Assets</t>
  </si>
  <si>
    <t>(Increase) decrease in short-term investments</t>
  </si>
  <si>
    <t>(Increase) decrease in long-term investments</t>
  </si>
  <si>
    <t>Capital Expenditures (change in gross PPE)</t>
  </si>
  <si>
    <t>Capitalization of intangible assets (change in intangibles)</t>
  </si>
  <si>
    <t>Business acquisiiton (change in goodwill)</t>
  </si>
  <si>
    <t>(Increase) decrease in other assets</t>
  </si>
  <si>
    <t>Net cash provided by financing activities</t>
  </si>
  <si>
    <t>Net cash provided by operating activities</t>
  </si>
  <si>
    <t>Cash Flow from Financing Activities:</t>
  </si>
  <si>
    <t>Change in current portion of long-term debt</t>
  </si>
  <si>
    <t>Payment of Dividends</t>
  </si>
  <si>
    <t>Proceeds from issuance of common stock (ESOP)</t>
  </si>
  <si>
    <t>Repurchases of Common Stock</t>
  </si>
  <si>
    <t>Changes in accumulated other comprehensive income</t>
  </si>
  <si>
    <t>Net cash provided by investing activities</t>
  </si>
  <si>
    <t>Total Asset Turnover (Rev/Total Assets)</t>
  </si>
  <si>
    <t>Working Capital Turnover (Rev/Oper WC)</t>
  </si>
  <si>
    <t>Fixed Asset Turnover (Rev/((Beg + End PP)/2)))</t>
  </si>
  <si>
    <t>Debt Ratio (Total Assets/Total Liabilities)</t>
  </si>
  <si>
    <t>Debt to EBITA Ratio (Total Liabilities / EBIT + A&amp;D Expenses)</t>
  </si>
  <si>
    <t>Debt to Equity Ratio (Total Liabilities/Total Equity)</t>
  </si>
  <si>
    <t>Amortization Rate</t>
  </si>
  <si>
    <t>Amortization Expense</t>
  </si>
  <si>
    <t>Intangible Assets</t>
  </si>
  <si>
    <t>Change in total cash</t>
  </si>
  <si>
    <t>Trade Accounts Receivable</t>
  </si>
  <si>
    <t>Gross Margin</t>
  </si>
  <si>
    <t>Beginning of yr cash</t>
  </si>
  <si>
    <t>End of yr cash</t>
  </si>
  <si>
    <t>(per 2022 10k)</t>
  </si>
  <si>
    <t>Depreciation</t>
  </si>
  <si>
    <t>CapEx Forecast</t>
  </si>
  <si>
    <t>Downgraded Est. $58-61B</t>
  </si>
  <si>
    <t>Pension &amp; Post Retirement Benefit Obligations</t>
  </si>
  <si>
    <t>Dividends Payable</t>
  </si>
  <si>
    <t>Equity method investments</t>
  </si>
  <si>
    <t>Other non-current liabilities</t>
  </si>
  <si>
    <t>Equity attributable to non-controlling interest</t>
  </si>
  <si>
    <t>Current Tax Assets</t>
  </si>
  <si>
    <t>Other Current Assets</t>
  </si>
  <si>
    <t>Trade Accounts Payable</t>
  </si>
  <si>
    <t>Johnson &amp; Johnson</t>
  </si>
  <si>
    <t xml:space="preserve">Merck &amp; Co. </t>
  </si>
  <si>
    <t>Abbvie</t>
  </si>
  <si>
    <t>Amgen</t>
  </si>
  <si>
    <t>Bristol-Myers Squibb</t>
  </si>
  <si>
    <t>Gilead Sciences</t>
  </si>
  <si>
    <t>JNJ</t>
  </si>
  <si>
    <t>MRK</t>
  </si>
  <si>
    <t>ABBV</t>
  </si>
  <si>
    <t>AMGN</t>
  </si>
  <si>
    <t>BMY</t>
  </si>
  <si>
    <t>GLD</t>
  </si>
  <si>
    <t>MRNA</t>
  </si>
  <si>
    <t>Moderna</t>
  </si>
  <si>
    <t>(+) Short-term investments</t>
  </si>
  <si>
    <t>(+) Long-term investments</t>
  </si>
  <si>
    <t>(-) ESOP</t>
  </si>
  <si>
    <t>(-) Operating Lease Liability</t>
  </si>
  <si>
    <t>(-) Notes payable</t>
  </si>
  <si>
    <t>Restructuring &amp; Acquisition Charges</t>
  </si>
  <si>
    <t>`</t>
  </si>
  <si>
    <t>Old Rev. Recognition</t>
  </si>
  <si>
    <t>Pfizer Rev. Guidance</t>
  </si>
  <si>
    <t>Downgraded Guidance. $58-61B (due to covid rev.)</t>
  </si>
  <si>
    <t>R&amp;D % of Sales</t>
  </si>
  <si>
    <t>COGS % of Sales</t>
  </si>
  <si>
    <t>P/S 2023E</t>
  </si>
  <si>
    <t>Rev. Checks</t>
  </si>
  <si>
    <t>Depreciation Expense</t>
  </si>
  <si>
    <t>(million)</t>
  </si>
  <si>
    <t>P/S 2024E</t>
  </si>
  <si>
    <t>Return on Assets (NI/Assets)</t>
  </si>
  <si>
    <t>Gross Profit Margin (Rev-COGS/Rev)</t>
  </si>
  <si>
    <t>Growth Rate</t>
  </si>
  <si>
    <t>Number of Active Phase I Trials</t>
  </si>
  <si>
    <t>Number of Active Phase II Trials</t>
  </si>
  <si>
    <t>Number of Active Phase III Trials</t>
  </si>
  <si>
    <t>Products in Pre-Registration</t>
  </si>
  <si>
    <t>Per FactSet</t>
  </si>
  <si>
    <t>Drug Pipeline Decomposition</t>
  </si>
  <si>
    <t>Total Patents</t>
  </si>
  <si>
    <t>Other Revenue (Business Innovation)</t>
  </si>
  <si>
    <t>WORLDWIDE</t>
  </si>
  <si>
    <t>UNITED STATES</t>
  </si>
  <si>
    <r>
      <t>TOTAL INTERNATIONAL</t>
    </r>
    <r>
      <rPr>
        <b/>
        <vertAlign val="superscript"/>
        <sz val="14"/>
        <rFont val="Arial"/>
        <family val="2"/>
      </rPr>
      <t>(a)</t>
    </r>
  </si>
  <si>
    <r>
      <t>DEVELOPED EUROPE</t>
    </r>
    <r>
      <rPr>
        <b/>
        <vertAlign val="superscript"/>
        <sz val="14"/>
        <rFont val="Arial"/>
        <family val="2"/>
      </rPr>
      <t>(i)</t>
    </r>
  </si>
  <si>
    <r>
      <t>DEVELOPED REST OF WORLD</t>
    </r>
    <r>
      <rPr>
        <b/>
        <vertAlign val="superscript"/>
        <sz val="14"/>
        <rFont val="Arial"/>
        <family val="2"/>
      </rPr>
      <t>(j)</t>
    </r>
  </si>
  <si>
    <r>
      <t>EMERGING MARKETS</t>
    </r>
    <r>
      <rPr>
        <b/>
        <vertAlign val="superscript"/>
        <sz val="14"/>
        <rFont val="Arial"/>
        <family val="2"/>
      </rPr>
      <t>(k)</t>
    </r>
  </si>
  <si>
    <t>TOTAL REVENUES</t>
  </si>
  <si>
    <r>
      <t>GLOBAL BIOPHARMACEUTICALS BUSINESS (BIOPHARMA)</t>
    </r>
    <r>
      <rPr>
        <b/>
        <vertAlign val="superscript"/>
        <sz val="14"/>
        <rFont val="Arial"/>
        <family val="2"/>
      </rPr>
      <t>(b)</t>
    </r>
  </si>
  <si>
    <t>Specialty Care</t>
  </si>
  <si>
    <t>Business Innovation</t>
  </si>
  <si>
    <t>Developed Rest of World</t>
  </si>
  <si>
    <t>Emerging Markets</t>
  </si>
  <si>
    <t>United States</t>
  </si>
  <si>
    <t>Developed Europe</t>
  </si>
  <si>
    <t>Includes the following markets: Western Europe, Scandinavian countries and Finland</t>
  </si>
  <si>
    <t>Includes the following markets: Japan, Canada, South Korea, Australia and New Zealand</t>
  </si>
  <si>
    <t>Total International</t>
  </si>
  <si>
    <t>ncludes, but is not limited to, the following markets: Asia (excluding Japan and South Korea), Latin America, Central Europe, Eastern Europe, the Middle East, Africa and Turkey</t>
  </si>
  <si>
    <t>Company Analysis</t>
  </si>
  <si>
    <t>Industry Analysis</t>
  </si>
  <si>
    <t>Current</t>
  </si>
  <si>
    <t>Drugs in Pipeline</t>
  </si>
  <si>
    <t>10-Year Treasury Bond</t>
  </si>
  <si>
    <t>YTM on 2049 Corporate Bond</t>
  </si>
  <si>
    <t>1992-2022 geometric average over 10-year Treasury</t>
  </si>
  <si>
    <t>Average of 2, 3, and 5-year weekly beta</t>
  </si>
  <si>
    <t>Price History</t>
  </si>
  <si>
    <t>Date</t>
  </si>
  <si>
    <t>S&amp;P 500</t>
  </si>
  <si>
    <t>% chg S&amp;P</t>
  </si>
  <si>
    <t>% chg PFE</t>
  </si>
  <si>
    <t>Avg 2016-2022 COGS % of Sales</t>
  </si>
  <si>
    <t>Depreciation Rate</t>
  </si>
  <si>
    <t>Average 2016-2022 R&amp;D % of Sales</t>
  </si>
  <si>
    <t>(-) Debt Obligations</t>
  </si>
  <si>
    <t>(+) Non-controlling interest</t>
  </si>
  <si>
    <t>Haleon Growth Rate</t>
  </si>
  <si>
    <t>Pension Depreciation</t>
  </si>
  <si>
    <t>Future Drug Pipelines &amp; Seagen</t>
  </si>
  <si>
    <t>Seagen Growth CAGR</t>
  </si>
  <si>
    <t>Projected to be 25%</t>
  </si>
  <si>
    <t>conservative case</t>
  </si>
  <si>
    <t>(that have substantially exceeded this historically)</t>
  </si>
  <si>
    <t>New drug pipelines</t>
  </si>
  <si>
    <t>historically have brought in atlease 50 million first yr rev</t>
  </si>
  <si>
    <t>new drug CAGR</t>
  </si>
  <si>
    <t>asumming 1 per yr until 2026</t>
  </si>
  <si>
    <t>P/S  (S23)</t>
  </si>
  <si>
    <t>P/S  (S24)</t>
  </si>
  <si>
    <t>Net Income Margin</t>
  </si>
  <si>
    <t>Margin of Safety</t>
  </si>
  <si>
    <t>Operating Income</t>
  </si>
  <si>
    <t>Net Income attributable to CS</t>
  </si>
  <si>
    <t>Net income attributable to Pfizer</t>
  </si>
  <si>
    <t>SI&amp;A % of Sales</t>
  </si>
  <si>
    <t xml:space="preserve">Comimaty </t>
  </si>
  <si>
    <t>Enbrel</t>
  </si>
  <si>
    <t>Eliquis alliance</t>
  </si>
  <si>
    <t>Xtandi alliance</t>
  </si>
  <si>
    <t>Bavencio</t>
  </si>
  <si>
    <t xml:space="preserve">     Income (loss) from discontinued operations</t>
  </si>
  <si>
    <t xml:space="preserve">     Gain (loss) on disposal of discontinued operations</t>
  </si>
  <si>
    <t>Discontinued operations</t>
  </si>
  <si>
    <t>Net income before noncontrolling interests</t>
  </si>
  <si>
    <t>Less: net income noncontrolling interests</t>
  </si>
  <si>
    <t>Restructuring charges &amp; acquisition-related costs</t>
  </si>
  <si>
    <t>Current assets of discontinued operations &amp; other assets</t>
  </si>
  <si>
    <t>Noncurrent deferred tax assets &amp; other tax assets</t>
  </si>
  <si>
    <t>Adjustments to reconcile net income to cash</t>
  </si>
  <si>
    <t>Drug</t>
  </si>
  <si>
    <t>Comirnaty</t>
  </si>
  <si>
    <t>Eliquis</t>
  </si>
  <si>
    <t>Prevnar</t>
  </si>
  <si>
    <t>Vyndaqel</t>
  </si>
  <si>
    <t>Xtandi</t>
  </si>
  <si>
    <t>Inylta</t>
  </si>
  <si>
    <t>US Patent Expiration</t>
  </si>
  <si>
    <t>2023E Revenue</t>
  </si>
  <si>
    <t>Fiscal Years Ending Dec. 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</si>
</sst>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7" formatCode="&quot;$&quot;#,##0.00_);\(&quot;$&quot;#,##0.00\)"/>
    <numFmt numFmtId="8" formatCode="&quot;$&quot;#,##0.00_);[Red]\(&quot;$&quot;#,##0.00\)"/>
    <numFmt numFmtId="44" formatCode="_(&quot;$&quot;* #,##0.00_);_(&quot;$&quot;* \(#,##0.00\);_(&quot;$&quot;* &quot;-&quot;??_);_(@_)"/>
    <numFmt numFmtId="43" formatCode="_(* #,##0.00_);_(* \(#,##0.00\);_(* &quot;-&quot;??_);_(@_)"/>
    <numFmt numFmtId="164" formatCode="0.000"/>
    <numFmt numFmtId="165" formatCode="_(&quot;$&quot;* #,##0.000_);_(&quot;$&quot;* \(#,##0.000\);_(&quot;$&quot;* &quot;-&quot;??_);_(@_)"/>
    <numFmt numFmtId="166" formatCode="0.0"/>
    <numFmt numFmtId="167" formatCode="_(* #,##0.0_);_(* \(#,##0.0\);_(* &quot;-&quot;??_);_(@_)"/>
    <numFmt numFmtId="168" formatCode="_(* #,##0_);_(* \(#,##0\);_(* &quot;-&quot;??_);_(@_)"/>
    <numFmt numFmtId="169" formatCode="_(&quot;$&quot;* #,##0_);_(&quot;$&quot;* \(#,##0\);_(&quot;$&quot;* &quot;-&quot;??_);_(@_)"/>
    <numFmt numFmtId="170" formatCode="_(&quot;$&quot;* #,##0.0000_);_(&quot;$&quot;* \(#,##0.0000\);_(&quot;$&quot;* &quot;-&quot;??_);_(@_)"/>
    <numFmt numFmtId="171" formatCode="#,##0.0"/>
    <numFmt numFmtId="172" formatCode="0.0%"/>
    <numFmt numFmtId="173" formatCode="[$-409]mmm\-dd\-yyyy;@"/>
    <numFmt numFmtId="174" formatCode="&quot;$&quot;#,##0.00"/>
  </numFmts>
  <fonts count="65" x14ac:knownFonts="1">
    <font>
      <sz val="10"/>
      <name val="Arial"/>
    </font>
    <font>
      <sz val="10"/>
      <name val="Arial"/>
      <family val="2"/>
    </font>
    <font>
      <b/>
      <sz val="8"/>
      <color indexed="81"/>
      <name val="Tahoma"/>
      <family val="2"/>
    </font>
    <font>
      <sz val="8"/>
      <color indexed="81"/>
      <name val="Tahoma"/>
      <family val="2"/>
    </font>
    <font>
      <b/>
      <sz val="11"/>
      <name val="Calibri"/>
      <family val="2"/>
      <scheme val="minor"/>
    </font>
    <font>
      <sz val="11"/>
      <name val="Calibri"/>
      <family val="2"/>
      <scheme val="minor"/>
    </font>
    <font>
      <i/>
      <sz val="11"/>
      <name val="Calibri"/>
      <family val="2"/>
      <scheme val="minor"/>
    </font>
    <font>
      <sz val="11"/>
      <color indexed="18"/>
      <name val="Calibri"/>
      <family val="2"/>
      <scheme val="minor"/>
    </font>
    <font>
      <sz val="11"/>
      <color rgb="FF0070C0"/>
      <name val="Calibri"/>
      <family val="2"/>
      <scheme val="minor"/>
    </font>
    <font>
      <b/>
      <sz val="11"/>
      <color rgb="FF0070C0"/>
      <name val="Calibri"/>
      <family val="2"/>
      <scheme val="minor"/>
    </font>
    <font>
      <sz val="11"/>
      <color indexed="12"/>
      <name val="Calibri"/>
      <family val="2"/>
      <scheme val="minor"/>
    </font>
    <font>
      <b/>
      <i/>
      <sz val="11"/>
      <name val="Calibri"/>
      <family val="2"/>
      <scheme val="minor"/>
    </font>
    <font>
      <sz val="9"/>
      <color indexed="81"/>
      <name val="Tahoma"/>
      <family val="2"/>
    </font>
    <font>
      <b/>
      <sz val="9"/>
      <color indexed="81"/>
      <name val="Tahoma"/>
      <family val="2"/>
    </font>
    <font>
      <b/>
      <sz val="11"/>
      <color rgb="FFC00000"/>
      <name val="Calibri"/>
      <family val="2"/>
      <scheme val="minor"/>
    </font>
    <font>
      <b/>
      <sz val="11"/>
      <color theme="0"/>
      <name val="Calibri"/>
      <family val="2"/>
      <scheme val="minor"/>
    </font>
    <font>
      <sz val="11"/>
      <color rgb="FF002060"/>
      <name val="Calibri"/>
      <family val="2"/>
      <scheme val="minor"/>
    </font>
    <font>
      <b/>
      <i/>
      <sz val="11"/>
      <color theme="0"/>
      <name val="Calibri"/>
      <family val="2"/>
      <scheme val="minor"/>
    </font>
    <font>
      <sz val="11"/>
      <color rgb="FFC00000"/>
      <name val="Calibri"/>
      <family val="2"/>
      <scheme val="minor"/>
    </font>
    <font>
      <u/>
      <sz val="11"/>
      <name val="Calibri"/>
      <family val="2"/>
      <scheme val="minor"/>
    </font>
    <font>
      <u/>
      <sz val="9"/>
      <color indexed="81"/>
      <name val="Tahoma"/>
      <family val="2"/>
    </font>
    <font>
      <b/>
      <u/>
      <sz val="11"/>
      <name val="Calibri"/>
      <family val="2"/>
      <scheme val="minor"/>
    </font>
    <font>
      <b/>
      <i/>
      <u/>
      <sz val="11"/>
      <name val="Calibri"/>
      <family val="2"/>
      <scheme val="minor"/>
    </font>
    <font>
      <sz val="10"/>
      <color rgb="FF000000"/>
      <name val="Arial"/>
      <family val="2"/>
    </font>
    <font>
      <b/>
      <sz val="11"/>
      <color rgb="FF000000"/>
      <name val="Calibri"/>
      <family val="2"/>
      <scheme val="minor"/>
    </font>
    <font>
      <sz val="11"/>
      <color rgb="FF000000"/>
      <name val="Calibri"/>
      <family val="2"/>
      <scheme val="minor"/>
    </font>
    <font>
      <i/>
      <sz val="11"/>
      <color rgb="FF000000"/>
      <name val="Calibri"/>
      <family val="2"/>
      <scheme val="minor"/>
    </font>
    <font>
      <sz val="11"/>
      <color rgb="FF000080"/>
      <name val="Calibri"/>
      <family val="2"/>
      <scheme val="minor"/>
    </font>
    <font>
      <b/>
      <u/>
      <sz val="11"/>
      <color rgb="FF000000"/>
      <name val="Calibri"/>
      <family val="2"/>
      <scheme val="minor"/>
    </font>
    <font>
      <sz val="11"/>
      <name val="Calibri"/>
      <family val="2"/>
    </font>
    <font>
      <sz val="11"/>
      <color rgb="FF000000"/>
      <name val="Calibri"/>
      <family val="2"/>
    </font>
    <font>
      <sz val="11"/>
      <color rgb="FF000080"/>
      <name val="Calibri"/>
      <family val="2"/>
    </font>
    <font>
      <sz val="11"/>
      <color rgb="FF0070C0"/>
      <name val="Calibri"/>
      <family val="2"/>
    </font>
    <font>
      <b/>
      <sz val="11"/>
      <name val="Calibri"/>
      <family val="2"/>
    </font>
    <font>
      <sz val="10"/>
      <color theme="1"/>
      <name val="Arial"/>
      <family val="2"/>
    </font>
    <font>
      <u/>
      <sz val="10"/>
      <color rgb="FF0000FF"/>
      <name val="Arial"/>
      <family val="2"/>
    </font>
    <font>
      <sz val="10"/>
      <color rgb="FF000000"/>
      <name val="Calibri"/>
      <family val="2"/>
    </font>
    <font>
      <sz val="10"/>
      <color rgb="FFF5475B"/>
      <name val="Calibri"/>
      <family val="2"/>
    </font>
    <font>
      <b/>
      <i/>
      <u/>
      <sz val="11"/>
      <color rgb="FF000000"/>
      <name val="Calibri"/>
      <family val="2"/>
      <scheme val="minor"/>
    </font>
    <font>
      <b/>
      <i/>
      <sz val="11"/>
      <color rgb="FF000000"/>
      <name val="Calibri"/>
      <family val="2"/>
      <scheme val="minor"/>
    </font>
    <font>
      <sz val="10"/>
      <color rgb="FF0070C0"/>
      <name val="Calibri"/>
      <family val="2"/>
    </font>
    <font>
      <i/>
      <sz val="10"/>
      <color rgb="FF000000"/>
      <name val="Calibri"/>
      <family val="2"/>
    </font>
    <font>
      <b/>
      <sz val="11"/>
      <color indexed="18"/>
      <name val="Calibri"/>
      <family val="2"/>
      <scheme val="minor"/>
    </font>
    <font>
      <b/>
      <sz val="10"/>
      <color rgb="FF000000"/>
      <name val="Arial"/>
      <family val="2"/>
    </font>
    <font>
      <sz val="10"/>
      <color rgb="FF0070C0"/>
      <name val="Arial"/>
      <family val="2"/>
    </font>
    <font>
      <b/>
      <sz val="11"/>
      <color rgb="FF000080"/>
      <name val="Calibri"/>
      <family val="2"/>
      <scheme val="minor"/>
    </font>
    <font>
      <i/>
      <sz val="11"/>
      <color rgb="FF0070C0"/>
      <name val="Calibri"/>
      <family val="2"/>
      <scheme val="minor"/>
    </font>
    <font>
      <sz val="10"/>
      <name val="Calibri"/>
      <family val="2"/>
    </font>
    <font>
      <b/>
      <sz val="10"/>
      <color rgb="FF0070C0"/>
      <name val="Calibri"/>
      <family val="2"/>
    </font>
    <font>
      <i/>
      <sz val="10"/>
      <color rgb="FF0070C0"/>
      <name val="Calibri"/>
      <family val="2"/>
    </font>
    <font>
      <b/>
      <sz val="10"/>
      <color rgb="FF000000"/>
      <name val="Calibri"/>
      <family val="2"/>
    </font>
    <font>
      <b/>
      <sz val="11"/>
      <color rgb="FFFF0000"/>
      <name val="Calibri"/>
      <family val="2"/>
      <scheme val="minor"/>
    </font>
    <font>
      <b/>
      <sz val="10"/>
      <color rgb="FF0070C0"/>
      <name val="Arial"/>
      <family val="2"/>
    </font>
    <font>
      <sz val="11"/>
      <color theme="1"/>
      <name val="Calibri"/>
      <family val="2"/>
      <scheme val="minor"/>
    </font>
    <font>
      <i/>
      <sz val="10"/>
      <color theme="1"/>
      <name val="Arial"/>
      <family val="2"/>
    </font>
    <font>
      <sz val="14"/>
      <name val="Arial"/>
      <family val="2"/>
    </font>
    <font>
      <b/>
      <sz val="14"/>
      <name val="Arial"/>
      <family val="2"/>
    </font>
    <font>
      <b/>
      <vertAlign val="superscript"/>
      <sz val="14"/>
      <name val="Arial"/>
      <family val="2"/>
    </font>
    <font>
      <b/>
      <sz val="10"/>
      <name val="Arial"/>
      <family val="2"/>
    </font>
    <font>
      <b/>
      <sz val="18"/>
      <name val="Arial"/>
      <family val="2"/>
    </font>
    <font>
      <sz val="18"/>
      <name val="Arial"/>
      <family val="2"/>
    </font>
    <font>
      <b/>
      <sz val="10"/>
      <name val="Calibri"/>
      <family val="2"/>
    </font>
    <font>
      <i/>
      <sz val="10"/>
      <name val="Calibri"/>
      <family val="2"/>
    </font>
    <font>
      <b/>
      <sz val="9"/>
      <color rgb="FF000000"/>
      <name val="Tahoma"/>
      <family val="2"/>
    </font>
    <font>
      <sz val="9"/>
      <color rgb="FF000000"/>
      <name val="Tahoma"/>
      <family val="2"/>
    </font>
  </fonts>
  <fills count="14">
    <fill>
      <patternFill patternType="none"/>
    </fill>
    <fill>
      <patternFill patternType="gray125"/>
    </fill>
    <fill>
      <patternFill patternType="solid">
        <fgColor indexed="43"/>
        <bgColor indexed="64"/>
      </patternFill>
    </fill>
    <fill>
      <patternFill patternType="solid">
        <fgColor indexed="9"/>
        <bgColor indexed="64"/>
      </patternFill>
    </fill>
    <fill>
      <patternFill patternType="solid">
        <fgColor rgb="FF002060"/>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rgb="FFD5D8DB"/>
        <bgColor rgb="FFD5D8DB"/>
      </patternFill>
    </fill>
    <fill>
      <patternFill patternType="solid">
        <fgColor rgb="FFFFFF00"/>
        <bgColor indexed="64"/>
      </patternFill>
    </fill>
    <fill>
      <patternFill patternType="solid">
        <fgColor theme="0" tint="-0.14999847407452621"/>
        <bgColor indexed="64"/>
      </patternFill>
    </fill>
    <fill>
      <patternFill patternType="solid">
        <fgColor theme="0" tint="-4.9989318521683403E-2"/>
        <bgColor rgb="FFD5D8DB"/>
      </patternFill>
    </fill>
    <fill>
      <patternFill patternType="solid">
        <fgColor rgb="FFF0F0F0"/>
        <bgColor indexed="64"/>
      </patternFill>
    </fill>
    <fill>
      <patternFill patternType="solid">
        <fgColor theme="6" tint="0.79998168889431442"/>
        <bgColor indexed="64"/>
      </patternFill>
    </fill>
  </fills>
  <borders count="35">
    <border>
      <left/>
      <right/>
      <top/>
      <bottom/>
      <diagonal/>
    </border>
    <border>
      <left/>
      <right/>
      <top/>
      <bottom style="thin">
        <color indexed="64"/>
      </bottom>
      <diagonal/>
    </border>
    <border>
      <left/>
      <right/>
      <top/>
      <bottom style="medium">
        <color indexed="64"/>
      </bottom>
      <diagonal/>
    </border>
    <border>
      <left/>
      <right/>
      <top style="thin">
        <color indexed="64"/>
      </top>
      <bottom style="medium">
        <color indexed="64"/>
      </bottom>
      <diagonal/>
    </border>
    <border>
      <left/>
      <right/>
      <top style="medium">
        <color indexed="64"/>
      </top>
      <bottom/>
      <diagonal/>
    </border>
    <border>
      <left style="medium">
        <color indexed="64"/>
      </left>
      <right/>
      <top/>
      <bottom style="medium">
        <color indexed="64"/>
      </bottom>
      <diagonal/>
    </border>
    <border>
      <left style="medium">
        <color indexed="64"/>
      </left>
      <right/>
      <top style="medium">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right style="medium">
        <color indexed="64"/>
      </right>
      <top/>
      <bottom/>
      <diagonal/>
    </border>
    <border>
      <left style="thin">
        <color indexed="64"/>
      </left>
      <right/>
      <top style="thin">
        <color indexed="64"/>
      </top>
      <bottom/>
      <diagonal/>
    </border>
    <border>
      <left style="thin">
        <color indexed="64"/>
      </left>
      <right/>
      <top/>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right style="medium">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style="double">
        <color indexed="64"/>
      </bottom>
      <diagonal/>
    </border>
    <border>
      <left/>
      <right/>
      <top style="thin">
        <color indexed="64"/>
      </top>
      <bottom style="thin">
        <color indexed="64"/>
      </bottom>
      <diagonal/>
    </border>
    <border>
      <left/>
      <right/>
      <top/>
      <bottom style="double">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top/>
      <bottom/>
      <diagonal/>
    </border>
    <border>
      <left style="medium">
        <color indexed="64"/>
      </left>
      <right/>
      <top style="medium">
        <color indexed="64"/>
      </top>
      <bottom style="medium">
        <color indexed="64"/>
      </bottom>
      <diagonal/>
    </border>
    <border>
      <left style="thin">
        <color indexed="64"/>
      </left>
      <right/>
      <top style="thin">
        <color indexed="64"/>
      </top>
      <bottom style="thin">
        <color indexed="64"/>
      </bottom>
      <diagonal/>
    </border>
    <border>
      <left style="double">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double">
        <color indexed="64"/>
      </left>
      <right/>
      <top/>
      <bottom style="thin">
        <color indexed="64"/>
      </bottom>
      <diagonal/>
    </border>
  </borders>
  <cellStyleXfs count="8">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23" fillId="0" borderId="0"/>
    <xf numFmtId="0" fontId="34" fillId="0" borderId="0"/>
    <xf numFmtId="0" fontId="35" fillId="0" borderId="0"/>
    <xf numFmtId="0" fontId="30" fillId="0" borderId="0" applyNumberFormat="0" applyBorder="0" applyAlignment="0"/>
  </cellStyleXfs>
  <cellXfs count="575">
    <xf numFmtId="0" fontId="0" fillId="0" borderId="0" xfId="0"/>
    <xf numFmtId="0" fontId="4" fillId="0" borderId="0" xfId="0" applyFont="1"/>
    <xf numFmtId="0" fontId="5" fillId="0" borderId="0" xfId="0" applyFont="1"/>
    <xf numFmtId="0" fontId="6" fillId="0" borderId="0" xfId="0" applyFont="1"/>
    <xf numFmtId="0" fontId="4" fillId="0" borderId="0" xfId="0" applyFont="1" applyAlignment="1">
      <alignment horizontal="left"/>
    </xf>
    <xf numFmtId="0" fontId="6" fillId="0" borderId="0" xfId="0" applyFont="1" applyAlignment="1">
      <alignment horizontal="left"/>
    </xf>
    <xf numFmtId="0" fontId="5" fillId="0" borderId="0" xfId="0" applyFont="1" applyAlignment="1">
      <alignment horizontal="left"/>
    </xf>
    <xf numFmtId="0" fontId="7" fillId="0" borderId="0" xfId="0" applyFont="1"/>
    <xf numFmtId="0" fontId="5" fillId="0" borderId="0" xfId="0" applyFont="1" applyAlignment="1">
      <alignment horizontal="left" wrapText="1"/>
    </xf>
    <xf numFmtId="0" fontId="5" fillId="0" borderId="0" xfId="0" applyFont="1" applyAlignment="1">
      <alignment horizontal="right" wrapText="1"/>
    </xf>
    <xf numFmtId="1" fontId="5" fillId="0" borderId="0" xfId="0" applyNumberFormat="1" applyFont="1" applyAlignment="1">
      <alignment horizontal="right" wrapText="1"/>
    </xf>
    <xf numFmtId="1" fontId="5" fillId="0" borderId="0" xfId="0" applyNumberFormat="1" applyFont="1"/>
    <xf numFmtId="1" fontId="4" fillId="0" borderId="0" xfId="0" applyNumberFormat="1" applyFont="1"/>
    <xf numFmtId="44" fontId="4" fillId="0" borderId="0" xfId="2" applyFont="1" applyFill="1" applyBorder="1"/>
    <xf numFmtId="44" fontId="5" fillId="0" borderId="0" xfId="2" applyFont="1" applyFill="1" applyBorder="1"/>
    <xf numFmtId="0" fontId="4" fillId="0" borderId="0" xfId="0" applyFont="1" applyAlignment="1">
      <alignment horizontal="left" wrapText="1"/>
    </xf>
    <xf numFmtId="7" fontId="5" fillId="0" borderId="0" xfId="0" applyNumberFormat="1" applyFont="1"/>
    <xf numFmtId="0" fontId="8" fillId="0" borderId="0" xfId="0" applyFont="1"/>
    <xf numFmtId="0" fontId="8" fillId="0" borderId="0" xfId="0" applyFont="1" applyAlignment="1">
      <alignment horizontal="right"/>
    </xf>
    <xf numFmtId="0" fontId="8" fillId="0" borderId="0" xfId="0" applyFont="1" applyAlignment="1">
      <alignment horizontal="right" wrapText="1"/>
    </xf>
    <xf numFmtId="0" fontId="9" fillId="0" borderId="0" xfId="0" applyFont="1"/>
    <xf numFmtId="0" fontId="9" fillId="0" borderId="0" xfId="0" applyFont="1" applyAlignment="1">
      <alignment horizontal="right"/>
    </xf>
    <xf numFmtId="7" fontId="8" fillId="0" borderId="0" xfId="0" applyNumberFormat="1" applyFont="1"/>
    <xf numFmtId="7" fontId="8" fillId="0" borderId="0" xfId="0" applyNumberFormat="1" applyFont="1" applyAlignment="1">
      <alignment horizontal="right"/>
    </xf>
    <xf numFmtId="14" fontId="5" fillId="0" borderId="0" xfId="0" applyNumberFormat="1" applyFont="1"/>
    <xf numFmtId="168" fontId="5" fillId="0" borderId="0" xfId="1" applyNumberFormat="1" applyFont="1" applyFill="1"/>
    <xf numFmtId="164" fontId="5" fillId="0" borderId="0" xfId="0" applyNumberFormat="1" applyFont="1"/>
    <xf numFmtId="169" fontId="5" fillId="0" borderId="0" xfId="2" applyNumberFormat="1" applyFont="1"/>
    <xf numFmtId="9" fontId="5" fillId="0" borderId="0" xfId="3" applyFont="1" applyAlignment="1">
      <alignment horizontal="right"/>
    </xf>
    <xf numFmtId="0" fontId="5" fillId="0" borderId="2" xfId="0" applyFont="1" applyBorder="1"/>
    <xf numFmtId="169" fontId="5" fillId="0" borderId="2" xfId="2" applyNumberFormat="1" applyFont="1" applyBorder="1"/>
    <xf numFmtId="0" fontId="5" fillId="0" borderId="0" xfId="0" applyFont="1" applyAlignment="1">
      <alignment horizontal="right"/>
    </xf>
    <xf numFmtId="44" fontId="5" fillId="0" borderId="0" xfId="2" applyFont="1"/>
    <xf numFmtId="3" fontId="5" fillId="0" borderId="0" xfId="0" applyNumberFormat="1" applyFont="1"/>
    <xf numFmtId="2" fontId="5" fillId="0" borderId="0" xfId="0" applyNumberFormat="1" applyFont="1"/>
    <xf numFmtId="0" fontId="5" fillId="0" borderId="1" xfId="0" applyFont="1" applyBorder="1" applyAlignment="1">
      <alignment horizontal="left"/>
    </xf>
    <xf numFmtId="0" fontId="5" fillId="0" borderId="1" xfId="0" applyFont="1" applyBorder="1"/>
    <xf numFmtId="10" fontId="5" fillId="0" borderId="0" xfId="0" applyNumberFormat="1" applyFont="1" applyAlignment="1">
      <alignment horizontal="right"/>
    </xf>
    <xf numFmtId="166" fontId="5" fillId="0" borderId="0" xfId="0" applyNumberFormat="1" applyFont="1"/>
    <xf numFmtId="166" fontId="5" fillId="0" borderId="1" xfId="0" applyNumberFormat="1" applyFont="1" applyBorder="1"/>
    <xf numFmtId="166" fontId="5" fillId="0" borderId="0" xfId="0" applyNumberFormat="1" applyFont="1" applyAlignment="1">
      <alignment horizontal="right"/>
    </xf>
    <xf numFmtId="44" fontId="5" fillId="0" borderId="0" xfId="0" applyNumberFormat="1" applyFont="1"/>
    <xf numFmtId="0" fontId="11" fillId="0" borderId="0" xfId="0" applyFont="1"/>
    <xf numFmtId="10" fontId="5" fillId="0" borderId="0" xfId="0" applyNumberFormat="1" applyFont="1"/>
    <xf numFmtId="44" fontId="5" fillId="0" borderId="0" xfId="2" applyFont="1" applyFill="1"/>
    <xf numFmtId="165" fontId="5" fillId="0" borderId="0" xfId="2" applyNumberFormat="1" applyFont="1" applyFill="1"/>
    <xf numFmtId="2" fontId="4" fillId="0" borderId="0" xfId="0" applyNumberFormat="1" applyFont="1"/>
    <xf numFmtId="0" fontId="5" fillId="3" borderId="0" xfId="0" applyFont="1" applyFill="1" applyAlignment="1">
      <alignment wrapText="1"/>
    </xf>
    <xf numFmtId="167" fontId="5" fillId="0" borderId="0" xfId="1" applyNumberFormat="1" applyFont="1"/>
    <xf numFmtId="44" fontId="5" fillId="0" borderId="1" xfId="2" applyFont="1" applyBorder="1"/>
    <xf numFmtId="167" fontId="5" fillId="0" borderId="0" xfId="1" applyNumberFormat="1" applyFont="1" applyAlignment="1">
      <alignment horizontal="left"/>
    </xf>
    <xf numFmtId="2" fontId="5" fillId="0" borderId="1" xfId="0" applyNumberFormat="1" applyFont="1" applyBorder="1"/>
    <xf numFmtId="44" fontId="5" fillId="0" borderId="1" xfId="0" applyNumberFormat="1" applyFont="1" applyBorder="1"/>
    <xf numFmtId="168" fontId="4" fillId="0" borderId="0" xfId="1" applyNumberFormat="1" applyFont="1"/>
    <xf numFmtId="168" fontId="5" fillId="0" borderId="1" xfId="0" applyNumberFormat="1" applyFont="1" applyBorder="1"/>
    <xf numFmtId="3" fontId="4" fillId="0" borderId="0" xfId="0" applyNumberFormat="1" applyFont="1"/>
    <xf numFmtId="168" fontId="4" fillId="0" borderId="0" xfId="1" applyNumberFormat="1" applyFont="1" applyFill="1"/>
    <xf numFmtId="169" fontId="4" fillId="2" borderId="8" xfId="2" applyNumberFormat="1" applyFont="1" applyFill="1" applyBorder="1"/>
    <xf numFmtId="0" fontId="5" fillId="3" borderId="2" xfId="0" applyFont="1" applyFill="1" applyBorder="1" applyAlignment="1">
      <alignment wrapText="1"/>
    </xf>
    <xf numFmtId="0" fontId="14" fillId="0" borderId="0" xfId="0" applyFont="1"/>
    <xf numFmtId="8" fontId="5" fillId="0" borderId="0" xfId="2" applyNumberFormat="1" applyFont="1"/>
    <xf numFmtId="8" fontId="5" fillId="0" borderId="2" xfId="2" applyNumberFormat="1" applyFont="1" applyBorder="1"/>
    <xf numFmtId="8" fontId="5" fillId="0" borderId="0" xfId="2" applyNumberFormat="1" applyFont="1" applyFill="1"/>
    <xf numFmtId="8" fontId="5" fillId="0" borderId="0" xfId="1" applyNumberFormat="1" applyFont="1" applyBorder="1" applyAlignment="1">
      <alignment horizontal="right"/>
    </xf>
    <xf numFmtId="43" fontId="5" fillId="0" borderId="0" xfId="0" applyNumberFormat="1" applyFont="1"/>
    <xf numFmtId="43" fontId="5" fillId="0" borderId="0" xfId="1" applyFont="1"/>
    <xf numFmtId="43" fontId="5" fillId="0" borderId="2" xfId="1" applyFont="1" applyBorder="1"/>
    <xf numFmtId="44" fontId="4" fillId="0" borderId="0" xfId="2" applyFont="1"/>
    <xf numFmtId="0" fontId="4" fillId="0" borderId="3" xfId="0" applyFont="1" applyBorder="1"/>
    <xf numFmtId="166" fontId="10" fillId="0" borderId="0" xfId="0" applyNumberFormat="1" applyFont="1" applyAlignment="1">
      <alignment horizontal="right"/>
    </xf>
    <xf numFmtId="166" fontId="10" fillId="0" borderId="1" xfId="0" applyNumberFormat="1" applyFont="1" applyBorder="1" applyAlignment="1">
      <alignment horizontal="right"/>
    </xf>
    <xf numFmtId="166" fontId="5" fillId="0" borderId="1" xfId="0" applyNumberFormat="1" applyFont="1" applyBorder="1" applyAlignment="1">
      <alignment horizontal="right"/>
    </xf>
    <xf numFmtId="166" fontId="4" fillId="0" borderId="0" xfId="0" applyNumberFormat="1" applyFont="1" applyAlignment="1">
      <alignment horizontal="right"/>
    </xf>
    <xf numFmtId="0" fontId="4" fillId="0" borderId="0" xfId="0" applyFont="1" applyAlignment="1">
      <alignment horizontal="right"/>
    </xf>
    <xf numFmtId="0" fontId="15" fillId="4" borderId="3" xfId="0" applyFont="1" applyFill="1" applyBorder="1" applyAlignment="1">
      <alignment horizontal="left"/>
    </xf>
    <xf numFmtId="0" fontId="15" fillId="4" borderId="3" xfId="0" applyFont="1" applyFill="1" applyBorder="1"/>
    <xf numFmtId="0" fontId="15" fillId="4" borderId="3" xfId="0" applyFont="1" applyFill="1" applyBorder="1" applyAlignment="1">
      <alignment horizontal="right"/>
    </xf>
    <xf numFmtId="8" fontId="8" fillId="0" borderId="0" xfId="0" applyNumberFormat="1" applyFont="1" applyAlignment="1">
      <alignment horizontal="right"/>
    </xf>
    <xf numFmtId="14" fontId="8" fillId="0" borderId="0" xfId="0" applyNumberFormat="1" applyFont="1" applyAlignment="1">
      <alignment horizontal="right"/>
    </xf>
    <xf numFmtId="10" fontId="8" fillId="0" borderId="0" xfId="0" applyNumberFormat="1" applyFont="1" applyAlignment="1">
      <alignment horizontal="right"/>
    </xf>
    <xf numFmtId="0" fontId="17" fillId="4" borderId="3" xfId="0" applyFont="1" applyFill="1" applyBorder="1" applyAlignment="1">
      <alignment horizontal="left" wrapText="1"/>
    </xf>
    <xf numFmtId="0" fontId="15" fillId="4" borderId="3" xfId="0" applyFont="1" applyFill="1" applyBorder="1" applyAlignment="1">
      <alignment horizontal="right" wrapText="1"/>
    </xf>
    <xf numFmtId="44" fontId="5" fillId="5" borderId="0" xfId="0" applyNumberFormat="1" applyFont="1" applyFill="1"/>
    <xf numFmtId="10" fontId="5" fillId="5" borderId="0" xfId="0" applyNumberFormat="1" applyFont="1" applyFill="1"/>
    <xf numFmtId="10" fontId="5" fillId="5" borderId="0" xfId="3" applyNumberFormat="1" applyFont="1" applyFill="1"/>
    <xf numFmtId="44" fontId="5" fillId="5" borderId="0" xfId="2" applyFont="1" applyFill="1" applyBorder="1"/>
    <xf numFmtId="0" fontId="18" fillId="0" borderId="0" xfId="0" applyFont="1"/>
    <xf numFmtId="44" fontId="5" fillId="5" borderId="8" xfId="0" applyNumberFormat="1" applyFont="1" applyFill="1" applyBorder="1"/>
    <xf numFmtId="0" fontId="5" fillId="0" borderId="0" xfId="0" applyFont="1" applyAlignment="1">
      <alignment horizontal="left" indent="1"/>
    </xf>
    <xf numFmtId="0" fontId="4" fillId="0" borderId="0" xfId="0" applyFont="1" applyAlignment="1">
      <alignment horizontal="left" indent="1"/>
    </xf>
    <xf numFmtId="166" fontId="5" fillId="5" borderId="0" xfId="0" applyNumberFormat="1" applyFont="1" applyFill="1" applyAlignment="1">
      <alignment horizontal="right" wrapText="1"/>
    </xf>
    <xf numFmtId="166" fontId="5" fillId="0" borderId="1" xfId="0" applyNumberFormat="1" applyFont="1" applyBorder="1" applyAlignment="1">
      <alignment horizontal="right" wrapText="1"/>
    </xf>
    <xf numFmtId="166" fontId="5" fillId="5" borderId="1" xfId="0" applyNumberFormat="1" applyFont="1" applyFill="1" applyBorder="1" applyAlignment="1">
      <alignment horizontal="right" wrapText="1"/>
    </xf>
    <xf numFmtId="166" fontId="5" fillId="0" borderId="0" xfId="0" applyNumberFormat="1" applyFont="1" applyAlignment="1">
      <alignment horizontal="right" wrapText="1"/>
    </xf>
    <xf numFmtId="166" fontId="5" fillId="5" borderId="0" xfId="0" applyNumberFormat="1" applyFont="1" applyFill="1"/>
    <xf numFmtId="166" fontId="4" fillId="0" borderId="0" xfId="0" applyNumberFormat="1" applyFont="1"/>
    <xf numFmtId="166" fontId="5" fillId="5" borderId="0" xfId="1" applyNumberFormat="1" applyFont="1" applyFill="1" applyBorder="1"/>
    <xf numFmtId="166" fontId="5" fillId="5" borderId="1" xfId="0" applyNumberFormat="1" applyFont="1" applyFill="1" applyBorder="1"/>
    <xf numFmtId="44" fontId="5" fillId="5" borderId="8" xfId="2" applyFont="1" applyFill="1" applyBorder="1"/>
    <xf numFmtId="0" fontId="15" fillId="4" borderId="6" xfId="0" applyFont="1" applyFill="1" applyBorder="1" applyAlignment="1">
      <alignment horizontal="right"/>
    </xf>
    <xf numFmtId="0" fontId="15" fillId="4" borderId="4" xfId="0" applyFont="1" applyFill="1" applyBorder="1" applyAlignment="1">
      <alignment horizontal="right"/>
    </xf>
    <xf numFmtId="0" fontId="15" fillId="4" borderId="5" xfId="0" applyFont="1" applyFill="1" applyBorder="1"/>
    <xf numFmtId="0" fontId="15" fillId="4" borderId="2" xfId="0" applyFont="1" applyFill="1" applyBorder="1"/>
    <xf numFmtId="0" fontId="15" fillId="4" borderId="2" xfId="0" applyFont="1" applyFill="1" applyBorder="1" applyAlignment="1">
      <alignment horizontal="right"/>
    </xf>
    <xf numFmtId="0" fontId="5" fillId="4" borderId="0" xfId="0" applyFont="1" applyFill="1"/>
    <xf numFmtId="0" fontId="15" fillId="4" borderId="0" xfId="0" applyFont="1" applyFill="1"/>
    <xf numFmtId="0" fontId="15" fillId="4" borderId="0" xfId="0" applyFont="1" applyFill="1" applyAlignment="1">
      <alignment horizontal="right"/>
    </xf>
    <xf numFmtId="169" fontId="15" fillId="4" borderId="0" xfId="2" applyNumberFormat="1" applyFont="1" applyFill="1" applyAlignment="1">
      <alignment horizontal="right"/>
    </xf>
    <xf numFmtId="169" fontId="15" fillId="4" borderId="2" xfId="2" applyNumberFormat="1" applyFont="1" applyFill="1" applyBorder="1" applyAlignment="1">
      <alignment horizontal="right"/>
    </xf>
    <xf numFmtId="10" fontId="16" fillId="0" borderId="0" xfId="0" applyNumberFormat="1" applyFont="1"/>
    <xf numFmtId="10" fontId="16" fillId="0" borderId="0" xfId="3" applyNumberFormat="1" applyFont="1" applyBorder="1" applyAlignment="1">
      <alignment horizontal="right"/>
    </xf>
    <xf numFmtId="0" fontId="17" fillId="4" borderId="3" xfId="0" applyFont="1" applyFill="1" applyBorder="1" applyAlignment="1">
      <alignment horizontal="left"/>
    </xf>
    <xf numFmtId="0" fontId="19" fillId="0" borderId="0" xfId="0" applyFont="1"/>
    <xf numFmtId="0" fontId="5" fillId="0" borderId="0" xfId="0" applyFont="1" applyAlignment="1">
      <alignment horizontal="left" wrapText="1" indent="1"/>
    </xf>
    <xf numFmtId="0" fontId="4" fillId="0" borderId="0" xfId="0" applyFont="1" applyAlignment="1">
      <alignment horizontal="right" wrapText="1"/>
    </xf>
    <xf numFmtId="43" fontId="5" fillId="0" borderId="0" xfId="1" applyFont="1" applyBorder="1" applyAlignment="1">
      <alignment horizontal="center"/>
    </xf>
    <xf numFmtId="43" fontId="5" fillId="0" borderId="17" xfId="1" applyFont="1" applyBorder="1" applyAlignment="1">
      <alignment horizontal="center"/>
    </xf>
    <xf numFmtId="43" fontId="5" fillId="0" borderId="19" xfId="1" applyFont="1" applyBorder="1" applyAlignment="1">
      <alignment horizontal="center"/>
    </xf>
    <xf numFmtId="43" fontId="5" fillId="0" borderId="20" xfId="1" applyFont="1" applyBorder="1" applyAlignment="1">
      <alignment horizontal="center"/>
    </xf>
    <xf numFmtId="166" fontId="4" fillId="6" borderId="0" xfId="0" applyNumberFormat="1" applyFont="1" applyFill="1" applyAlignment="1">
      <alignment horizontal="right"/>
    </xf>
    <xf numFmtId="10" fontId="5" fillId="0" borderId="0" xfId="3" applyNumberFormat="1" applyFont="1"/>
    <xf numFmtId="10" fontId="5" fillId="0" borderId="1" xfId="0" applyNumberFormat="1" applyFont="1" applyBorder="1"/>
    <xf numFmtId="10" fontId="4" fillId="5" borderId="0" xfId="3" applyNumberFormat="1" applyFont="1" applyFill="1"/>
    <xf numFmtId="9" fontId="5" fillId="0" borderId="1" xfId="0" applyNumberFormat="1" applyFont="1" applyBorder="1"/>
    <xf numFmtId="10" fontId="4" fillId="0" borderId="0" xfId="3" applyNumberFormat="1" applyFont="1"/>
    <xf numFmtId="10" fontId="5" fillId="0" borderId="1" xfId="3" applyNumberFormat="1" applyFont="1" applyBorder="1"/>
    <xf numFmtId="0" fontId="6" fillId="4" borderId="0" xfId="0" applyFont="1" applyFill="1"/>
    <xf numFmtId="0" fontId="6" fillId="0" borderId="1" xfId="0" applyFont="1" applyBorder="1"/>
    <xf numFmtId="8" fontId="5" fillId="0" borderId="1" xfId="0" applyNumberFormat="1" applyFont="1" applyBorder="1"/>
    <xf numFmtId="43" fontId="4" fillId="0" borderId="0" xfId="1" applyFont="1"/>
    <xf numFmtId="43" fontId="4" fillId="0" borderId="0" xfId="0" applyNumberFormat="1" applyFont="1"/>
    <xf numFmtId="10" fontId="5" fillId="0" borderId="22" xfId="3" applyNumberFormat="1" applyFont="1" applyBorder="1"/>
    <xf numFmtId="10" fontId="4" fillId="5" borderId="8" xfId="3" applyNumberFormat="1" applyFont="1" applyFill="1" applyBorder="1"/>
    <xf numFmtId="3" fontId="8" fillId="0" borderId="0" xfId="0" applyNumberFormat="1" applyFont="1"/>
    <xf numFmtId="2" fontId="8" fillId="0" borderId="0" xfId="0" applyNumberFormat="1" applyFont="1"/>
    <xf numFmtId="0" fontId="5" fillId="0" borderId="0" xfId="0" applyFont="1" applyAlignment="1">
      <alignment horizontal="center" vertical="center" textRotation="90"/>
    </xf>
    <xf numFmtId="10" fontId="5" fillId="0" borderId="0" xfId="3" applyNumberFormat="1" applyFont="1" applyFill="1"/>
    <xf numFmtId="44" fontId="5" fillId="5" borderId="1" xfId="0" applyNumberFormat="1" applyFont="1" applyFill="1" applyBorder="1"/>
    <xf numFmtId="10" fontId="5" fillId="7" borderId="8" xfId="0" applyNumberFormat="1" applyFont="1" applyFill="1" applyBorder="1"/>
    <xf numFmtId="43" fontId="5" fillId="0" borderId="11" xfId="1" applyFont="1" applyBorder="1" applyAlignment="1">
      <alignment horizontal="center"/>
    </xf>
    <xf numFmtId="43" fontId="5" fillId="0" borderId="7" xfId="1" applyFont="1" applyBorder="1" applyAlignment="1">
      <alignment horizontal="center"/>
    </xf>
    <xf numFmtId="43" fontId="5" fillId="0" borderId="18" xfId="1" applyFont="1" applyBorder="1" applyAlignment="1">
      <alignment horizontal="center"/>
    </xf>
    <xf numFmtId="43" fontId="5" fillId="0" borderId="12" xfId="1" applyFont="1" applyBorder="1" applyAlignment="1">
      <alignment horizontal="center"/>
    </xf>
    <xf numFmtId="43" fontId="5" fillId="0" borderId="10" xfId="1" applyFont="1" applyBorder="1" applyAlignment="1">
      <alignment horizontal="center"/>
    </xf>
    <xf numFmtId="43" fontId="5" fillId="0" borderId="21" xfId="1" applyFont="1" applyBorder="1" applyAlignment="1">
      <alignment horizontal="center"/>
    </xf>
    <xf numFmtId="43" fontId="5" fillId="0" borderId="2" xfId="1" applyFont="1" applyBorder="1" applyAlignment="1">
      <alignment horizontal="center"/>
    </xf>
    <xf numFmtId="43" fontId="5" fillId="0" borderId="9" xfId="1" applyFont="1" applyBorder="1" applyAlignment="1">
      <alignment horizontal="center"/>
    </xf>
    <xf numFmtId="0" fontId="21" fillId="0" borderId="0" xfId="0" applyFont="1"/>
    <xf numFmtId="0" fontId="22" fillId="0" borderId="1" xfId="0" applyFont="1" applyBorder="1"/>
    <xf numFmtId="49" fontId="8" fillId="0" borderId="0" xfId="0" applyNumberFormat="1" applyFont="1" applyAlignment="1">
      <alignment horizontal="right"/>
    </xf>
    <xf numFmtId="0" fontId="8" fillId="0" borderId="1" xfId="0" applyFont="1" applyBorder="1"/>
    <xf numFmtId="0" fontId="8" fillId="0" borderId="1" xfId="0" applyFont="1" applyBorder="1" applyAlignment="1">
      <alignment horizontal="right"/>
    </xf>
    <xf numFmtId="44" fontId="5" fillId="0" borderId="1" xfId="2" applyFont="1" applyFill="1" applyBorder="1"/>
    <xf numFmtId="10" fontId="4" fillId="0" borderId="0" xfId="3" applyNumberFormat="1" applyFont="1" applyFill="1" applyBorder="1"/>
    <xf numFmtId="10" fontId="5" fillId="0" borderId="1" xfId="3" applyNumberFormat="1" applyFont="1" applyFill="1" applyBorder="1" applyAlignment="1">
      <alignment horizontal="right" wrapText="1"/>
    </xf>
    <xf numFmtId="0" fontId="7" fillId="0" borderId="0" xfId="0" applyFont="1" applyAlignment="1">
      <alignment horizontal="right"/>
    </xf>
    <xf numFmtId="0" fontId="24" fillId="0" borderId="0" xfId="4" applyFont="1" applyAlignment="1">
      <alignment horizontal="left" vertical="top"/>
    </xf>
    <xf numFmtId="0" fontId="24" fillId="0" borderId="0" xfId="4" applyFont="1" applyAlignment="1">
      <alignment horizontal="right" vertical="top" wrapText="1"/>
    </xf>
    <xf numFmtId="0" fontId="25" fillId="0" borderId="0" xfId="4" applyFont="1" applyAlignment="1">
      <alignment horizontal="left"/>
    </xf>
    <xf numFmtId="1" fontId="25" fillId="0" borderId="0" xfId="4" applyNumberFormat="1" applyFont="1"/>
    <xf numFmtId="0" fontId="26" fillId="0" borderId="0" xfId="4" applyFont="1" applyAlignment="1">
      <alignment horizontal="left"/>
    </xf>
    <xf numFmtId="0" fontId="25" fillId="0" borderId="1" xfId="4" applyFont="1" applyBorder="1" applyAlignment="1">
      <alignment horizontal="left"/>
    </xf>
    <xf numFmtId="0" fontId="24" fillId="0" borderId="0" xfId="4" applyFont="1" applyAlignment="1">
      <alignment horizontal="left"/>
    </xf>
    <xf numFmtId="0" fontId="27" fillId="0" borderId="0" xfId="0" applyFont="1" applyAlignment="1">
      <alignment horizontal="right"/>
    </xf>
    <xf numFmtId="0" fontId="5" fillId="0" borderId="1" xfId="0" applyFont="1" applyBorder="1" applyAlignment="1">
      <alignment horizontal="right"/>
    </xf>
    <xf numFmtId="0" fontId="6" fillId="0" borderId="0" xfId="0" applyFont="1" applyAlignment="1">
      <alignment horizontal="right"/>
    </xf>
    <xf numFmtId="0" fontId="11" fillId="0" borderId="0" xfId="0" applyFont="1" applyAlignment="1">
      <alignment horizontal="right"/>
    </xf>
    <xf numFmtId="168" fontId="5" fillId="0" borderId="0" xfId="0" applyNumberFormat="1" applyFont="1" applyAlignment="1">
      <alignment horizontal="right"/>
    </xf>
    <xf numFmtId="0" fontId="25" fillId="0" borderId="0" xfId="0" applyFont="1"/>
    <xf numFmtId="0" fontId="25" fillId="0" borderId="0" xfId="0" applyFont="1" applyAlignment="1">
      <alignment horizontal="right"/>
    </xf>
    <xf numFmtId="169" fontId="5" fillId="0" borderId="0" xfId="0" applyNumberFormat="1" applyFont="1" applyAlignment="1">
      <alignment horizontal="right"/>
    </xf>
    <xf numFmtId="168" fontId="5" fillId="0" borderId="0" xfId="0" applyNumberFormat="1" applyFont="1" applyAlignment="1">
      <alignment horizontal="right" wrapText="1"/>
    </xf>
    <xf numFmtId="168" fontId="5" fillId="0" borderId="1" xfId="0" applyNumberFormat="1" applyFont="1" applyBorder="1" applyAlignment="1">
      <alignment horizontal="right"/>
    </xf>
    <xf numFmtId="168" fontId="25" fillId="0" borderId="0" xfId="0" applyNumberFormat="1" applyFont="1" applyAlignment="1">
      <alignment horizontal="right"/>
    </xf>
    <xf numFmtId="0" fontId="28" fillId="0" borderId="0" xfId="0" applyFont="1"/>
    <xf numFmtId="169" fontId="25" fillId="0" borderId="0" xfId="0" applyNumberFormat="1" applyFont="1" applyAlignment="1">
      <alignment horizontal="right"/>
    </xf>
    <xf numFmtId="3" fontId="25" fillId="0" borderId="0" xfId="0" applyNumberFormat="1" applyFont="1" applyAlignment="1">
      <alignment horizontal="right"/>
    </xf>
    <xf numFmtId="0" fontId="26" fillId="0" borderId="0" xfId="0" applyFont="1"/>
    <xf numFmtId="3" fontId="26" fillId="0" borderId="0" xfId="0" applyNumberFormat="1" applyFont="1" applyAlignment="1">
      <alignment horizontal="right"/>
    </xf>
    <xf numFmtId="0" fontId="24" fillId="0" borderId="0" xfId="0" applyFont="1"/>
    <xf numFmtId="168" fontId="25" fillId="0" borderId="0" xfId="0" quotePrefix="1" applyNumberFormat="1" applyFont="1" applyAlignment="1">
      <alignment horizontal="right"/>
    </xf>
    <xf numFmtId="0" fontId="31" fillId="0" borderId="0" xfId="0" applyFont="1" applyAlignment="1">
      <alignment horizontal="right"/>
    </xf>
    <xf numFmtId="0" fontId="32" fillId="0" borderId="0" xfId="0" applyFont="1" applyAlignment="1">
      <alignment horizontal="right"/>
    </xf>
    <xf numFmtId="0" fontId="33" fillId="0" borderId="0" xfId="0" applyFont="1" applyAlignment="1">
      <alignment horizontal="right"/>
    </xf>
    <xf numFmtId="0" fontId="29" fillId="0" borderId="0" xfId="0" applyFont="1" applyAlignment="1">
      <alignment horizontal="right"/>
    </xf>
    <xf numFmtId="0" fontId="30" fillId="0" borderId="0" xfId="0" applyFont="1" applyAlignment="1">
      <alignment horizontal="left"/>
    </xf>
    <xf numFmtId="0" fontId="23" fillId="0" borderId="0" xfId="0" applyFont="1"/>
    <xf numFmtId="3" fontId="23" fillId="0" borderId="0" xfId="0" applyNumberFormat="1" applyFont="1" applyAlignment="1">
      <alignment horizontal="right"/>
    </xf>
    <xf numFmtId="3" fontId="25" fillId="0" borderId="0" xfId="4" applyNumberFormat="1" applyFont="1"/>
    <xf numFmtId="3" fontId="25" fillId="0" borderId="0" xfId="4" applyNumberFormat="1" applyFont="1" applyAlignment="1">
      <alignment horizontal="right"/>
    </xf>
    <xf numFmtId="3" fontId="5" fillId="0" borderId="0" xfId="0" applyNumberFormat="1" applyFont="1" applyAlignment="1">
      <alignment horizontal="right" wrapText="1"/>
    </xf>
    <xf numFmtId="3" fontId="8" fillId="0" borderId="0" xfId="0" applyNumberFormat="1" applyFont="1" applyAlignment="1">
      <alignment horizontal="right" wrapText="1"/>
    </xf>
    <xf numFmtId="3" fontId="9" fillId="0" borderId="0" xfId="0" applyNumberFormat="1" applyFont="1"/>
    <xf numFmtId="3" fontId="0" fillId="3" borderId="0" xfId="0" applyNumberFormat="1" applyFill="1" applyAlignment="1">
      <alignment horizontal="right"/>
    </xf>
    <xf numFmtId="0" fontId="24" fillId="0" borderId="1" xfId="4" applyFont="1" applyBorder="1" applyAlignment="1">
      <alignment horizontal="left"/>
    </xf>
    <xf numFmtId="7" fontId="5" fillId="0" borderId="1" xfId="0" applyNumberFormat="1" applyFont="1" applyBorder="1"/>
    <xf numFmtId="0" fontId="25" fillId="0" borderId="0" xfId="0" applyFont="1" applyAlignment="1">
      <alignment horizontal="left"/>
    </xf>
    <xf numFmtId="3" fontId="8" fillId="0" borderId="1" xfId="0" applyNumberFormat="1" applyFont="1" applyBorder="1"/>
    <xf numFmtId="0" fontId="25" fillId="0" borderId="1" xfId="0" applyFont="1" applyBorder="1"/>
    <xf numFmtId="0" fontId="4" fillId="0" borderId="24" xfId="0" applyFont="1" applyBorder="1" applyAlignment="1">
      <alignment horizontal="left"/>
    </xf>
    <xf numFmtId="1" fontId="5" fillId="0" borderId="24" xfId="0" applyNumberFormat="1" applyFont="1" applyBorder="1"/>
    <xf numFmtId="0" fontId="8" fillId="0" borderId="24" xfId="0" applyFont="1" applyBorder="1"/>
    <xf numFmtId="0" fontId="8" fillId="0" borderId="24" xfId="0" applyFont="1" applyBorder="1" applyAlignment="1">
      <alignment horizontal="right"/>
    </xf>
    <xf numFmtId="0" fontId="23" fillId="0" borderId="0" xfId="0" applyFont="1" applyAlignment="1">
      <alignment horizontal="left" indent="3"/>
    </xf>
    <xf numFmtId="168" fontId="8" fillId="0" borderId="0" xfId="0" applyNumberFormat="1" applyFont="1"/>
    <xf numFmtId="0" fontId="26" fillId="0" borderId="0" xfId="0" applyFont="1" applyAlignment="1">
      <alignment horizontal="left" indent="1"/>
    </xf>
    <xf numFmtId="0" fontId="24" fillId="5" borderId="24" xfId="0" applyFont="1" applyFill="1" applyBorder="1"/>
    <xf numFmtId="168" fontId="5" fillId="5" borderId="24" xfId="0" applyNumberFormat="1" applyFont="1" applyFill="1" applyBorder="1" applyAlignment="1">
      <alignment horizontal="right"/>
    </xf>
    <xf numFmtId="0" fontId="23" fillId="5" borderId="23" xfId="0" applyFont="1" applyFill="1" applyBorder="1"/>
    <xf numFmtId="0" fontId="29" fillId="5" borderId="23" xfId="0" applyFont="1" applyFill="1" applyBorder="1" applyAlignment="1">
      <alignment horizontal="right"/>
    </xf>
    <xf numFmtId="0" fontId="30" fillId="5" borderId="23" xfId="0" applyFont="1" applyFill="1" applyBorder="1" applyAlignment="1">
      <alignment horizontal="right"/>
    </xf>
    <xf numFmtId="0" fontId="5" fillId="5" borderId="24" xfId="0" applyFont="1" applyFill="1" applyBorder="1" applyAlignment="1">
      <alignment horizontal="right" wrapText="1"/>
    </xf>
    <xf numFmtId="0" fontId="24" fillId="5" borderId="0" xfId="0" applyFont="1" applyFill="1"/>
    <xf numFmtId="0" fontId="5" fillId="5" borderId="0" xfId="0" applyFont="1" applyFill="1" applyAlignment="1">
      <alignment horizontal="right"/>
    </xf>
    <xf numFmtId="169" fontId="25" fillId="5" borderId="0" xfId="0" applyNumberFormat="1" applyFont="1" applyFill="1" applyAlignment="1">
      <alignment horizontal="right"/>
    </xf>
    <xf numFmtId="0" fontId="5" fillId="5" borderId="24" xfId="0" applyFont="1" applyFill="1" applyBorder="1" applyAlignment="1">
      <alignment horizontal="right"/>
    </xf>
    <xf numFmtId="0" fontId="38" fillId="0" borderId="0" xfId="0" applyFont="1"/>
    <xf numFmtId="168" fontId="5" fillId="5" borderId="0" xfId="0" applyNumberFormat="1" applyFont="1" applyFill="1" applyAlignment="1">
      <alignment horizontal="right"/>
    </xf>
    <xf numFmtId="168" fontId="25" fillId="5" borderId="0" xfId="0" applyNumberFormat="1" applyFont="1" applyFill="1" applyAlignment="1">
      <alignment horizontal="right"/>
    </xf>
    <xf numFmtId="0" fontId="23" fillId="0" borderId="0" xfId="0" applyFont="1" applyAlignment="1">
      <alignment horizontal="left" indent="1"/>
    </xf>
    <xf numFmtId="3" fontId="30" fillId="0" borderId="0" xfId="0" applyNumberFormat="1" applyFont="1" applyAlignment="1">
      <alignment horizontal="left"/>
    </xf>
    <xf numFmtId="3" fontId="25" fillId="0" borderId="0" xfId="4" applyNumberFormat="1" applyFont="1" applyAlignment="1">
      <alignment horizontal="left"/>
    </xf>
    <xf numFmtId="3" fontId="5" fillId="0" borderId="1" xfId="0" applyNumberFormat="1" applyFont="1" applyBorder="1"/>
    <xf numFmtId="0" fontId="25" fillId="0" borderId="0" xfId="4" applyFont="1" applyAlignment="1">
      <alignment horizontal="left" indent="1"/>
    </xf>
    <xf numFmtId="0" fontId="25" fillId="0" borderId="0" xfId="0" applyFont="1" applyAlignment="1">
      <alignment horizontal="left" indent="1"/>
    </xf>
    <xf numFmtId="0" fontId="5" fillId="0" borderId="1" xfId="0" applyFont="1" applyBorder="1" applyAlignment="1">
      <alignment horizontal="left" wrapText="1"/>
    </xf>
    <xf numFmtId="1" fontId="5" fillId="0" borderId="1" xfId="0" applyNumberFormat="1" applyFont="1" applyBorder="1" applyAlignment="1">
      <alignment horizontal="right" wrapText="1"/>
    </xf>
    <xf numFmtId="0" fontId="8" fillId="0" borderId="1" xfId="0" applyFont="1" applyBorder="1" applyAlignment="1">
      <alignment horizontal="right" wrapText="1"/>
    </xf>
    <xf numFmtId="0" fontId="21" fillId="0" borderId="0" xfId="0" applyFont="1" applyAlignment="1">
      <alignment horizontal="left" wrapText="1"/>
    </xf>
    <xf numFmtId="0" fontId="21" fillId="0" borderId="0" xfId="0" applyFont="1" applyAlignment="1">
      <alignment horizontal="left"/>
    </xf>
    <xf numFmtId="0" fontId="36" fillId="0" borderId="0" xfId="0" applyFont="1" applyAlignment="1">
      <alignment wrapText="1"/>
    </xf>
    <xf numFmtId="0" fontId="42" fillId="0" borderId="0" xfId="0" applyFont="1"/>
    <xf numFmtId="0" fontId="25" fillId="0" borderId="0" xfId="4" applyFont="1" applyAlignment="1">
      <alignment horizontal="left" indent="2"/>
    </xf>
    <xf numFmtId="0" fontId="7" fillId="0" borderId="0" xfId="0" applyFont="1" applyAlignment="1">
      <alignment horizontal="left"/>
    </xf>
    <xf numFmtId="0" fontId="8" fillId="0" borderId="0" xfId="0" applyFont="1" applyAlignment="1">
      <alignment horizontal="left"/>
    </xf>
    <xf numFmtId="0" fontId="5" fillId="9" borderId="0" xfId="0" applyFont="1" applyFill="1"/>
    <xf numFmtId="10" fontId="8" fillId="0" borderId="0" xfId="0" applyNumberFormat="1" applyFont="1"/>
    <xf numFmtId="10" fontId="5" fillId="0" borderId="0" xfId="3" applyNumberFormat="1" applyFont="1" applyFill="1" applyBorder="1" applyAlignment="1">
      <alignment horizontal="right" wrapText="1"/>
    </xf>
    <xf numFmtId="10" fontId="44" fillId="0" borderId="1" xfId="0" quotePrefix="1" applyNumberFormat="1" applyFont="1" applyBorder="1" applyAlignment="1">
      <alignment horizontal="right"/>
    </xf>
    <xf numFmtId="10" fontId="5" fillId="0" borderId="0" xfId="0" applyNumberFormat="1" applyFont="1" applyAlignment="1">
      <alignment horizontal="right" wrapText="1"/>
    </xf>
    <xf numFmtId="3" fontId="44" fillId="0" borderId="0" xfId="0" quotePrefix="1" applyNumberFormat="1" applyFont="1" applyAlignment="1">
      <alignment horizontal="right"/>
    </xf>
    <xf numFmtId="10" fontId="44" fillId="0" borderId="7" xfId="0" quotePrefix="1" applyNumberFormat="1" applyFont="1" applyBorder="1" applyAlignment="1">
      <alignment horizontal="right"/>
    </xf>
    <xf numFmtId="3" fontId="8" fillId="0" borderId="0" xfId="0" applyNumberFormat="1" applyFont="1" applyAlignment="1">
      <alignment horizontal="left"/>
    </xf>
    <xf numFmtId="3" fontId="8" fillId="0" borderId="0" xfId="0" applyNumberFormat="1" applyFont="1" applyAlignment="1">
      <alignment horizontal="right"/>
    </xf>
    <xf numFmtId="3" fontId="9" fillId="0" borderId="0" xfId="0" applyNumberFormat="1" applyFont="1" applyAlignment="1">
      <alignment horizontal="right"/>
    </xf>
    <xf numFmtId="0" fontId="25" fillId="0" borderId="1" xfId="4" applyFont="1" applyBorder="1" applyAlignment="1">
      <alignment horizontal="left" indent="1"/>
    </xf>
    <xf numFmtId="0" fontId="5" fillId="0" borderId="1" xfId="0" applyFont="1" applyBorder="1" applyAlignment="1">
      <alignment horizontal="left" wrapText="1" indent="1"/>
    </xf>
    <xf numFmtId="3" fontId="8" fillId="0" borderId="0" xfId="4" applyNumberFormat="1" applyFont="1" applyAlignment="1">
      <alignment horizontal="right"/>
    </xf>
    <xf numFmtId="0" fontId="43" fillId="0" borderId="0" xfId="0" applyFont="1" applyAlignment="1">
      <alignment horizontal="left" indent="1"/>
    </xf>
    <xf numFmtId="4" fontId="44" fillId="0" borderId="0" xfId="0" applyNumberFormat="1" applyFont="1" applyAlignment="1">
      <alignment horizontal="right"/>
    </xf>
    <xf numFmtId="0" fontId="43" fillId="5" borderId="23" xfId="0" applyFont="1" applyFill="1" applyBorder="1"/>
    <xf numFmtId="3" fontId="7" fillId="0" borderId="0" xfId="0" applyNumberFormat="1" applyFont="1" applyAlignment="1">
      <alignment horizontal="left"/>
    </xf>
    <xf numFmtId="169" fontId="7" fillId="0" borderId="0" xfId="0" applyNumberFormat="1" applyFont="1"/>
    <xf numFmtId="3" fontId="5" fillId="0" borderId="0" xfId="0" applyNumberFormat="1" applyFont="1" applyAlignment="1">
      <alignment horizontal="right"/>
    </xf>
    <xf numFmtId="0" fontId="14" fillId="0" borderId="0" xfId="0" applyFont="1" applyAlignment="1">
      <alignment horizontal="left"/>
    </xf>
    <xf numFmtId="3" fontId="14" fillId="0" borderId="0" xfId="0" applyNumberFormat="1" applyFont="1" applyAlignment="1">
      <alignment horizontal="left"/>
    </xf>
    <xf numFmtId="0" fontId="8" fillId="0" borderId="0" xfId="3" applyNumberFormat="1" applyFont="1" applyFill="1" applyAlignment="1">
      <alignment horizontal="right"/>
    </xf>
    <xf numFmtId="10" fontId="8" fillId="0" borderId="0" xfId="3" applyNumberFormat="1" applyFont="1" applyAlignment="1">
      <alignment horizontal="right"/>
    </xf>
    <xf numFmtId="0" fontId="45" fillId="0" borderId="0" xfId="0" applyFont="1"/>
    <xf numFmtId="10" fontId="44" fillId="0" borderId="0" xfId="3" applyNumberFormat="1" applyFont="1" applyAlignment="1">
      <alignment horizontal="right"/>
    </xf>
    <xf numFmtId="10" fontId="44" fillId="0" borderId="0" xfId="0" quotePrefix="1" applyNumberFormat="1" applyFont="1" applyAlignment="1">
      <alignment horizontal="right"/>
    </xf>
    <xf numFmtId="10" fontId="8" fillId="0" borderId="1" xfId="3" applyNumberFormat="1" applyFont="1" applyBorder="1" applyAlignment="1">
      <alignment horizontal="right"/>
    </xf>
    <xf numFmtId="10" fontId="46" fillId="0" borderId="0" xfId="3" applyNumberFormat="1" applyFont="1" applyAlignment="1">
      <alignment horizontal="right"/>
    </xf>
    <xf numFmtId="10" fontId="8" fillId="0" borderId="0" xfId="3" quotePrefix="1" applyNumberFormat="1" applyFont="1" applyAlignment="1">
      <alignment horizontal="right"/>
    </xf>
    <xf numFmtId="43" fontId="8" fillId="0" borderId="0" xfId="0" applyNumberFormat="1" applyFont="1"/>
    <xf numFmtId="169" fontId="8" fillId="0" borderId="0" xfId="0" applyNumberFormat="1" applyFont="1"/>
    <xf numFmtId="44" fontId="7" fillId="0" borderId="0" xfId="0" applyNumberFormat="1" applyFont="1"/>
    <xf numFmtId="44" fontId="8" fillId="0" borderId="0" xfId="0" applyNumberFormat="1" applyFont="1"/>
    <xf numFmtId="170" fontId="8" fillId="0" borderId="0" xfId="0" applyNumberFormat="1" applyFont="1"/>
    <xf numFmtId="170" fontId="7" fillId="0" borderId="0" xfId="0" applyNumberFormat="1" applyFont="1"/>
    <xf numFmtId="0" fontId="5" fillId="0" borderId="7" xfId="0" applyFont="1" applyBorder="1" applyAlignment="1">
      <alignment horizontal="left" indent="1"/>
    </xf>
    <xf numFmtId="166" fontId="5" fillId="5" borderId="7" xfId="1" applyNumberFormat="1" applyFont="1" applyFill="1" applyBorder="1"/>
    <xf numFmtId="4" fontId="5" fillId="5" borderId="1" xfId="0" applyNumberFormat="1" applyFont="1" applyFill="1" applyBorder="1"/>
    <xf numFmtId="2" fontId="5" fillId="5" borderId="0" xfId="0" applyNumberFormat="1" applyFont="1" applyFill="1"/>
    <xf numFmtId="165" fontId="5" fillId="0" borderId="0" xfId="2" applyNumberFormat="1" applyFont="1" applyFill="1" applyBorder="1"/>
    <xf numFmtId="4" fontId="5" fillId="0" borderId="1" xfId="0" applyNumberFormat="1" applyFont="1" applyBorder="1"/>
    <xf numFmtId="10" fontId="5" fillId="0" borderId="14" xfId="3" applyNumberFormat="1" applyFont="1" applyBorder="1" applyAlignment="1">
      <alignment horizontal="center"/>
    </xf>
    <xf numFmtId="10" fontId="5" fillId="0" borderId="15" xfId="3" applyNumberFormat="1" applyFont="1" applyBorder="1" applyAlignment="1">
      <alignment horizontal="center"/>
    </xf>
    <xf numFmtId="10" fontId="5" fillId="0" borderId="16" xfId="3" applyNumberFormat="1" applyFont="1" applyBorder="1" applyAlignment="1">
      <alignment horizontal="center"/>
    </xf>
    <xf numFmtId="10" fontId="5" fillId="0" borderId="19" xfId="3" applyNumberFormat="1" applyFont="1" applyBorder="1" applyAlignment="1">
      <alignment horizontal="center"/>
    </xf>
    <xf numFmtId="10" fontId="5" fillId="0" borderId="20" xfId="3" applyNumberFormat="1" applyFont="1" applyBorder="1" applyAlignment="1">
      <alignment horizontal="center"/>
    </xf>
    <xf numFmtId="0" fontId="15" fillId="0" borderId="0" xfId="0" applyFont="1" applyAlignment="1">
      <alignment horizontal="right" wrapText="1"/>
    </xf>
    <xf numFmtId="3" fontId="5" fillId="0" borderId="1" xfId="0" applyNumberFormat="1" applyFont="1" applyBorder="1" applyAlignment="1">
      <alignment horizontal="right"/>
    </xf>
    <xf numFmtId="3" fontId="29" fillId="0" borderId="1" xfId="0" applyNumberFormat="1" applyFont="1" applyBorder="1"/>
    <xf numFmtId="10" fontId="5" fillId="0" borderId="15" xfId="1" applyNumberFormat="1" applyFont="1" applyBorder="1" applyAlignment="1">
      <alignment horizontal="center"/>
    </xf>
    <xf numFmtId="10" fontId="5" fillId="0" borderId="19" xfId="1" applyNumberFormat="1" applyFont="1" applyBorder="1" applyAlignment="1">
      <alignment horizontal="center"/>
    </xf>
    <xf numFmtId="3" fontId="5" fillId="0" borderId="0" xfId="4" applyNumberFormat="1" applyFont="1"/>
    <xf numFmtId="0" fontId="30" fillId="0" borderId="0" xfId="0" applyFont="1" applyAlignment="1">
      <alignment wrapText="1"/>
    </xf>
    <xf numFmtId="0" fontId="30" fillId="0" borderId="0" xfId="0" applyFont="1"/>
    <xf numFmtId="10" fontId="29" fillId="0" borderId="0" xfId="3" applyNumberFormat="1" applyFont="1" applyBorder="1"/>
    <xf numFmtId="10" fontId="5" fillId="0" borderId="17" xfId="3" applyNumberFormat="1" applyFont="1" applyBorder="1" applyAlignment="1">
      <alignment horizontal="center"/>
    </xf>
    <xf numFmtId="0" fontId="51" fillId="0" borderId="0" xfId="0" applyFont="1" applyAlignment="1">
      <alignment horizontal="left"/>
    </xf>
    <xf numFmtId="44" fontId="5" fillId="0" borderId="0" xfId="2" applyFont="1" applyBorder="1"/>
    <xf numFmtId="3" fontId="4" fillId="0" borderId="0" xfId="0" applyNumberFormat="1" applyFont="1" applyAlignment="1">
      <alignment horizontal="right"/>
    </xf>
    <xf numFmtId="10" fontId="9" fillId="0" borderId="0" xfId="3" applyNumberFormat="1" applyFont="1" applyAlignment="1">
      <alignment horizontal="right"/>
    </xf>
    <xf numFmtId="10" fontId="9" fillId="5" borderId="24" xfId="3" applyNumberFormat="1" applyFont="1" applyFill="1" applyBorder="1" applyAlignment="1">
      <alignment horizontal="right"/>
    </xf>
    <xf numFmtId="10" fontId="9" fillId="5" borderId="7" xfId="3" applyNumberFormat="1" applyFont="1" applyFill="1" applyBorder="1" applyAlignment="1">
      <alignment horizontal="right"/>
    </xf>
    <xf numFmtId="0" fontId="29" fillId="5" borderId="7" xfId="0" applyFont="1" applyFill="1" applyBorder="1" applyAlignment="1">
      <alignment horizontal="right"/>
    </xf>
    <xf numFmtId="0" fontId="39" fillId="5" borderId="0" xfId="0" applyFont="1" applyFill="1"/>
    <xf numFmtId="3" fontId="4" fillId="5" borderId="0" xfId="4" applyNumberFormat="1" applyFont="1" applyFill="1" applyAlignment="1">
      <alignment horizontal="right"/>
    </xf>
    <xf numFmtId="3" fontId="9" fillId="5" borderId="0" xfId="4" applyNumberFormat="1" applyFont="1" applyFill="1" applyAlignment="1">
      <alignment horizontal="right"/>
    </xf>
    <xf numFmtId="0" fontId="23" fillId="0" borderId="23" xfId="0" applyFont="1" applyBorder="1"/>
    <xf numFmtId="0" fontId="29" fillId="0" borderId="23" xfId="0" applyFont="1" applyBorder="1" applyAlignment="1">
      <alignment horizontal="right"/>
    </xf>
    <xf numFmtId="0" fontId="29" fillId="5" borderId="7" xfId="0" applyFont="1" applyFill="1" applyBorder="1" applyAlignment="1">
      <alignment horizontal="right" wrapText="1"/>
    </xf>
    <xf numFmtId="0" fontId="43" fillId="5" borderId="7" xfId="0" applyFont="1" applyFill="1" applyBorder="1"/>
    <xf numFmtId="0" fontId="43" fillId="5" borderId="24" xfId="0" applyFont="1" applyFill="1" applyBorder="1"/>
    <xf numFmtId="0" fontId="29" fillId="5" borderId="24" xfId="0" applyFont="1" applyFill="1" applyBorder="1" applyAlignment="1">
      <alignment horizontal="right"/>
    </xf>
    <xf numFmtId="0" fontId="43" fillId="5" borderId="0" xfId="0" applyFont="1" applyFill="1" applyAlignment="1">
      <alignment horizontal="left" indent="1"/>
    </xf>
    <xf numFmtId="0" fontId="43" fillId="5" borderId="24" xfId="0" applyFont="1" applyFill="1" applyBorder="1" applyAlignment="1">
      <alignment horizontal="left" indent="1"/>
    </xf>
    <xf numFmtId="0" fontId="31" fillId="5" borderId="24" xfId="0" applyFont="1" applyFill="1" applyBorder="1" applyAlignment="1">
      <alignment horizontal="right"/>
    </xf>
    <xf numFmtId="0" fontId="32" fillId="5" borderId="24" xfId="0" applyFont="1" applyFill="1" applyBorder="1" applyAlignment="1">
      <alignment horizontal="right"/>
    </xf>
    <xf numFmtId="9" fontId="44" fillId="5" borderId="24" xfId="3" applyFont="1" applyFill="1" applyBorder="1" applyAlignment="1">
      <alignment horizontal="right"/>
    </xf>
    <xf numFmtId="0" fontId="24" fillId="5" borderId="24" xfId="4" applyFont="1" applyFill="1" applyBorder="1" applyAlignment="1">
      <alignment horizontal="left"/>
    </xf>
    <xf numFmtId="0" fontId="33" fillId="5" borderId="0" xfId="0" applyFont="1" applyFill="1" applyAlignment="1">
      <alignment horizontal="right"/>
    </xf>
    <xf numFmtId="10" fontId="44" fillId="0" borderId="23" xfId="3" applyNumberFormat="1" applyFont="1" applyFill="1" applyBorder="1" applyAlignment="1">
      <alignment horizontal="right"/>
    </xf>
    <xf numFmtId="169" fontId="25" fillId="5" borderId="24" xfId="0" applyNumberFormat="1" applyFont="1" applyFill="1" applyBorder="1" applyAlignment="1">
      <alignment horizontal="right"/>
    </xf>
    <xf numFmtId="10" fontId="5" fillId="5" borderId="0" xfId="0" applyNumberFormat="1" applyFont="1" applyFill="1" applyAlignment="1">
      <alignment horizontal="right"/>
    </xf>
    <xf numFmtId="10" fontId="9" fillId="5" borderId="0" xfId="3" applyNumberFormat="1" applyFont="1" applyFill="1" applyAlignment="1">
      <alignment horizontal="right"/>
    </xf>
    <xf numFmtId="3" fontId="52" fillId="5" borderId="24" xfId="0" quotePrefix="1" applyNumberFormat="1" applyFont="1" applyFill="1" applyBorder="1" applyAlignment="1">
      <alignment horizontal="right"/>
    </xf>
    <xf numFmtId="10" fontId="52" fillId="5" borderId="23" xfId="3" applyNumberFormat="1" applyFont="1" applyFill="1" applyBorder="1" applyAlignment="1">
      <alignment horizontal="right"/>
    </xf>
    <xf numFmtId="10" fontId="52" fillId="5" borderId="0" xfId="3" quotePrefix="1" applyNumberFormat="1" applyFont="1" applyFill="1" applyAlignment="1">
      <alignment horizontal="right"/>
    </xf>
    <xf numFmtId="10" fontId="52" fillId="5" borderId="7" xfId="3" applyNumberFormat="1" applyFont="1" applyFill="1" applyBorder="1" applyAlignment="1">
      <alignment horizontal="right"/>
    </xf>
    <xf numFmtId="10" fontId="52" fillId="5" borderId="24" xfId="3" applyNumberFormat="1" applyFont="1" applyFill="1" applyBorder="1" applyAlignment="1">
      <alignment horizontal="right"/>
    </xf>
    <xf numFmtId="43" fontId="5" fillId="0" borderId="10" xfId="1" applyFont="1" applyBorder="1" applyAlignment="1">
      <alignment horizontal="right"/>
    </xf>
    <xf numFmtId="43" fontId="5" fillId="0" borderId="9" xfId="1" applyFont="1" applyBorder="1" applyAlignment="1">
      <alignment horizontal="right"/>
    </xf>
    <xf numFmtId="43" fontId="4" fillId="0" borderId="26" xfId="1" applyFont="1" applyBorder="1" applyAlignment="1">
      <alignment horizontal="right"/>
    </xf>
    <xf numFmtId="43" fontId="4" fillId="0" borderId="2" xfId="1" applyFont="1" applyFill="1" applyBorder="1" applyAlignment="1">
      <alignment horizontal="right"/>
    </xf>
    <xf numFmtId="43" fontId="5" fillId="0" borderId="6" xfId="1" applyFont="1" applyBorder="1" applyAlignment="1">
      <alignment horizontal="right"/>
    </xf>
    <xf numFmtId="43" fontId="5" fillId="0" borderId="27" xfId="1" applyFont="1" applyBorder="1" applyAlignment="1">
      <alignment horizontal="right"/>
    </xf>
    <xf numFmtId="43" fontId="5" fillId="0" borderId="28" xfId="1" applyFont="1" applyBorder="1" applyAlignment="1">
      <alignment horizontal="right"/>
    </xf>
    <xf numFmtId="43" fontId="5" fillId="0" borderId="5" xfId="1" applyFont="1" applyBorder="1" applyAlignment="1">
      <alignment horizontal="right"/>
    </xf>
    <xf numFmtId="43" fontId="4" fillId="0" borderId="29" xfId="1" applyFont="1" applyFill="1" applyBorder="1"/>
    <xf numFmtId="43" fontId="4" fillId="0" borderId="26" xfId="1" applyFont="1" applyFill="1" applyBorder="1"/>
    <xf numFmtId="1" fontId="5" fillId="0" borderId="1" xfId="0" applyNumberFormat="1" applyFont="1" applyBorder="1"/>
    <xf numFmtId="0" fontId="4" fillId="5" borderId="24" xfId="0" applyFont="1" applyFill="1" applyBorder="1" applyAlignment="1">
      <alignment horizontal="left"/>
    </xf>
    <xf numFmtId="1" fontId="5" fillId="5" borderId="24" xfId="0" applyNumberFormat="1" applyFont="1" applyFill="1" applyBorder="1"/>
    <xf numFmtId="0" fontId="8" fillId="5" borderId="24" xfId="0" applyFont="1" applyFill="1" applyBorder="1"/>
    <xf numFmtId="0" fontId="8" fillId="5" borderId="24" xfId="0" applyFont="1" applyFill="1" applyBorder="1" applyAlignment="1">
      <alignment horizontal="right"/>
    </xf>
    <xf numFmtId="3" fontId="9" fillId="5" borderId="24" xfId="0" applyNumberFormat="1" applyFont="1" applyFill="1" applyBorder="1"/>
    <xf numFmtId="0" fontId="4" fillId="5" borderId="24" xfId="0" applyFont="1" applyFill="1" applyBorder="1" applyAlignment="1">
      <alignment horizontal="left" indent="1"/>
    </xf>
    <xf numFmtId="0" fontId="4" fillId="5" borderId="24" xfId="0" applyFont="1" applyFill="1" applyBorder="1"/>
    <xf numFmtId="0" fontId="4" fillId="5" borderId="24" xfId="0" applyFont="1" applyFill="1" applyBorder="1" applyAlignment="1">
      <alignment horizontal="right"/>
    </xf>
    <xf numFmtId="10" fontId="4" fillId="5" borderId="24" xfId="3" applyNumberFormat="1" applyFont="1" applyFill="1" applyBorder="1"/>
    <xf numFmtId="10" fontId="4" fillId="5" borderId="24" xfId="3" applyNumberFormat="1" applyFont="1" applyFill="1" applyBorder="1" applyAlignment="1">
      <alignment horizontal="right"/>
    </xf>
    <xf numFmtId="0" fontId="4" fillId="5" borderId="24" xfId="0" applyFont="1" applyFill="1" applyBorder="1" applyAlignment="1">
      <alignment horizontal="left" wrapText="1" indent="1"/>
    </xf>
    <xf numFmtId="0" fontId="4" fillId="5" borderId="24" xfId="0" applyFont="1" applyFill="1" applyBorder="1" applyAlignment="1">
      <alignment horizontal="left" wrapText="1"/>
    </xf>
    <xf numFmtId="1" fontId="5" fillId="5" borderId="24" xfId="0" applyNumberFormat="1" applyFont="1" applyFill="1" applyBorder="1" applyAlignment="1">
      <alignment horizontal="right" wrapText="1"/>
    </xf>
    <xf numFmtId="0" fontId="8" fillId="5" borderId="24" xfId="0" applyFont="1" applyFill="1" applyBorder="1" applyAlignment="1">
      <alignment horizontal="right" wrapText="1"/>
    </xf>
    <xf numFmtId="3" fontId="9" fillId="5" borderId="24" xfId="0" applyNumberFormat="1" applyFont="1" applyFill="1" applyBorder="1" applyAlignment="1">
      <alignment horizontal="right" wrapText="1"/>
    </xf>
    <xf numFmtId="1" fontId="4" fillId="5" borderId="24" xfId="0" applyNumberFormat="1" applyFont="1" applyFill="1" applyBorder="1"/>
    <xf numFmtId="0" fontId="9" fillId="5" borderId="24" xfId="0" applyFont="1" applyFill="1" applyBorder="1"/>
    <xf numFmtId="0" fontId="9" fillId="5" borderId="24" xfId="0" applyFont="1" applyFill="1" applyBorder="1" applyAlignment="1">
      <alignment horizontal="right"/>
    </xf>
    <xf numFmtId="3" fontId="53" fillId="0" borderId="0" xfId="0" applyNumberFormat="1" applyFont="1"/>
    <xf numFmtId="7" fontId="53" fillId="0" borderId="0" xfId="0" applyNumberFormat="1" applyFont="1"/>
    <xf numFmtId="3" fontId="44" fillId="0" borderId="0" xfId="0" applyNumberFormat="1" applyFont="1" applyAlignment="1">
      <alignment horizontal="right"/>
    </xf>
    <xf numFmtId="166" fontId="8" fillId="0" borderId="0" xfId="0" applyNumberFormat="1" applyFont="1" applyAlignment="1">
      <alignment horizontal="right" wrapText="1"/>
    </xf>
    <xf numFmtId="3" fontId="44" fillId="0" borderId="1" xfId="0" applyNumberFormat="1" applyFont="1" applyBorder="1" applyAlignment="1">
      <alignment horizontal="right"/>
    </xf>
    <xf numFmtId="3" fontId="8" fillId="0" borderId="0" xfId="4" applyNumberFormat="1" applyFont="1"/>
    <xf numFmtId="3" fontId="9" fillId="5" borderId="24" xfId="4" applyNumberFormat="1" applyFont="1" applyFill="1" applyBorder="1"/>
    <xf numFmtId="3" fontId="8" fillId="0" borderId="1" xfId="0" applyNumberFormat="1" applyFont="1" applyBorder="1" applyAlignment="1">
      <alignment horizontal="right"/>
    </xf>
    <xf numFmtId="10" fontId="9" fillId="5" borderId="24" xfId="3" applyNumberFormat="1" applyFont="1" applyFill="1" applyBorder="1"/>
    <xf numFmtId="10" fontId="8" fillId="0" borderId="1" xfId="3" applyNumberFormat="1" applyFont="1" applyFill="1" applyBorder="1" applyAlignment="1">
      <alignment horizontal="right" wrapText="1"/>
    </xf>
    <xf numFmtId="0" fontId="4" fillId="10" borderId="0" xfId="0" applyFont="1" applyFill="1" applyAlignment="1">
      <alignment horizontal="left" wrapText="1"/>
    </xf>
    <xf numFmtId="0" fontId="11" fillId="10" borderId="0" xfId="0" applyFont="1" applyFill="1" applyAlignment="1">
      <alignment wrapText="1"/>
    </xf>
    <xf numFmtId="0" fontId="4" fillId="10" borderId="0" xfId="0" applyFont="1" applyFill="1" applyAlignment="1">
      <alignment horizontal="right" wrapText="1"/>
    </xf>
    <xf numFmtId="3" fontId="4" fillId="10" borderId="0" xfId="0" applyNumberFormat="1" applyFont="1" applyFill="1" applyAlignment="1">
      <alignment horizontal="right" wrapText="1"/>
    </xf>
    <xf numFmtId="3" fontId="9" fillId="10" borderId="0" xfId="0" applyNumberFormat="1" applyFont="1" applyFill="1" applyAlignment="1">
      <alignment horizontal="right" wrapText="1"/>
    </xf>
    <xf numFmtId="3" fontId="48" fillId="8" borderId="0" xfId="0" applyNumberFormat="1" applyFont="1" applyFill="1" applyAlignment="1">
      <alignment wrapText="1"/>
    </xf>
    <xf numFmtId="0" fontId="41" fillId="11" borderId="0" xfId="0" applyFont="1" applyFill="1" applyAlignment="1">
      <alignment wrapText="1"/>
    </xf>
    <xf numFmtId="3" fontId="41" fillId="11" borderId="0" xfId="0" applyNumberFormat="1" applyFont="1" applyFill="1" applyAlignment="1">
      <alignment wrapText="1"/>
    </xf>
    <xf numFmtId="10" fontId="49" fillId="11" borderId="0" xfId="3" applyNumberFormat="1" applyFont="1" applyFill="1" applyBorder="1" applyAlignment="1">
      <alignment wrapText="1"/>
    </xf>
    <xf numFmtId="0" fontId="50" fillId="8" borderId="0" xfId="0" applyFont="1" applyFill="1" applyAlignment="1">
      <alignment wrapText="1"/>
    </xf>
    <xf numFmtId="3" fontId="50" fillId="8" borderId="0" xfId="0" applyNumberFormat="1" applyFont="1" applyFill="1" applyAlignment="1">
      <alignment wrapText="1"/>
    </xf>
    <xf numFmtId="0" fontId="36" fillId="11" borderId="0" xfId="0" applyFont="1" applyFill="1" applyAlignment="1">
      <alignment wrapText="1"/>
    </xf>
    <xf numFmtId="3" fontId="36" fillId="11" borderId="0" xfId="0" applyNumberFormat="1" applyFont="1" applyFill="1" applyAlignment="1">
      <alignment wrapText="1"/>
    </xf>
    <xf numFmtId="4" fontId="36" fillId="0" borderId="0" xfId="0" applyNumberFormat="1" applyFont="1" applyAlignment="1">
      <alignment wrapText="1"/>
    </xf>
    <xf numFmtId="3" fontId="36" fillId="0" borderId="0" xfId="0" applyNumberFormat="1" applyFont="1" applyAlignment="1">
      <alignment wrapText="1"/>
    </xf>
    <xf numFmtId="3" fontId="40" fillId="0" borderId="0" xfId="0" applyNumberFormat="1" applyFont="1" applyAlignment="1">
      <alignment wrapText="1"/>
    </xf>
    <xf numFmtId="4" fontId="50" fillId="8" borderId="0" xfId="0" applyNumberFormat="1" applyFont="1" applyFill="1" applyAlignment="1">
      <alignment wrapText="1"/>
    </xf>
    <xf numFmtId="0" fontId="41" fillId="11" borderId="0" xfId="0" applyFont="1" applyFill="1" applyAlignment="1">
      <alignment horizontal="right" wrapText="1"/>
    </xf>
    <xf numFmtId="4" fontId="41" fillId="11" borderId="0" xfId="0" applyNumberFormat="1" applyFont="1" applyFill="1" applyAlignment="1">
      <alignment wrapText="1"/>
    </xf>
    <xf numFmtId="0" fontId="37" fillId="0" borderId="0" xfId="0" applyFont="1" applyAlignment="1">
      <alignment wrapText="1"/>
    </xf>
    <xf numFmtId="3" fontId="47" fillId="0" borderId="0" xfId="0" applyNumberFormat="1" applyFont="1" applyAlignment="1">
      <alignment wrapText="1"/>
    </xf>
    <xf numFmtId="0" fontId="41" fillId="11" borderId="0" xfId="0" applyFont="1" applyFill="1" applyAlignment="1">
      <alignment horizontal="left" wrapText="1" indent="1"/>
    </xf>
    <xf numFmtId="0" fontId="17" fillId="4" borderId="7" xfId="0" applyFont="1" applyFill="1" applyBorder="1" applyAlignment="1">
      <alignment horizontal="left" wrapText="1"/>
    </xf>
    <xf numFmtId="0" fontId="17" fillId="4" borderId="7" xfId="0" applyFont="1" applyFill="1" applyBorder="1" applyAlignment="1">
      <alignment horizontal="right" wrapText="1"/>
    </xf>
    <xf numFmtId="0" fontId="15" fillId="4" borderId="7" xfId="0" applyFont="1" applyFill="1" applyBorder="1" applyAlignment="1">
      <alignment horizontal="right" wrapText="1"/>
    </xf>
    <xf numFmtId="0" fontId="36" fillId="0" borderId="0" xfId="0" applyFont="1" applyAlignment="1">
      <alignment horizontal="left" wrapText="1"/>
    </xf>
    <xf numFmtId="0" fontId="50" fillId="8" borderId="0" xfId="0" applyFont="1" applyFill="1" applyAlignment="1">
      <alignment horizontal="left" wrapText="1"/>
    </xf>
    <xf numFmtId="0" fontId="36" fillId="11" borderId="0" xfId="0" applyFont="1" applyFill="1" applyAlignment="1">
      <alignment horizontal="left" wrapText="1"/>
    </xf>
    <xf numFmtId="0" fontId="36" fillId="0" borderId="0" xfId="0" applyFont="1" applyAlignment="1">
      <alignment horizontal="left"/>
    </xf>
    <xf numFmtId="0" fontId="41" fillId="11" borderId="0" xfId="0" applyFont="1" applyFill="1" applyAlignment="1">
      <alignment horizontal="left" wrapText="1"/>
    </xf>
    <xf numFmtId="0" fontId="40" fillId="0" borderId="0" xfId="0" applyFont="1" applyAlignment="1">
      <alignment wrapText="1"/>
    </xf>
    <xf numFmtId="3" fontId="25" fillId="0" borderId="1" xfId="4" applyNumberFormat="1" applyFont="1" applyBorder="1" applyAlignment="1">
      <alignment horizontal="right"/>
    </xf>
    <xf numFmtId="3" fontId="25" fillId="0" borderId="1" xfId="4" applyNumberFormat="1" applyFont="1" applyBorder="1"/>
    <xf numFmtId="3" fontId="24" fillId="0" borderId="0" xfId="4" applyNumberFormat="1" applyFont="1"/>
    <xf numFmtId="3" fontId="24" fillId="0" borderId="1" xfId="4" applyNumberFormat="1" applyFont="1" applyBorder="1"/>
    <xf numFmtId="0" fontId="4" fillId="5" borderId="24" xfId="0" applyFont="1" applyFill="1" applyBorder="1" applyAlignment="1">
      <alignment horizontal="right" wrapText="1"/>
    </xf>
    <xf numFmtId="0" fontId="29" fillId="0" borderId="0" xfId="0" applyFont="1" applyAlignment="1">
      <alignment horizontal="right" wrapText="1"/>
    </xf>
    <xf numFmtId="10" fontId="8" fillId="0" borderId="0" xfId="3" applyNumberFormat="1" applyFont="1" applyFill="1" applyAlignment="1">
      <alignment horizontal="right"/>
    </xf>
    <xf numFmtId="0" fontId="24" fillId="0" borderId="0" xfId="0" applyFont="1" applyAlignment="1">
      <alignment horizontal="right" wrapText="1"/>
    </xf>
    <xf numFmtId="10" fontId="9" fillId="0" borderId="0" xfId="3" applyNumberFormat="1" applyFont="1" applyFill="1" applyAlignment="1">
      <alignment horizontal="right"/>
    </xf>
    <xf numFmtId="0" fontId="28" fillId="0" borderId="0" xfId="4" applyFont="1" applyAlignment="1">
      <alignment horizontal="left"/>
    </xf>
    <xf numFmtId="0" fontId="25" fillId="0" borderId="0" xfId="4" applyFont="1" applyAlignment="1">
      <alignment horizontal="right"/>
    </xf>
    <xf numFmtId="3" fontId="4" fillId="0" borderId="0" xfId="4" applyNumberFormat="1" applyFont="1" applyAlignment="1">
      <alignment horizontal="right"/>
    </xf>
    <xf numFmtId="168" fontId="4" fillId="0" borderId="0" xfId="0" applyNumberFormat="1" applyFont="1" applyAlignment="1">
      <alignment horizontal="right"/>
    </xf>
    <xf numFmtId="3" fontId="9" fillId="0" borderId="0" xfId="4" applyNumberFormat="1" applyFont="1" applyAlignment="1">
      <alignment horizontal="right"/>
    </xf>
    <xf numFmtId="0" fontId="24" fillId="5" borderId="7" xfId="0" applyFont="1" applyFill="1" applyBorder="1"/>
    <xf numFmtId="168" fontId="4" fillId="5" borderId="7" xfId="0" applyNumberFormat="1" applyFont="1" applyFill="1" applyBorder="1" applyAlignment="1">
      <alignment horizontal="right"/>
    </xf>
    <xf numFmtId="2" fontId="53" fillId="0" borderId="0" xfId="0" applyNumberFormat="1" applyFont="1" applyAlignment="1">
      <alignment horizontal="right"/>
    </xf>
    <xf numFmtId="10" fontId="53" fillId="0" borderId="0" xfId="3" applyNumberFormat="1" applyFont="1" applyAlignment="1">
      <alignment horizontal="right"/>
    </xf>
    <xf numFmtId="3" fontId="9" fillId="0" borderId="0" xfId="0" applyNumberFormat="1" applyFont="1" applyAlignment="1">
      <alignment horizontal="right" wrapText="1"/>
    </xf>
    <xf numFmtId="3" fontId="48" fillId="0" borderId="0" xfId="0" applyNumberFormat="1" applyFont="1" applyAlignment="1">
      <alignment wrapText="1"/>
    </xf>
    <xf numFmtId="0" fontId="41" fillId="0" borderId="0" xfId="0" applyFont="1" applyAlignment="1">
      <alignment wrapText="1"/>
    </xf>
    <xf numFmtId="3" fontId="41" fillId="0" borderId="0" xfId="0" applyNumberFormat="1" applyFont="1" applyAlignment="1">
      <alignment wrapText="1"/>
    </xf>
    <xf numFmtId="10" fontId="41" fillId="0" borderId="0" xfId="3" applyNumberFormat="1" applyFont="1" applyFill="1" applyBorder="1" applyAlignment="1">
      <alignment wrapText="1"/>
    </xf>
    <xf numFmtId="10" fontId="49" fillId="0" borderId="0" xfId="3" applyNumberFormat="1" applyFont="1" applyFill="1" applyBorder="1" applyAlignment="1">
      <alignment wrapText="1"/>
    </xf>
    <xf numFmtId="0" fontId="50" fillId="0" borderId="0" xfId="0" applyFont="1" applyAlignment="1">
      <alignment wrapText="1"/>
    </xf>
    <xf numFmtId="0" fontId="50" fillId="0" borderId="0" xfId="0" applyFont="1" applyAlignment="1">
      <alignment horizontal="left" wrapText="1"/>
    </xf>
    <xf numFmtId="3" fontId="50" fillId="0" borderId="0" xfId="0" applyNumberFormat="1" applyFont="1" applyAlignment="1">
      <alignment wrapText="1"/>
    </xf>
    <xf numFmtId="4" fontId="50" fillId="0" borderId="0" xfId="0" applyNumberFormat="1" applyFont="1" applyAlignment="1">
      <alignment wrapText="1"/>
    </xf>
    <xf numFmtId="0" fontId="41" fillId="0" borderId="0" xfId="0" applyFont="1" applyAlignment="1">
      <alignment horizontal="left" wrapText="1"/>
    </xf>
    <xf numFmtId="4" fontId="41" fillId="0" borderId="0" xfId="0" applyNumberFormat="1" applyFont="1" applyAlignment="1">
      <alignment wrapText="1"/>
    </xf>
    <xf numFmtId="0" fontId="41" fillId="0" borderId="0" xfId="0" applyFont="1" applyAlignment="1">
      <alignment horizontal="left" wrapText="1" indent="1"/>
    </xf>
    <xf numFmtId="0" fontId="34" fillId="12" borderId="0" xfId="5" applyFill="1" applyAlignment="1">
      <alignment horizontal="left"/>
    </xf>
    <xf numFmtId="0" fontId="34" fillId="0" borderId="0" xfId="5" applyAlignment="1">
      <alignment horizontal="left"/>
    </xf>
    <xf numFmtId="171" fontId="34" fillId="12" borderId="0" xfId="5" applyNumberFormat="1" applyFill="1" applyAlignment="1">
      <alignment horizontal="right"/>
    </xf>
    <xf numFmtId="171" fontId="34" fillId="0" borderId="0" xfId="5" applyNumberFormat="1" applyAlignment="1">
      <alignment horizontal="right"/>
    </xf>
    <xf numFmtId="0" fontId="54" fillId="12" borderId="0" xfId="5" applyFont="1" applyFill="1" applyAlignment="1">
      <alignment horizontal="left"/>
    </xf>
    <xf numFmtId="0" fontId="43" fillId="0" borderId="7" xfId="0" applyFont="1" applyBorder="1"/>
    <xf numFmtId="0" fontId="29" fillId="0" borderId="7" xfId="0" applyFont="1" applyBorder="1" applyAlignment="1">
      <alignment horizontal="right" wrapText="1"/>
    </xf>
    <xf numFmtId="0" fontId="50" fillId="8" borderId="0" xfId="0" applyFont="1" applyFill="1"/>
    <xf numFmtId="0" fontId="55" fillId="0" borderId="0" xfId="0" applyFont="1"/>
    <xf numFmtId="0" fontId="55" fillId="0" borderId="0" xfId="0" applyFont="1" applyAlignment="1">
      <alignment horizontal="center"/>
    </xf>
    <xf numFmtId="0" fontId="56" fillId="0" borderId="32" xfId="0" applyFont="1" applyBorder="1" applyAlignment="1">
      <alignment horizontal="center" vertical="center"/>
    </xf>
    <xf numFmtId="0" fontId="56" fillId="0" borderId="1" xfId="0" applyFont="1" applyBorder="1" applyAlignment="1">
      <alignment horizontal="center" vertical="center"/>
    </xf>
    <xf numFmtId="0" fontId="56" fillId="0" borderId="34" xfId="0" applyFont="1" applyBorder="1" applyAlignment="1">
      <alignment horizontal="center" vertical="center"/>
    </xf>
    <xf numFmtId="0" fontId="56" fillId="0" borderId="33" xfId="0" applyFont="1" applyBorder="1" applyAlignment="1">
      <alignment horizontal="left" vertical="center"/>
    </xf>
    <xf numFmtId="3" fontId="56" fillId="0" borderId="30" xfId="0" applyNumberFormat="1" applyFont="1" applyBorder="1" applyAlignment="1">
      <alignment horizontal="distributed" vertical="center"/>
    </xf>
    <xf numFmtId="3" fontId="56" fillId="0" borderId="1" xfId="0" applyNumberFormat="1" applyFont="1" applyBorder="1" applyAlignment="1">
      <alignment horizontal="distributed" vertical="center"/>
    </xf>
    <xf numFmtId="3" fontId="56" fillId="0" borderId="31" xfId="0" applyNumberFormat="1" applyFont="1" applyBorder="1" applyAlignment="1">
      <alignment horizontal="distributed" vertical="center"/>
    </xf>
    <xf numFmtId="0" fontId="56" fillId="0" borderId="33" xfId="0" applyFont="1" applyBorder="1" applyAlignment="1">
      <alignment horizontal="left" vertical="center" indent="1"/>
    </xf>
    <xf numFmtId="0" fontId="56" fillId="0" borderId="33" xfId="0" applyFont="1" applyBorder="1" applyAlignment="1">
      <alignment horizontal="left" vertical="center" indent="3"/>
    </xf>
    <xf numFmtId="3" fontId="56" fillId="0" borderId="24" xfId="0" applyNumberFormat="1" applyFont="1" applyBorder="1" applyAlignment="1">
      <alignment horizontal="distributed" vertical="center"/>
    </xf>
    <xf numFmtId="0" fontId="56" fillId="0" borderId="31" xfId="0" applyFont="1" applyBorder="1" applyAlignment="1">
      <alignment horizontal="distributed" vertical="center"/>
    </xf>
    <xf numFmtId="0" fontId="56" fillId="0" borderId="24" xfId="0" applyFont="1" applyBorder="1" applyAlignment="1">
      <alignment horizontal="distributed" vertical="center"/>
    </xf>
    <xf numFmtId="0" fontId="56" fillId="0" borderId="30" xfId="0" applyFont="1" applyBorder="1" applyAlignment="1">
      <alignment horizontal="distributed" vertical="center"/>
    </xf>
    <xf numFmtId="0" fontId="56" fillId="0" borderId="30" xfId="0" applyFont="1" applyBorder="1"/>
    <xf numFmtId="0" fontId="56" fillId="0" borderId="24" xfId="0" applyFont="1" applyBorder="1"/>
    <xf numFmtId="0" fontId="56" fillId="0" borderId="31" xfId="0" applyFont="1" applyBorder="1"/>
    <xf numFmtId="0" fontId="36" fillId="0" borderId="0" xfId="0" applyFont="1"/>
    <xf numFmtId="172" fontId="0" fillId="0" borderId="0" xfId="3" applyNumberFormat="1" applyFont="1"/>
    <xf numFmtId="2" fontId="0" fillId="0" borderId="0" xfId="0" applyNumberFormat="1"/>
    <xf numFmtId="3" fontId="5" fillId="0" borderId="1" xfId="0" applyNumberFormat="1" applyFont="1" applyBorder="1" applyAlignment="1">
      <alignment horizontal="right" wrapText="1"/>
    </xf>
    <xf numFmtId="3" fontId="4" fillId="5" borderId="24" xfId="0" applyNumberFormat="1" applyFont="1" applyFill="1" applyBorder="1" applyAlignment="1">
      <alignment horizontal="right" wrapText="1"/>
    </xf>
    <xf numFmtId="9" fontId="49" fillId="11" borderId="0" xfId="3" applyFont="1" applyFill="1" applyBorder="1" applyAlignment="1">
      <alignment wrapText="1"/>
    </xf>
    <xf numFmtId="3" fontId="49" fillId="11" borderId="0" xfId="0" applyNumberFormat="1" applyFont="1" applyFill="1" applyAlignment="1">
      <alignment wrapText="1"/>
    </xf>
    <xf numFmtId="3" fontId="40" fillId="11" borderId="0" xfId="0" applyNumberFormat="1" applyFont="1" applyFill="1" applyAlignment="1">
      <alignment wrapText="1"/>
    </xf>
    <xf numFmtId="3" fontId="61" fillId="8" borderId="0" xfId="0" applyNumberFormat="1" applyFont="1" applyFill="1" applyAlignment="1">
      <alignment wrapText="1"/>
    </xf>
    <xf numFmtId="10" fontId="62" fillId="11" borderId="0" xfId="3" applyNumberFormat="1" applyFont="1" applyFill="1" applyBorder="1" applyAlignment="1">
      <alignment wrapText="1"/>
    </xf>
    <xf numFmtId="0" fontId="47" fillId="0" borderId="0" xfId="0" applyFont="1" applyAlignment="1">
      <alignment wrapText="1"/>
    </xf>
    <xf numFmtId="3" fontId="29" fillId="0" borderId="0" xfId="0" applyNumberFormat="1" applyFont="1" applyAlignment="1">
      <alignment horizontal="right"/>
    </xf>
    <xf numFmtId="9" fontId="1" fillId="5" borderId="24" xfId="3" applyFont="1" applyFill="1" applyBorder="1" applyAlignment="1">
      <alignment horizontal="right"/>
    </xf>
    <xf numFmtId="3" fontId="1" fillId="0" borderId="0" xfId="0" quotePrefix="1" applyNumberFormat="1" applyFont="1" applyAlignment="1">
      <alignment horizontal="right"/>
    </xf>
    <xf numFmtId="1" fontId="29" fillId="0" borderId="0" xfId="0" applyNumberFormat="1" applyFont="1" applyAlignment="1">
      <alignment horizontal="right"/>
    </xf>
    <xf numFmtId="3" fontId="1" fillId="0" borderId="0" xfId="0" applyNumberFormat="1" applyFont="1" applyAlignment="1">
      <alignment horizontal="right"/>
    </xf>
    <xf numFmtId="168" fontId="33" fillId="5" borderId="7" xfId="1" applyNumberFormat="1" applyFont="1" applyFill="1" applyBorder="1" applyAlignment="1">
      <alignment horizontal="right"/>
    </xf>
    <xf numFmtId="3" fontId="29" fillId="5" borderId="24" xfId="0" applyNumberFormat="1" applyFont="1" applyFill="1" applyBorder="1" applyAlignment="1">
      <alignment horizontal="right"/>
    </xf>
    <xf numFmtId="3" fontId="33" fillId="5" borderId="23" xfId="0" applyNumberFormat="1" applyFont="1" applyFill="1" applyBorder="1" applyAlignment="1">
      <alignment horizontal="right"/>
    </xf>
    <xf numFmtId="4" fontId="29" fillId="5" borderId="25" xfId="0" applyNumberFormat="1" applyFont="1" applyFill="1" applyBorder="1" applyAlignment="1">
      <alignment horizontal="right"/>
    </xf>
    <xf numFmtId="3" fontId="5" fillId="0" borderId="23" xfId="0" applyNumberFormat="1" applyFont="1" applyBorder="1" applyAlignment="1">
      <alignment horizontal="right"/>
    </xf>
    <xf numFmtId="4" fontId="1" fillId="0" borderId="0" xfId="0" applyNumberFormat="1" applyFont="1" applyAlignment="1">
      <alignment horizontal="right"/>
    </xf>
    <xf numFmtId="3" fontId="44" fillId="0" borderId="7" xfId="0" applyNumberFormat="1" applyFont="1" applyBorder="1" applyAlignment="1">
      <alignment horizontal="right"/>
    </xf>
    <xf numFmtId="3" fontId="52" fillId="5" borderId="7" xfId="0" applyNumberFormat="1" applyFont="1" applyFill="1" applyBorder="1" applyAlignment="1">
      <alignment horizontal="right"/>
    </xf>
    <xf numFmtId="3" fontId="44" fillId="5" borderId="24" xfId="0" applyNumberFormat="1" applyFont="1" applyFill="1" applyBorder="1" applyAlignment="1">
      <alignment horizontal="right"/>
    </xf>
    <xf numFmtId="3" fontId="44" fillId="5" borderId="24" xfId="0" quotePrefix="1" applyNumberFormat="1" applyFont="1" applyFill="1" applyBorder="1" applyAlignment="1">
      <alignment horizontal="right"/>
    </xf>
    <xf numFmtId="3" fontId="52" fillId="5" borderId="23" xfId="0" applyNumberFormat="1" applyFont="1" applyFill="1" applyBorder="1" applyAlignment="1">
      <alignment horizontal="right"/>
    </xf>
    <xf numFmtId="3" fontId="52" fillId="5" borderId="23" xfId="0" quotePrefix="1" applyNumberFormat="1" applyFont="1" applyFill="1" applyBorder="1" applyAlignment="1">
      <alignment horizontal="right"/>
    </xf>
    <xf numFmtId="4" fontId="44" fillId="5" borderId="23" xfId="0" applyNumberFormat="1" applyFont="1" applyFill="1" applyBorder="1" applyAlignment="1">
      <alignment horizontal="right"/>
    </xf>
    <xf numFmtId="3" fontId="44" fillId="0" borderId="23" xfId="0" applyNumberFormat="1" applyFont="1" applyBorder="1" applyAlignment="1">
      <alignment horizontal="right"/>
    </xf>
    <xf numFmtId="4" fontId="44" fillId="0" borderId="0" xfId="0" quotePrefix="1" applyNumberFormat="1" applyFont="1" applyAlignment="1">
      <alignment horizontal="right"/>
    </xf>
    <xf numFmtId="3" fontId="46" fillId="0" borderId="0" xfId="0" applyNumberFormat="1" applyFont="1" applyAlignment="1">
      <alignment horizontal="right"/>
    </xf>
    <xf numFmtId="3" fontId="5" fillId="0" borderId="0" xfId="4" applyNumberFormat="1" applyFont="1" applyAlignment="1">
      <alignment horizontal="right"/>
    </xf>
    <xf numFmtId="3" fontId="5" fillId="0" borderId="1" xfId="4" applyNumberFormat="1" applyFont="1" applyBorder="1" applyAlignment="1">
      <alignment horizontal="right"/>
    </xf>
    <xf numFmtId="3" fontId="5" fillId="0" borderId="0" xfId="0" quotePrefix="1" applyNumberFormat="1" applyFont="1" applyAlignment="1">
      <alignment horizontal="right"/>
    </xf>
    <xf numFmtId="3" fontId="5" fillId="0" borderId="1" xfId="0" quotePrefix="1" applyNumberFormat="1" applyFont="1" applyBorder="1" applyAlignment="1">
      <alignment horizontal="right"/>
    </xf>
    <xf numFmtId="3" fontId="4" fillId="5" borderId="7" xfId="4" applyNumberFormat="1" applyFont="1" applyFill="1" applyBorder="1" applyAlignment="1">
      <alignment horizontal="right"/>
    </xf>
    <xf numFmtId="3" fontId="9" fillId="5" borderId="24" xfId="4" applyNumberFormat="1" applyFont="1" applyFill="1" applyBorder="1" applyAlignment="1">
      <alignment horizontal="right"/>
    </xf>
    <xf numFmtId="10" fontId="44" fillId="0" borderId="0" xfId="3" applyNumberFormat="1" applyFont="1" applyFill="1" applyAlignment="1">
      <alignment horizontal="right"/>
    </xf>
    <xf numFmtId="4" fontId="52" fillId="5" borderId="23" xfId="0" applyNumberFormat="1" applyFont="1" applyFill="1" applyBorder="1" applyAlignment="1">
      <alignment horizontal="right"/>
    </xf>
    <xf numFmtId="10" fontId="58" fillId="5" borderId="7" xfId="3" applyNumberFormat="1" applyFont="1" applyFill="1" applyBorder="1" applyAlignment="1">
      <alignment horizontal="right"/>
    </xf>
    <xf numFmtId="10" fontId="1" fillId="0" borderId="0" xfId="3" applyNumberFormat="1" applyFont="1" applyAlignment="1">
      <alignment horizontal="right"/>
    </xf>
    <xf numFmtId="10" fontId="58" fillId="5" borderId="24" xfId="3" applyNumberFormat="1" applyFont="1" applyFill="1" applyBorder="1" applyAlignment="1">
      <alignment horizontal="right"/>
    </xf>
    <xf numFmtId="10" fontId="58" fillId="5" borderId="0" xfId="3" quotePrefix="1" applyNumberFormat="1" applyFont="1" applyFill="1" applyAlignment="1">
      <alignment horizontal="right"/>
    </xf>
    <xf numFmtId="3" fontId="58" fillId="5" borderId="24" xfId="0" quotePrefix="1" applyNumberFormat="1" applyFont="1" applyFill="1" applyBorder="1" applyAlignment="1">
      <alignment horizontal="right"/>
    </xf>
    <xf numFmtId="10" fontId="58" fillId="5" borderId="23" xfId="3" applyNumberFormat="1" applyFont="1" applyFill="1" applyBorder="1" applyAlignment="1">
      <alignment horizontal="right"/>
    </xf>
    <xf numFmtId="0" fontId="4" fillId="5" borderId="25" xfId="0" applyFont="1" applyFill="1" applyBorder="1" applyAlignment="1">
      <alignment horizontal="right" wrapText="1"/>
    </xf>
    <xf numFmtId="10" fontId="1" fillId="0" borderId="23" xfId="3" applyNumberFormat="1" applyFont="1" applyFill="1" applyBorder="1" applyAlignment="1">
      <alignment horizontal="right"/>
    </xf>
    <xf numFmtId="10" fontId="5" fillId="0" borderId="0" xfId="3" applyNumberFormat="1" applyFont="1" applyAlignment="1">
      <alignment horizontal="right"/>
    </xf>
    <xf numFmtId="10" fontId="1" fillId="0" borderId="0" xfId="0" quotePrefix="1" applyNumberFormat="1" applyFont="1" applyAlignment="1">
      <alignment horizontal="right"/>
    </xf>
    <xf numFmtId="10" fontId="5" fillId="0" borderId="1" xfId="3" applyNumberFormat="1" applyFont="1" applyBorder="1" applyAlignment="1">
      <alignment horizontal="right"/>
    </xf>
    <xf numFmtId="10" fontId="4" fillId="5" borderId="0" xfId="3" applyNumberFormat="1" applyFont="1" applyFill="1" applyAlignment="1">
      <alignment horizontal="right"/>
    </xf>
    <xf numFmtId="10" fontId="6" fillId="0" borderId="0" xfId="3" applyNumberFormat="1" applyFont="1" applyAlignment="1">
      <alignment horizontal="right"/>
    </xf>
    <xf numFmtId="10" fontId="1" fillId="0" borderId="1" xfId="0" quotePrefix="1" applyNumberFormat="1" applyFont="1" applyBorder="1" applyAlignment="1">
      <alignment horizontal="right"/>
    </xf>
    <xf numFmtId="10" fontId="5" fillId="0" borderId="0" xfId="3" applyNumberFormat="1" applyFont="1" applyFill="1" applyAlignment="1">
      <alignment horizontal="right"/>
    </xf>
    <xf numFmtId="10" fontId="5" fillId="0" borderId="0" xfId="3" applyNumberFormat="1" applyFont="1" applyBorder="1" applyAlignment="1">
      <alignment horizontal="right"/>
    </xf>
    <xf numFmtId="10" fontId="5" fillId="0" borderId="0" xfId="3" quotePrefix="1" applyNumberFormat="1" applyFont="1" applyAlignment="1">
      <alignment horizontal="right"/>
    </xf>
    <xf numFmtId="10" fontId="4" fillId="5" borderId="7" xfId="3" applyNumberFormat="1" applyFont="1" applyFill="1" applyBorder="1" applyAlignment="1">
      <alignment horizontal="right"/>
    </xf>
    <xf numFmtId="10" fontId="1" fillId="0" borderId="7" xfId="0" quotePrefix="1" applyNumberFormat="1" applyFont="1" applyBorder="1" applyAlignment="1">
      <alignment horizontal="right"/>
    </xf>
    <xf numFmtId="10" fontId="4" fillId="0" borderId="0" xfId="3" applyNumberFormat="1" applyFont="1" applyAlignment="1">
      <alignment horizontal="right"/>
    </xf>
    <xf numFmtId="10" fontId="4" fillId="0" borderId="0" xfId="3" applyNumberFormat="1" applyFont="1" applyFill="1" applyAlignment="1">
      <alignment horizontal="right"/>
    </xf>
    <xf numFmtId="3" fontId="9" fillId="0" borderId="0" xfId="0" quotePrefix="1" applyNumberFormat="1" applyFont="1" applyAlignment="1">
      <alignment horizontal="right"/>
    </xf>
    <xf numFmtId="3" fontId="8" fillId="0" borderId="24" xfId="0" applyNumberFormat="1" applyFont="1" applyBorder="1"/>
    <xf numFmtId="3" fontId="9" fillId="5" borderId="24" xfId="3" applyNumberFormat="1" applyFont="1" applyFill="1" applyBorder="1"/>
    <xf numFmtId="3" fontId="8" fillId="5" borderId="24" xfId="0" applyNumberFormat="1" applyFont="1" applyFill="1" applyBorder="1" applyAlignment="1">
      <alignment horizontal="right" wrapText="1"/>
    </xf>
    <xf numFmtId="3" fontId="1" fillId="0" borderId="1" xfId="0" applyNumberFormat="1" applyFont="1" applyBorder="1" applyAlignment="1">
      <alignment horizontal="right"/>
    </xf>
    <xf numFmtId="3" fontId="4" fillId="5" borderId="24" xfId="0" applyNumberFormat="1" applyFont="1" applyFill="1" applyBorder="1"/>
    <xf numFmtId="3" fontId="4" fillId="5" borderId="24" xfId="4" applyNumberFormat="1" applyFont="1" applyFill="1" applyBorder="1"/>
    <xf numFmtId="44" fontId="8" fillId="0" borderId="0" xfId="2" applyFont="1" applyFill="1" applyBorder="1"/>
    <xf numFmtId="44" fontId="8" fillId="0" borderId="0" xfId="2" applyFont="1" applyFill="1"/>
    <xf numFmtId="10" fontId="8" fillId="0" borderId="0" xfId="3" applyNumberFormat="1" applyFont="1" applyFill="1"/>
    <xf numFmtId="10" fontId="8" fillId="0" borderId="0" xfId="3" applyNumberFormat="1" applyFont="1"/>
    <xf numFmtId="171" fontId="5" fillId="0" borderId="0" xfId="0" applyNumberFormat="1" applyFont="1" applyAlignment="1">
      <alignment horizontal="right" wrapText="1"/>
    </xf>
    <xf numFmtId="9" fontId="5" fillId="0" borderId="15" xfId="3" applyFont="1" applyBorder="1" applyAlignment="1">
      <alignment horizontal="center"/>
    </xf>
    <xf numFmtId="9" fontId="5" fillId="0" borderId="16" xfId="3" applyFont="1" applyBorder="1" applyAlignment="1">
      <alignment horizontal="center"/>
    </xf>
    <xf numFmtId="0" fontId="50" fillId="10" borderId="0" xfId="0" applyFont="1" applyFill="1" applyAlignment="1">
      <alignment wrapText="1"/>
    </xf>
    <xf numFmtId="3" fontId="48" fillId="10" borderId="0" xfId="0" applyNumberFormat="1" applyFont="1" applyFill="1" applyAlignment="1">
      <alignment wrapText="1"/>
    </xf>
    <xf numFmtId="3" fontId="61" fillId="10" borderId="0" xfId="0" applyNumberFormat="1" applyFont="1" applyFill="1" applyAlignment="1">
      <alignment wrapText="1"/>
    </xf>
    <xf numFmtId="14" fontId="0" fillId="0" borderId="0" xfId="0" applyNumberFormat="1"/>
    <xf numFmtId="173" fontId="0" fillId="0" borderId="0" xfId="0" applyNumberFormat="1" applyAlignment="1">
      <alignment vertical="center"/>
    </xf>
    <xf numFmtId="0" fontId="43" fillId="0" borderId="0" xfId="0" applyFont="1"/>
    <xf numFmtId="9" fontId="8" fillId="0" borderId="0" xfId="3" applyFont="1" applyAlignment="1">
      <alignment horizontal="right"/>
    </xf>
    <xf numFmtId="3" fontId="8" fillId="0" borderId="0" xfId="0" quotePrefix="1" applyNumberFormat="1" applyFont="1" applyAlignment="1">
      <alignment horizontal="right"/>
    </xf>
    <xf numFmtId="3" fontId="9" fillId="5" borderId="24" xfId="0" applyNumberFormat="1" applyFont="1" applyFill="1" applyBorder="1" applyAlignment="1">
      <alignment horizontal="right"/>
    </xf>
    <xf numFmtId="3" fontId="4" fillId="5" borderId="24" xfId="0" applyNumberFormat="1" applyFont="1" applyFill="1" applyBorder="1" applyAlignment="1">
      <alignment horizontal="right"/>
    </xf>
    <xf numFmtId="3" fontId="8" fillId="0" borderId="1" xfId="0" quotePrefix="1" applyNumberFormat="1" applyFont="1" applyBorder="1" applyAlignment="1">
      <alignment horizontal="right"/>
    </xf>
    <xf numFmtId="3" fontId="9" fillId="5" borderId="7" xfId="0" applyNumberFormat="1" applyFont="1" applyFill="1" applyBorder="1" applyAlignment="1">
      <alignment horizontal="right"/>
    </xf>
    <xf numFmtId="0" fontId="36" fillId="0" borderId="0" xfId="0" applyFont="1" applyAlignment="1">
      <alignment horizontal="right" wrapText="1"/>
    </xf>
    <xf numFmtId="9" fontId="5" fillId="0" borderId="0" xfId="0" applyNumberFormat="1" applyFont="1"/>
    <xf numFmtId="0" fontId="29" fillId="0" borderId="0" xfId="0" applyFont="1" applyAlignment="1">
      <alignment wrapText="1"/>
    </xf>
    <xf numFmtId="44" fontId="4" fillId="0" borderId="0" xfId="0" applyNumberFormat="1" applyFont="1"/>
    <xf numFmtId="0" fontId="5" fillId="0" borderId="7" xfId="0" applyFont="1" applyBorder="1"/>
    <xf numFmtId="3" fontId="5" fillId="0" borderId="7" xfId="0" applyNumberFormat="1" applyFont="1" applyBorder="1"/>
    <xf numFmtId="44" fontId="5" fillId="0" borderId="7" xfId="2" applyFont="1" applyBorder="1"/>
    <xf numFmtId="2" fontId="5" fillId="0" borderId="7" xfId="0" applyNumberFormat="1" applyFont="1" applyBorder="1"/>
    <xf numFmtId="44" fontId="5" fillId="0" borderId="18" xfId="2" applyFont="1" applyBorder="1"/>
    <xf numFmtId="10" fontId="5" fillId="13" borderId="22" xfId="3" applyNumberFormat="1" applyFont="1" applyFill="1" applyBorder="1"/>
    <xf numFmtId="2" fontId="5" fillId="0" borderId="11" xfId="2" applyNumberFormat="1" applyFont="1" applyBorder="1" applyAlignment="1">
      <alignment horizontal="center"/>
    </xf>
    <xf numFmtId="2" fontId="5" fillId="0" borderId="7" xfId="2" applyNumberFormat="1" applyFont="1" applyBorder="1" applyAlignment="1">
      <alignment horizontal="center"/>
    </xf>
    <xf numFmtId="2" fontId="5" fillId="0" borderId="18" xfId="2" applyNumberFormat="1" applyFont="1" applyBorder="1" applyAlignment="1">
      <alignment horizontal="center"/>
    </xf>
    <xf numFmtId="2" fontId="5" fillId="0" borderId="12" xfId="2" applyNumberFormat="1" applyFont="1" applyBorder="1" applyAlignment="1">
      <alignment horizontal="center"/>
    </xf>
    <xf numFmtId="2" fontId="5" fillId="0" borderId="0" xfId="2" applyNumberFormat="1" applyFont="1" applyBorder="1" applyAlignment="1">
      <alignment horizontal="center"/>
    </xf>
    <xf numFmtId="2" fontId="5" fillId="0" borderId="10" xfId="2" applyNumberFormat="1" applyFont="1" applyBorder="1" applyAlignment="1">
      <alignment horizontal="center"/>
    </xf>
    <xf numFmtId="2" fontId="5" fillId="0" borderId="21" xfId="2" applyNumberFormat="1" applyFont="1" applyBorder="1" applyAlignment="1">
      <alignment horizontal="center"/>
    </xf>
    <xf numFmtId="2" fontId="5" fillId="0" borderId="2" xfId="2" applyNumberFormat="1" applyFont="1" applyBorder="1" applyAlignment="1">
      <alignment horizontal="center"/>
    </xf>
    <xf numFmtId="2" fontId="5" fillId="0" borderId="9" xfId="2" applyNumberFormat="1" applyFont="1" applyBorder="1" applyAlignment="1">
      <alignment horizontal="center"/>
    </xf>
    <xf numFmtId="2" fontId="5" fillId="0" borderId="0" xfId="2" applyNumberFormat="1" applyFont="1" applyAlignment="1">
      <alignment horizontal="center"/>
    </xf>
    <xf numFmtId="44" fontId="5" fillId="0" borderId="13" xfId="2" applyFont="1" applyBorder="1" applyAlignment="1">
      <alignment horizontal="center"/>
    </xf>
    <xf numFmtId="174" fontId="5" fillId="0" borderId="13" xfId="2" applyNumberFormat="1" applyFont="1" applyBorder="1" applyAlignment="1">
      <alignment horizontal="center"/>
    </xf>
    <xf numFmtId="0" fontId="15" fillId="4" borderId="0" xfId="0" applyFont="1" applyFill="1" applyAlignment="1">
      <alignment horizontal="right" wrapText="1"/>
    </xf>
    <xf numFmtId="0" fontId="9" fillId="4" borderId="0" xfId="0" applyFont="1" applyFill="1" applyAlignment="1">
      <alignment horizontal="right" wrapText="1"/>
    </xf>
    <xf numFmtId="0" fontId="4" fillId="4" borderId="3" xfId="0" applyFont="1" applyFill="1" applyBorder="1" applyAlignment="1">
      <alignment horizontal="right" wrapText="1"/>
    </xf>
    <xf numFmtId="168" fontId="4" fillId="0" borderId="0" xfId="1" applyNumberFormat="1" applyFont="1" applyFill="1" applyBorder="1"/>
    <xf numFmtId="168" fontId="4" fillId="0" borderId="0" xfId="1" applyNumberFormat="1" applyFont="1" applyBorder="1"/>
    <xf numFmtId="168" fontId="5" fillId="0" borderId="0" xfId="0" applyNumberFormat="1" applyFont="1"/>
    <xf numFmtId="0" fontId="59" fillId="0" borderId="0" xfId="0" applyFont="1" applyAlignment="1">
      <alignment horizontal="center"/>
    </xf>
    <xf numFmtId="0" fontId="60" fillId="0" borderId="0" xfId="0" applyFont="1" applyAlignment="1">
      <alignment horizontal="center"/>
    </xf>
    <xf numFmtId="0" fontId="5" fillId="0" borderId="0" xfId="0" applyFont="1" applyAlignment="1">
      <alignment horizontal="right" vertical="center" textRotation="90" wrapText="1"/>
    </xf>
    <xf numFmtId="0" fontId="5" fillId="0" borderId="0" xfId="0" applyFont="1" applyAlignment="1">
      <alignment horizontal="center"/>
    </xf>
    <xf numFmtId="0" fontId="5" fillId="0" borderId="0" xfId="0" applyFont="1" applyAlignment="1">
      <alignment horizontal="right" vertical="center" textRotation="90"/>
    </xf>
    <xf numFmtId="0" fontId="1" fillId="0" borderId="0" xfId="0" applyFont="1"/>
    <xf numFmtId="0" fontId="0" fillId="0" borderId="0" xfId="0" applyAlignment="1">
      <alignment horizontal="center"/>
    </xf>
    <xf numFmtId="0" fontId="1" fillId="0" borderId="0" xfId="0" applyFont="1" applyAlignment="1">
      <alignment horizontal="center"/>
    </xf>
    <xf numFmtId="3" fontId="47" fillId="0" borderId="0" xfId="0" applyNumberFormat="1" applyFont="1" applyAlignment="1">
      <alignment horizontal="center" wrapText="1"/>
    </xf>
    <xf numFmtId="2" fontId="0" fillId="0" borderId="0" xfId="0" applyNumberFormat="1" applyAlignment="1">
      <alignment horizontal="center"/>
    </xf>
  </cellXfs>
  <cellStyles count="8">
    <cellStyle name="Comma" xfId="1" builtinId="3"/>
    <cellStyle name="Currency" xfId="2" builtinId="4"/>
    <cellStyle name="Hyperlink 2" xfId="6" xr:uid="{E02B089E-84AE-4C2A-9FBF-557B67C69485}"/>
    <cellStyle name="Normal" xfId="0" builtinId="0"/>
    <cellStyle name="Normal 2" xfId="4" xr:uid="{8FABB5EE-24BA-45CB-80BA-0CAE2C6357BD}"/>
    <cellStyle name="Normal 3" xfId="5" xr:uid="{E5AE9AD3-2E17-42A6-BC25-DBE8AE1C10A6}"/>
    <cellStyle name="Normal 4" xfId="7" xr:uid="{441E8D19-8682-4235-B40D-F95A88DB4535}"/>
    <cellStyle name="Percent" xfId="3" builtinId="5"/>
  </cellStyles>
  <dxfs count="5">
    <dxf>
      <numFmt numFmtId="3" formatCode="#,##0"/>
      <alignment horizontal="center" vertical="bottom" textRotation="0" indent="0" justifyLastLine="0" shrinkToFit="0" readingOrder="0"/>
    </dxf>
    <dxf>
      <alignment horizontal="center" vertical="bottom" textRotation="0" indent="0" justifyLastLine="0" shrinkToFit="0" readingOrder="0"/>
    </dxf>
    <dxf>
      <alignment horizontal="center" vertical="bottom" textRotation="0" indent="0" justifyLastLine="0" shrinkToFit="0" readingOrder="0"/>
    </dxf>
    <dxf>
      <numFmt numFmtId="0" formatCode="General"/>
      <alignment horizontal="center" vertical="bottom" textRotation="0" indent="0" justifyLastLine="0" shrinkToFit="0" readingOrder="0"/>
    </dxf>
    <dxf>
      <alignment horizontal="center" vertical="bottom" textRotation="0" indent="0" justifyLastLine="0" shrinkToFit="0" readingOrder="0"/>
    </dxf>
  </dxfs>
  <tableStyles count="0" defaultTableStyle="TableStyleMedium9" defaultPivotStyle="PivotStyleLight16"/>
  <colors>
    <mruColors>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microsoft.com/office/2017/10/relationships/person" Target="persons/perso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IS_Sorted!$A$7</c:f>
              <c:strCache>
                <c:ptCount val="1"/>
                <c:pt idx="0">
                  <c:v>Cost of sales</c:v>
                </c:pt>
              </c:strCache>
            </c:strRef>
          </c:tx>
          <c:spPr>
            <a:solidFill>
              <a:schemeClr val="accent1"/>
            </a:solidFill>
            <a:ln>
              <a:noFill/>
            </a:ln>
            <a:effectLst/>
          </c:spPr>
          <c:invertIfNegative val="0"/>
          <c:cat>
            <c:strRef>
              <c:f>IS_Sorted!$B$4:$P$4</c:f>
              <c:strCache>
                <c:ptCount val="7"/>
                <c:pt idx="0">
                  <c:v>2020</c:v>
                </c:pt>
                <c:pt idx="1">
                  <c:v>2021</c:v>
                </c:pt>
                <c:pt idx="2">
                  <c:v>2022</c:v>
                </c:pt>
                <c:pt idx="3">
                  <c:v>2023E</c:v>
                </c:pt>
                <c:pt idx="4">
                  <c:v>2024E</c:v>
                </c:pt>
                <c:pt idx="5">
                  <c:v>2025E</c:v>
                </c:pt>
                <c:pt idx="6">
                  <c:v>2026E</c:v>
                </c:pt>
              </c:strCache>
            </c:strRef>
          </c:cat>
          <c:val>
            <c:numRef>
              <c:f>IS_Sorted!$B$7:$P$7</c:f>
              <c:numCache>
                <c:formatCode>#,##0</c:formatCode>
                <c:ptCount val="7"/>
                <c:pt idx="0">
                  <c:v>3915</c:v>
                </c:pt>
                <c:pt idx="1">
                  <c:v>25630</c:v>
                </c:pt>
                <c:pt idx="2">
                  <c:v>29280</c:v>
                </c:pt>
                <c:pt idx="3">
                  <c:v>20294.160698107054</c:v>
                </c:pt>
                <c:pt idx="4">
                  <c:v>8040.1972798013967</c:v>
                </c:pt>
                <c:pt idx="5">
                  <c:v>7471.0211729108787</c:v>
                </c:pt>
                <c:pt idx="6">
                  <c:v>7251.1476631257747</c:v>
                </c:pt>
              </c:numCache>
            </c:numRef>
          </c:val>
          <c:extLst>
            <c:ext xmlns:c16="http://schemas.microsoft.com/office/drawing/2014/chart" uri="{C3380CC4-5D6E-409C-BE32-E72D297353CC}">
              <c16:uniqueId val="{00000000-2236-4266-9516-64DE31FD8EF0}"/>
            </c:ext>
          </c:extLst>
        </c:ser>
        <c:dLbls>
          <c:showLegendKey val="0"/>
          <c:showVal val="0"/>
          <c:showCatName val="0"/>
          <c:showSerName val="0"/>
          <c:showPercent val="0"/>
          <c:showBubbleSize val="0"/>
        </c:dLbls>
        <c:gapWidth val="219"/>
        <c:overlap val="-27"/>
        <c:axId val="1682320783"/>
        <c:axId val="1688556031"/>
      </c:barChart>
      <c:catAx>
        <c:axId val="1682320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556031"/>
        <c:crosses val="autoZero"/>
        <c:auto val="1"/>
        <c:lblAlgn val="ctr"/>
        <c:lblOffset val="100"/>
        <c:noMultiLvlLbl val="0"/>
      </c:catAx>
      <c:valAx>
        <c:axId val="16885560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320783"/>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2023 YTD</a:t>
            </a:r>
            <a:r>
              <a:rPr lang="en-US" baseline="0"/>
              <a:t> Revenue by Segment</a:t>
            </a:r>
            <a:endParaRPr lang="en-US"/>
          </a:p>
        </c:rich>
      </c:tx>
      <c:layout>
        <c:manualLayout>
          <c:xMode val="edge"/>
          <c:yMode val="edge"/>
          <c:x val="0.29359711286089241"/>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A8-4AF3-9F9E-5CB42E5E83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A8-4AF3-9F9E-5CB42E5E83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2A8-4AF3-9F9E-5CB42E5E834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2A8-4AF3-9F9E-5CB42E5E8348}"/>
              </c:ext>
            </c:extLst>
          </c:dPt>
          <c:cat>
            <c:strRef>
              <c:f>'YTD Q3 Rev'!$A$6:$A$9</c:f>
              <c:strCache>
                <c:ptCount val="4"/>
                <c:pt idx="0">
                  <c:v>Primary Care</c:v>
                </c:pt>
                <c:pt idx="1">
                  <c:v>Specialty Care</c:v>
                </c:pt>
                <c:pt idx="2">
                  <c:v>Oncology</c:v>
                </c:pt>
                <c:pt idx="3">
                  <c:v>Business Innovation</c:v>
                </c:pt>
              </c:strCache>
            </c:strRef>
          </c:cat>
          <c:val>
            <c:numRef>
              <c:f>'YTD Q3 Rev'!$B$6:$B$9</c:f>
              <c:numCache>
                <c:formatCode>#,##0</c:formatCode>
                <c:ptCount val="4"/>
                <c:pt idx="0">
                  <c:v>23602</c:v>
                </c:pt>
                <c:pt idx="1">
                  <c:v>11021</c:v>
                </c:pt>
                <c:pt idx="2">
                  <c:v>8696</c:v>
                </c:pt>
                <c:pt idx="3" formatCode="General">
                  <c:v>928</c:v>
                </c:pt>
              </c:numCache>
            </c:numRef>
          </c:val>
          <c:extLst>
            <c:ext xmlns:c16="http://schemas.microsoft.com/office/drawing/2014/chart" uri="{C3380CC4-5D6E-409C-BE32-E72D297353CC}">
              <c16:uniqueId val="{00000008-12A8-4AF3-9F9E-5CB42E5E834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2023 YTD Revenue by Geography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C59-430E-BF4B-CA4F61FC52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C59-430E-BF4B-CA4F61FC52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C59-430E-BF4B-CA4F61FC524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C59-430E-BF4B-CA4F61FC5248}"/>
              </c:ext>
            </c:extLst>
          </c:dPt>
          <c:cat>
            <c:strRef>
              <c:f>'YTD Q3 Rev'!$D$2:$L$2</c:f>
              <c:strCache>
                <c:ptCount val="4"/>
                <c:pt idx="0">
                  <c:v>United States</c:v>
                </c:pt>
                <c:pt idx="1">
                  <c:v>Developed Europe</c:v>
                </c:pt>
                <c:pt idx="2">
                  <c:v>Developed Rest of World</c:v>
                </c:pt>
                <c:pt idx="3">
                  <c:v>Emerging Markets</c:v>
                </c:pt>
              </c:strCache>
            </c:strRef>
          </c:cat>
          <c:val>
            <c:numRef>
              <c:f>'YTD Q3 Rev'!$D$6:$L$6</c:f>
              <c:numCache>
                <c:formatCode>#,##0</c:formatCode>
                <c:ptCount val="4"/>
                <c:pt idx="0">
                  <c:v>11683</c:v>
                </c:pt>
                <c:pt idx="1">
                  <c:v>3598</c:v>
                </c:pt>
                <c:pt idx="2">
                  <c:v>3050</c:v>
                </c:pt>
                <c:pt idx="3">
                  <c:v>5271</c:v>
                </c:pt>
              </c:numCache>
            </c:numRef>
          </c:val>
          <c:extLst>
            <c:ext xmlns:c16="http://schemas.microsoft.com/office/drawing/2014/chart" uri="{C3380CC4-5D6E-409C-BE32-E72D297353CC}">
              <c16:uniqueId val="{00000008-9C59-430E-BF4B-CA4F61FC5248}"/>
            </c:ext>
          </c:extLst>
        </c:ser>
        <c:ser>
          <c:idx val="1"/>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A-9C59-430E-BF4B-CA4F61FC52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9C59-430E-BF4B-CA4F61FC52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9C59-430E-BF4B-CA4F61FC524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9C59-430E-BF4B-CA4F61FC5248}"/>
              </c:ext>
            </c:extLst>
          </c:dPt>
          <c:cat>
            <c:strRef>
              <c:f>'YTD Q3 Rev'!$D$2:$L$2</c:f>
              <c:strCache>
                <c:ptCount val="4"/>
                <c:pt idx="0">
                  <c:v>United States</c:v>
                </c:pt>
                <c:pt idx="1">
                  <c:v>Developed Europe</c:v>
                </c:pt>
                <c:pt idx="2">
                  <c:v>Developed Rest of World</c:v>
                </c:pt>
                <c:pt idx="3">
                  <c:v>Emerging Markets</c:v>
                </c:pt>
              </c:strCache>
            </c:strRef>
          </c:cat>
          <c:val>
            <c:numRef>
              <c:f>'YTD Q3 Rev'!$D$7:$L$7</c:f>
              <c:numCache>
                <c:formatCode>#,##0</c:formatCode>
                <c:ptCount val="4"/>
                <c:pt idx="0">
                  <c:v>4830</c:v>
                </c:pt>
                <c:pt idx="1">
                  <c:v>2056</c:v>
                </c:pt>
                <c:pt idx="2">
                  <c:v>1149</c:v>
                </c:pt>
                <c:pt idx="3">
                  <c:v>2987</c:v>
                </c:pt>
              </c:numCache>
            </c:numRef>
          </c:val>
          <c:extLst>
            <c:ext xmlns:c16="http://schemas.microsoft.com/office/drawing/2014/chart" uri="{C3380CC4-5D6E-409C-BE32-E72D297353CC}">
              <c16:uniqueId val="{00000011-9C59-430E-BF4B-CA4F61FC5248}"/>
            </c:ext>
          </c:extLst>
        </c:ser>
        <c:ser>
          <c:idx val="2"/>
          <c:order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13-9C59-430E-BF4B-CA4F61FC52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5-9C59-430E-BF4B-CA4F61FC52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7-9C59-430E-BF4B-CA4F61FC524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9-9C59-430E-BF4B-CA4F61FC5248}"/>
              </c:ext>
            </c:extLst>
          </c:dPt>
          <c:cat>
            <c:strRef>
              <c:f>'YTD Q3 Rev'!$D$2:$L$2</c:f>
              <c:strCache>
                <c:ptCount val="4"/>
                <c:pt idx="0">
                  <c:v>United States</c:v>
                </c:pt>
                <c:pt idx="1">
                  <c:v>Developed Europe</c:v>
                </c:pt>
                <c:pt idx="2">
                  <c:v>Developed Rest of World</c:v>
                </c:pt>
                <c:pt idx="3">
                  <c:v>Emerging Markets</c:v>
                </c:pt>
              </c:strCache>
            </c:strRef>
          </c:cat>
          <c:val>
            <c:numRef>
              <c:f>'YTD Q3 Rev'!$D$8:$L$8</c:f>
              <c:numCache>
                <c:formatCode>#,##0</c:formatCode>
                <c:ptCount val="4"/>
                <c:pt idx="0">
                  <c:v>5695</c:v>
                </c:pt>
                <c:pt idx="1">
                  <c:v>1138</c:v>
                </c:pt>
                <c:pt idx="2" formatCode="General">
                  <c:v>590</c:v>
                </c:pt>
                <c:pt idx="3">
                  <c:v>1273</c:v>
                </c:pt>
              </c:numCache>
            </c:numRef>
          </c:val>
          <c:extLst>
            <c:ext xmlns:c16="http://schemas.microsoft.com/office/drawing/2014/chart" uri="{C3380CC4-5D6E-409C-BE32-E72D297353CC}">
              <c16:uniqueId val="{0000001A-9C59-430E-BF4B-CA4F61FC5248}"/>
            </c:ext>
          </c:extLst>
        </c:ser>
        <c:ser>
          <c:idx val="3"/>
          <c:order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1C-9C59-430E-BF4B-CA4F61FC52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E-9C59-430E-BF4B-CA4F61FC52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0-9C59-430E-BF4B-CA4F61FC524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2-9C59-430E-BF4B-CA4F61FC5248}"/>
              </c:ext>
            </c:extLst>
          </c:dPt>
          <c:cat>
            <c:strRef>
              <c:f>'YTD Q3 Rev'!$D$2:$L$2</c:f>
              <c:strCache>
                <c:ptCount val="4"/>
                <c:pt idx="0">
                  <c:v>United States</c:v>
                </c:pt>
                <c:pt idx="1">
                  <c:v>Developed Europe</c:v>
                </c:pt>
                <c:pt idx="2">
                  <c:v>Developed Rest of World</c:v>
                </c:pt>
                <c:pt idx="3">
                  <c:v>Emerging Markets</c:v>
                </c:pt>
              </c:strCache>
            </c:strRef>
          </c:cat>
          <c:val>
            <c:numRef>
              <c:f>'YTD Q3 Rev'!$D$9:$L$9</c:f>
              <c:numCache>
                <c:formatCode>General</c:formatCode>
                <c:ptCount val="4"/>
                <c:pt idx="0">
                  <c:v>289</c:v>
                </c:pt>
                <c:pt idx="1">
                  <c:v>426</c:v>
                </c:pt>
                <c:pt idx="2">
                  <c:v>63</c:v>
                </c:pt>
                <c:pt idx="3">
                  <c:v>150</c:v>
                </c:pt>
              </c:numCache>
            </c:numRef>
          </c:val>
          <c:extLst>
            <c:ext xmlns:c16="http://schemas.microsoft.com/office/drawing/2014/chart" uri="{C3380CC4-5D6E-409C-BE32-E72D297353CC}">
              <c16:uniqueId val="{00000023-9C59-430E-BF4B-CA4F61FC524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Cash Dividends Paid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IS_Sorted!$A$35</c:f>
              <c:strCache>
                <c:ptCount val="1"/>
                <c:pt idx="0">
                  <c:v>Cash dividends paid per common share</c:v>
                </c:pt>
              </c:strCache>
            </c:strRef>
          </c:tx>
          <c:spPr>
            <a:solidFill>
              <a:schemeClr val="accent1"/>
            </a:solidFill>
            <a:ln>
              <a:noFill/>
            </a:ln>
            <a:effectLst/>
          </c:spPr>
          <c:invertIfNegative val="0"/>
          <c:cat>
            <c:numRef>
              <c:f>IS_Sorted!$B$4:$L$4</c:f>
              <c:numCache>
                <c:formatCode>General</c:formatCode>
                <c:ptCount val="3"/>
                <c:pt idx="0">
                  <c:v>2020</c:v>
                </c:pt>
                <c:pt idx="1">
                  <c:v>2021</c:v>
                </c:pt>
                <c:pt idx="2">
                  <c:v>2022</c:v>
                </c:pt>
              </c:numCache>
            </c:numRef>
          </c:cat>
          <c:val>
            <c:numRef>
              <c:f>IS_Sorted!$B$35:$L$35</c:f>
              <c:numCache>
                <c:formatCode>#,##0.00</c:formatCode>
                <c:ptCount val="3"/>
                <c:pt idx="0">
                  <c:v>1.53</c:v>
                </c:pt>
                <c:pt idx="1">
                  <c:v>1.57</c:v>
                </c:pt>
                <c:pt idx="2">
                  <c:v>1.61</c:v>
                </c:pt>
              </c:numCache>
            </c:numRef>
          </c:val>
          <c:extLst>
            <c:ext xmlns:c16="http://schemas.microsoft.com/office/drawing/2014/chart" uri="{C3380CC4-5D6E-409C-BE32-E72D297353CC}">
              <c16:uniqueId val="{00000000-778F-4DBD-89E2-838C86C1A22A}"/>
            </c:ext>
          </c:extLst>
        </c:ser>
        <c:dLbls>
          <c:showLegendKey val="0"/>
          <c:showVal val="0"/>
          <c:showCatName val="0"/>
          <c:showSerName val="0"/>
          <c:showPercent val="0"/>
          <c:showBubbleSize val="0"/>
        </c:dLbls>
        <c:gapWidth val="219"/>
        <c:overlap val="-27"/>
        <c:axId val="253570160"/>
        <c:axId val="480305248"/>
      </c:barChart>
      <c:catAx>
        <c:axId val="25357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305248"/>
        <c:crosses val="autoZero"/>
        <c:auto val="1"/>
        <c:lblAlgn val="ctr"/>
        <c:lblOffset val="100"/>
        <c:noMultiLvlLbl val="0"/>
      </c:catAx>
      <c:valAx>
        <c:axId val="4803052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57016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Current Drug Pipeline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'Drug Pipeline'!$A$6:$A$9</c:f>
              <c:strCache>
                <c:ptCount val="4"/>
                <c:pt idx="0">
                  <c:v>Number of Active Phase I Trials</c:v>
                </c:pt>
                <c:pt idx="1">
                  <c:v>Number of Active Phase II Trials</c:v>
                </c:pt>
                <c:pt idx="2">
                  <c:v>Number of Active Phase III Trials</c:v>
                </c:pt>
                <c:pt idx="3">
                  <c:v>Products in Pre-Registration</c:v>
                </c:pt>
              </c:strCache>
            </c:strRef>
          </c:cat>
          <c:val>
            <c:numRef>
              <c:f>'Drug Pipeline'!$N$6:$N$9</c:f>
              <c:numCache>
                <c:formatCode>#,##0.0</c:formatCode>
                <c:ptCount val="4"/>
                <c:pt idx="0">
                  <c:v>26</c:v>
                </c:pt>
                <c:pt idx="1">
                  <c:v>30</c:v>
                </c:pt>
                <c:pt idx="2">
                  <c:v>23</c:v>
                </c:pt>
                <c:pt idx="3">
                  <c:v>4</c:v>
                </c:pt>
              </c:numCache>
            </c:numRef>
          </c:val>
          <c:extLst>
            <c:ext xmlns:c16="http://schemas.microsoft.com/office/drawing/2014/chart" uri="{C3380CC4-5D6E-409C-BE32-E72D297353CC}">
              <c16:uniqueId val="{00000000-4291-4461-B869-0EC6733648F2}"/>
            </c:ext>
          </c:extLst>
        </c:ser>
        <c:dLbls>
          <c:showLegendKey val="0"/>
          <c:showVal val="0"/>
          <c:showCatName val="0"/>
          <c:showSerName val="0"/>
          <c:showPercent val="0"/>
          <c:showBubbleSize val="0"/>
        </c:dLbls>
        <c:gapWidth val="182"/>
        <c:axId val="1456446192"/>
        <c:axId val="29989520"/>
      </c:barChart>
      <c:catAx>
        <c:axId val="1456446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89520"/>
        <c:crosses val="autoZero"/>
        <c:auto val="1"/>
        <c:lblAlgn val="ctr"/>
        <c:lblOffset val="100"/>
        <c:noMultiLvlLbl val="0"/>
      </c:catAx>
      <c:valAx>
        <c:axId val="29989520"/>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44619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Projection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Rev!$K$4:$U$4</c:f>
              <c:strCache>
                <c:ptCount val="11"/>
                <c:pt idx="0">
                  <c:v>2020</c:v>
                </c:pt>
                <c:pt idx="1">
                  <c:v>2021</c:v>
                </c:pt>
                <c:pt idx="2">
                  <c:v>2022</c:v>
                </c:pt>
                <c:pt idx="3">
                  <c:v>2023E</c:v>
                </c:pt>
                <c:pt idx="4">
                  <c:v>2024E</c:v>
                </c:pt>
                <c:pt idx="5">
                  <c:v>2025E</c:v>
                </c:pt>
                <c:pt idx="6">
                  <c:v>2026E</c:v>
                </c:pt>
                <c:pt idx="7">
                  <c:v>2027E</c:v>
                </c:pt>
                <c:pt idx="8">
                  <c:v>2028E</c:v>
                </c:pt>
                <c:pt idx="9">
                  <c:v>2029E</c:v>
                </c:pt>
                <c:pt idx="10">
                  <c:v>2030E</c:v>
                </c:pt>
              </c:strCache>
            </c:strRef>
          </c:cat>
          <c:val>
            <c:numRef>
              <c:f>Rev!$K$5:$U$5</c:f>
              <c:numCache>
                <c:formatCode>#,##0</c:formatCode>
                <c:ptCount val="11"/>
                <c:pt idx="0">
                  <c:v>41908</c:v>
                </c:pt>
                <c:pt idx="1">
                  <c:v>81288</c:v>
                </c:pt>
                <c:pt idx="2">
                  <c:v>100330</c:v>
                </c:pt>
                <c:pt idx="3">
                  <c:v>56395</c:v>
                </c:pt>
                <c:pt idx="4">
                  <c:v>51560</c:v>
                </c:pt>
                <c:pt idx="5">
                  <c:v>47910</c:v>
                </c:pt>
                <c:pt idx="6">
                  <c:v>46500</c:v>
                </c:pt>
                <c:pt idx="7">
                  <c:v>46100</c:v>
                </c:pt>
                <c:pt idx="8">
                  <c:v>44380</c:v>
                </c:pt>
                <c:pt idx="9">
                  <c:v>42875</c:v>
                </c:pt>
                <c:pt idx="10">
                  <c:v>43070</c:v>
                </c:pt>
              </c:numCache>
            </c:numRef>
          </c:val>
          <c:extLst>
            <c:ext xmlns:c16="http://schemas.microsoft.com/office/drawing/2014/chart" uri="{C3380CC4-5D6E-409C-BE32-E72D297353CC}">
              <c16:uniqueId val="{00000000-F946-4953-B2E6-6616E9891614}"/>
            </c:ext>
          </c:extLst>
        </c:ser>
        <c:dLbls>
          <c:showLegendKey val="0"/>
          <c:showVal val="0"/>
          <c:showCatName val="0"/>
          <c:showSerName val="0"/>
          <c:showPercent val="0"/>
          <c:showBubbleSize val="0"/>
        </c:dLbls>
        <c:gapWidth val="219"/>
        <c:overlap val="-27"/>
        <c:axId val="2082883664"/>
        <c:axId val="341960352"/>
      </c:barChart>
      <c:catAx>
        <c:axId val="208288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960352"/>
        <c:crosses val="autoZero"/>
        <c:auto val="1"/>
        <c:lblAlgn val="ctr"/>
        <c:lblOffset val="100"/>
        <c:noMultiLvlLbl val="0"/>
      </c:catAx>
      <c:valAx>
        <c:axId val="3419603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883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Seagen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[1]Sheet1!$A$8:$G$8</c:f>
              <c:strCache>
                <c:ptCount val="7"/>
                <c:pt idx="0">
                  <c:v>Dec '17</c:v>
                </c:pt>
                <c:pt idx="1">
                  <c:v>Dec '18</c:v>
                </c:pt>
                <c:pt idx="2">
                  <c:v>Dec '19</c:v>
                </c:pt>
                <c:pt idx="3">
                  <c:v>Dec '20</c:v>
                </c:pt>
                <c:pt idx="4">
                  <c:v>Dec '21</c:v>
                </c:pt>
                <c:pt idx="5">
                  <c:v>Dec '22</c:v>
                </c:pt>
                <c:pt idx="6">
                  <c:v>Dec '23E</c:v>
                </c:pt>
              </c:strCache>
            </c:strRef>
          </c:cat>
          <c:val>
            <c:numRef>
              <c:f>[1]Sheet1!$A$9:$G$9</c:f>
              <c:numCache>
                <c:formatCode>General</c:formatCode>
                <c:ptCount val="7"/>
                <c:pt idx="0">
                  <c:v>482.25</c:v>
                </c:pt>
                <c:pt idx="1">
                  <c:v>654.70000000000005</c:v>
                </c:pt>
                <c:pt idx="2">
                  <c:v>916.71299999999997</c:v>
                </c:pt>
                <c:pt idx="3">
                  <c:v>2175.54</c:v>
                </c:pt>
                <c:pt idx="4">
                  <c:v>1574.37</c:v>
                </c:pt>
                <c:pt idx="5">
                  <c:v>1962.41</c:v>
                </c:pt>
                <c:pt idx="6">
                  <c:v>2457.75</c:v>
                </c:pt>
              </c:numCache>
            </c:numRef>
          </c:val>
          <c:extLst>
            <c:ext xmlns:c16="http://schemas.microsoft.com/office/drawing/2014/chart" uri="{C3380CC4-5D6E-409C-BE32-E72D297353CC}">
              <c16:uniqueId val="{00000000-C9DB-4264-8C4F-B63B305F7CFF}"/>
            </c:ext>
          </c:extLst>
        </c:ser>
        <c:dLbls>
          <c:showLegendKey val="0"/>
          <c:showVal val="0"/>
          <c:showCatName val="0"/>
          <c:showSerName val="0"/>
          <c:showPercent val="0"/>
          <c:showBubbleSize val="0"/>
        </c:dLbls>
        <c:gapWidth val="219"/>
        <c:overlap val="-27"/>
        <c:axId val="2083173632"/>
        <c:axId val="54174640"/>
      </c:barChart>
      <c:catAx>
        <c:axId val="208317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74640"/>
        <c:crosses val="autoZero"/>
        <c:auto val="1"/>
        <c:lblAlgn val="ctr"/>
        <c:lblOffset val="100"/>
        <c:noMultiLvlLbl val="0"/>
      </c:catAx>
      <c:valAx>
        <c:axId val="54174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173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Rev!$A$66:$B$66</c:f>
              <c:strCache>
                <c:ptCount val="2"/>
                <c:pt idx="0">
                  <c:v>Total Revenue</c:v>
                </c:pt>
              </c:strCache>
            </c:strRef>
          </c:tx>
          <c:spPr>
            <a:ln w="28575" cap="rnd">
              <a:solidFill>
                <a:schemeClr val="accent1"/>
              </a:solidFill>
              <a:round/>
            </a:ln>
            <a:effectLst/>
          </c:spPr>
          <c:marker>
            <c:symbol val="none"/>
          </c:marker>
          <c:cat>
            <c:strRef>
              <c:f>Rev!$C$65:$U$65</c:f>
              <c:strCache>
                <c:ptCount val="11"/>
                <c:pt idx="0">
                  <c:v>2020</c:v>
                </c:pt>
                <c:pt idx="1">
                  <c:v>2021</c:v>
                </c:pt>
                <c:pt idx="2">
                  <c:v>2022</c:v>
                </c:pt>
                <c:pt idx="3">
                  <c:v>2023E</c:v>
                </c:pt>
                <c:pt idx="4">
                  <c:v>2024E</c:v>
                </c:pt>
                <c:pt idx="5">
                  <c:v>2025E</c:v>
                </c:pt>
                <c:pt idx="6">
                  <c:v>2026E</c:v>
                </c:pt>
                <c:pt idx="7">
                  <c:v>2027E</c:v>
                </c:pt>
                <c:pt idx="8">
                  <c:v>2028E</c:v>
                </c:pt>
                <c:pt idx="9">
                  <c:v>2029E</c:v>
                </c:pt>
                <c:pt idx="10">
                  <c:v>2030E</c:v>
                </c:pt>
              </c:strCache>
            </c:strRef>
          </c:cat>
          <c:val>
            <c:numRef>
              <c:f>Rev!$C$66:$U$66</c:f>
              <c:numCache>
                <c:formatCode>#,##0</c:formatCode>
                <c:ptCount val="11"/>
                <c:pt idx="0">
                  <c:v>41908</c:v>
                </c:pt>
                <c:pt idx="1">
                  <c:v>81288</c:v>
                </c:pt>
                <c:pt idx="2">
                  <c:v>100330</c:v>
                </c:pt>
                <c:pt idx="3">
                  <c:v>56395</c:v>
                </c:pt>
                <c:pt idx="4">
                  <c:v>51560</c:v>
                </c:pt>
                <c:pt idx="5">
                  <c:v>47910</c:v>
                </c:pt>
                <c:pt idx="6">
                  <c:v>46500</c:v>
                </c:pt>
                <c:pt idx="7">
                  <c:v>46100</c:v>
                </c:pt>
                <c:pt idx="8">
                  <c:v>44380</c:v>
                </c:pt>
                <c:pt idx="9">
                  <c:v>42875</c:v>
                </c:pt>
                <c:pt idx="10">
                  <c:v>43070</c:v>
                </c:pt>
              </c:numCache>
            </c:numRef>
          </c:val>
          <c:smooth val="0"/>
          <c:extLst>
            <c:ext xmlns:c16="http://schemas.microsoft.com/office/drawing/2014/chart" uri="{C3380CC4-5D6E-409C-BE32-E72D297353CC}">
              <c16:uniqueId val="{00000000-A711-416B-B842-4B9FA17BE2BD}"/>
            </c:ext>
          </c:extLst>
        </c:ser>
        <c:ser>
          <c:idx val="1"/>
          <c:order val="1"/>
          <c:tx>
            <c:strRef>
              <c:f>Rev!$A$67:$B$67</c:f>
              <c:strCache>
                <c:ptCount val="2"/>
                <c:pt idx="0">
                  <c:v>Primary Care</c:v>
                </c:pt>
              </c:strCache>
            </c:strRef>
          </c:tx>
          <c:spPr>
            <a:ln w="28575" cap="rnd">
              <a:solidFill>
                <a:schemeClr val="accent2"/>
              </a:solidFill>
              <a:round/>
            </a:ln>
            <a:effectLst/>
          </c:spPr>
          <c:marker>
            <c:symbol val="none"/>
          </c:marker>
          <c:cat>
            <c:strRef>
              <c:f>Rev!$C$65:$U$65</c:f>
              <c:strCache>
                <c:ptCount val="11"/>
                <c:pt idx="0">
                  <c:v>2020</c:v>
                </c:pt>
                <c:pt idx="1">
                  <c:v>2021</c:v>
                </c:pt>
                <c:pt idx="2">
                  <c:v>2022</c:v>
                </c:pt>
                <c:pt idx="3">
                  <c:v>2023E</c:v>
                </c:pt>
                <c:pt idx="4">
                  <c:v>2024E</c:v>
                </c:pt>
                <c:pt idx="5">
                  <c:v>2025E</c:v>
                </c:pt>
                <c:pt idx="6">
                  <c:v>2026E</c:v>
                </c:pt>
                <c:pt idx="7">
                  <c:v>2027E</c:v>
                </c:pt>
                <c:pt idx="8">
                  <c:v>2028E</c:v>
                </c:pt>
                <c:pt idx="9">
                  <c:v>2029E</c:v>
                </c:pt>
                <c:pt idx="10">
                  <c:v>2030E</c:v>
                </c:pt>
              </c:strCache>
            </c:strRef>
          </c:cat>
          <c:val>
            <c:numRef>
              <c:f>Rev!$C$67:$U$67</c:f>
              <c:numCache>
                <c:formatCode>#,##0</c:formatCode>
                <c:ptCount val="11"/>
                <c:pt idx="0">
                  <c:v>15333</c:v>
                </c:pt>
                <c:pt idx="1">
                  <c:v>51840</c:v>
                </c:pt>
                <c:pt idx="2">
                  <c:v>72903</c:v>
                </c:pt>
                <c:pt idx="3">
                  <c:v>29435</c:v>
                </c:pt>
                <c:pt idx="4">
                  <c:v>23725</c:v>
                </c:pt>
                <c:pt idx="5">
                  <c:v>20475</c:v>
                </c:pt>
                <c:pt idx="6">
                  <c:v>18280</c:v>
                </c:pt>
                <c:pt idx="7">
                  <c:v>17235</c:v>
                </c:pt>
                <c:pt idx="8">
                  <c:v>15705</c:v>
                </c:pt>
                <c:pt idx="9">
                  <c:v>14035</c:v>
                </c:pt>
                <c:pt idx="10">
                  <c:v>14005</c:v>
                </c:pt>
              </c:numCache>
            </c:numRef>
          </c:val>
          <c:smooth val="0"/>
          <c:extLst>
            <c:ext xmlns:c16="http://schemas.microsoft.com/office/drawing/2014/chart" uri="{C3380CC4-5D6E-409C-BE32-E72D297353CC}">
              <c16:uniqueId val="{00000001-A711-416B-B842-4B9FA17BE2BD}"/>
            </c:ext>
          </c:extLst>
        </c:ser>
        <c:ser>
          <c:idx val="2"/>
          <c:order val="2"/>
          <c:tx>
            <c:strRef>
              <c:f>Rev!$A$68:$B$68</c:f>
              <c:strCache>
                <c:ptCount val="2"/>
                <c:pt idx="0">
                  <c:v>Speciality Care</c:v>
                </c:pt>
              </c:strCache>
            </c:strRef>
          </c:tx>
          <c:spPr>
            <a:ln w="28575" cap="rnd">
              <a:solidFill>
                <a:schemeClr val="accent3"/>
              </a:solidFill>
              <a:round/>
            </a:ln>
            <a:effectLst/>
          </c:spPr>
          <c:marker>
            <c:symbol val="none"/>
          </c:marker>
          <c:cat>
            <c:strRef>
              <c:f>Rev!$C$65:$U$65</c:f>
              <c:strCache>
                <c:ptCount val="11"/>
                <c:pt idx="0">
                  <c:v>2020</c:v>
                </c:pt>
                <c:pt idx="1">
                  <c:v>2021</c:v>
                </c:pt>
                <c:pt idx="2">
                  <c:v>2022</c:v>
                </c:pt>
                <c:pt idx="3">
                  <c:v>2023E</c:v>
                </c:pt>
                <c:pt idx="4">
                  <c:v>2024E</c:v>
                </c:pt>
                <c:pt idx="5">
                  <c:v>2025E</c:v>
                </c:pt>
                <c:pt idx="6">
                  <c:v>2026E</c:v>
                </c:pt>
                <c:pt idx="7">
                  <c:v>2027E</c:v>
                </c:pt>
                <c:pt idx="8">
                  <c:v>2028E</c:v>
                </c:pt>
                <c:pt idx="9">
                  <c:v>2029E</c:v>
                </c:pt>
                <c:pt idx="10">
                  <c:v>2030E</c:v>
                </c:pt>
              </c:strCache>
            </c:strRef>
          </c:cat>
          <c:val>
            <c:numRef>
              <c:f>Rev!$C$68:$U$68</c:f>
              <c:numCache>
                <c:formatCode>#,##0</c:formatCode>
                <c:ptCount val="11"/>
                <c:pt idx="0">
                  <c:v>13507</c:v>
                </c:pt>
                <c:pt idx="1">
                  <c:v>14377</c:v>
                </c:pt>
                <c:pt idx="2">
                  <c:v>13760</c:v>
                </c:pt>
                <c:pt idx="3">
                  <c:v>13705</c:v>
                </c:pt>
                <c:pt idx="4">
                  <c:v>13975</c:v>
                </c:pt>
                <c:pt idx="5">
                  <c:v>12955</c:v>
                </c:pt>
                <c:pt idx="6">
                  <c:v>13330</c:v>
                </c:pt>
                <c:pt idx="7">
                  <c:v>13425</c:v>
                </c:pt>
                <c:pt idx="8">
                  <c:v>13535</c:v>
                </c:pt>
                <c:pt idx="9">
                  <c:v>13825</c:v>
                </c:pt>
                <c:pt idx="10">
                  <c:v>14185</c:v>
                </c:pt>
              </c:numCache>
            </c:numRef>
          </c:val>
          <c:smooth val="0"/>
          <c:extLst>
            <c:ext xmlns:c16="http://schemas.microsoft.com/office/drawing/2014/chart" uri="{C3380CC4-5D6E-409C-BE32-E72D297353CC}">
              <c16:uniqueId val="{00000002-A711-416B-B842-4B9FA17BE2BD}"/>
            </c:ext>
          </c:extLst>
        </c:ser>
        <c:ser>
          <c:idx val="3"/>
          <c:order val="3"/>
          <c:tx>
            <c:strRef>
              <c:f>Rev!$A$69:$B$69</c:f>
              <c:strCache>
                <c:ptCount val="2"/>
                <c:pt idx="0">
                  <c:v>Oncology</c:v>
                </c:pt>
              </c:strCache>
            </c:strRef>
          </c:tx>
          <c:spPr>
            <a:ln w="28575" cap="rnd">
              <a:solidFill>
                <a:schemeClr val="accent4"/>
              </a:solidFill>
              <a:round/>
            </a:ln>
            <a:effectLst/>
          </c:spPr>
          <c:marker>
            <c:symbol val="none"/>
          </c:marker>
          <c:cat>
            <c:strRef>
              <c:f>Rev!$C$65:$U$65</c:f>
              <c:strCache>
                <c:ptCount val="11"/>
                <c:pt idx="0">
                  <c:v>2020</c:v>
                </c:pt>
                <c:pt idx="1">
                  <c:v>2021</c:v>
                </c:pt>
                <c:pt idx="2">
                  <c:v>2022</c:v>
                </c:pt>
                <c:pt idx="3">
                  <c:v>2023E</c:v>
                </c:pt>
                <c:pt idx="4">
                  <c:v>2024E</c:v>
                </c:pt>
                <c:pt idx="5">
                  <c:v>2025E</c:v>
                </c:pt>
                <c:pt idx="6">
                  <c:v>2026E</c:v>
                </c:pt>
                <c:pt idx="7">
                  <c:v>2027E</c:v>
                </c:pt>
                <c:pt idx="8">
                  <c:v>2028E</c:v>
                </c:pt>
                <c:pt idx="9">
                  <c:v>2029E</c:v>
                </c:pt>
                <c:pt idx="10">
                  <c:v>2030E</c:v>
                </c:pt>
              </c:strCache>
            </c:strRef>
          </c:cat>
          <c:val>
            <c:numRef>
              <c:f>Rev!$C$69:$U$69</c:f>
              <c:numCache>
                <c:formatCode>#,##0</c:formatCode>
                <c:ptCount val="11"/>
                <c:pt idx="0">
                  <c:v>10866</c:v>
                </c:pt>
                <c:pt idx="1">
                  <c:v>12333</c:v>
                </c:pt>
                <c:pt idx="2">
                  <c:v>12133</c:v>
                </c:pt>
                <c:pt idx="3">
                  <c:v>11980</c:v>
                </c:pt>
                <c:pt idx="4">
                  <c:v>12510</c:v>
                </c:pt>
                <c:pt idx="5">
                  <c:v>13065</c:v>
                </c:pt>
                <c:pt idx="6">
                  <c:v>13620</c:v>
                </c:pt>
                <c:pt idx="7">
                  <c:v>13865</c:v>
                </c:pt>
                <c:pt idx="8">
                  <c:v>13605</c:v>
                </c:pt>
                <c:pt idx="9">
                  <c:v>13375</c:v>
                </c:pt>
                <c:pt idx="10">
                  <c:v>13185</c:v>
                </c:pt>
              </c:numCache>
            </c:numRef>
          </c:val>
          <c:smooth val="0"/>
          <c:extLst>
            <c:ext xmlns:c16="http://schemas.microsoft.com/office/drawing/2014/chart" uri="{C3380CC4-5D6E-409C-BE32-E72D297353CC}">
              <c16:uniqueId val="{00000003-A711-416B-B842-4B9FA17BE2BD}"/>
            </c:ext>
          </c:extLst>
        </c:ser>
        <c:ser>
          <c:idx val="4"/>
          <c:order val="4"/>
          <c:tx>
            <c:strRef>
              <c:f>Rev!$A$70:$B$70</c:f>
              <c:strCache>
                <c:ptCount val="2"/>
                <c:pt idx="0">
                  <c:v>Future Drug Pipelines &amp; Seagen</c:v>
                </c:pt>
              </c:strCache>
            </c:strRef>
          </c:tx>
          <c:spPr>
            <a:ln w="28575" cap="rnd">
              <a:solidFill>
                <a:schemeClr val="accent5"/>
              </a:solidFill>
              <a:round/>
            </a:ln>
            <a:effectLst/>
          </c:spPr>
          <c:marker>
            <c:symbol val="none"/>
          </c:marker>
          <c:cat>
            <c:strRef>
              <c:f>Rev!$C$65:$U$65</c:f>
              <c:strCache>
                <c:ptCount val="11"/>
                <c:pt idx="0">
                  <c:v>2020</c:v>
                </c:pt>
                <c:pt idx="1">
                  <c:v>2021</c:v>
                </c:pt>
                <c:pt idx="2">
                  <c:v>2022</c:v>
                </c:pt>
                <c:pt idx="3">
                  <c:v>2023E</c:v>
                </c:pt>
                <c:pt idx="4">
                  <c:v>2024E</c:v>
                </c:pt>
                <c:pt idx="5">
                  <c:v>2025E</c:v>
                </c:pt>
                <c:pt idx="6">
                  <c:v>2026E</c:v>
                </c:pt>
                <c:pt idx="7">
                  <c:v>2027E</c:v>
                </c:pt>
                <c:pt idx="8">
                  <c:v>2028E</c:v>
                </c:pt>
                <c:pt idx="9">
                  <c:v>2029E</c:v>
                </c:pt>
                <c:pt idx="10">
                  <c:v>2030E</c:v>
                </c:pt>
              </c:strCache>
            </c:strRef>
          </c:cat>
          <c:val>
            <c:numRef>
              <c:f>Rev!$C$70:$U$70</c:f>
              <c:numCache>
                <c:formatCode>#,##0</c:formatCode>
                <c:ptCount val="11"/>
                <c:pt idx="0">
                  <c:v>0</c:v>
                </c:pt>
                <c:pt idx="1">
                  <c:v>0</c:v>
                </c:pt>
                <c:pt idx="2">
                  <c:v>0</c:v>
                </c:pt>
                <c:pt idx="3">
                  <c:v>0</c:v>
                </c:pt>
                <c:pt idx="4">
                  <c:v>2250</c:v>
                </c:pt>
                <c:pt idx="5">
                  <c:v>2645</c:v>
                </c:pt>
                <c:pt idx="6">
                  <c:v>3099.2499999999995</c:v>
                </c:pt>
                <c:pt idx="7">
                  <c:v>3621.6374999999994</c:v>
                </c:pt>
                <c:pt idx="8">
                  <c:v>4222.3831249999994</c:v>
                </c:pt>
                <c:pt idx="9">
                  <c:v>4913.2405937499989</c:v>
                </c:pt>
                <c:pt idx="10">
                  <c:v>5707.7266828124984</c:v>
                </c:pt>
              </c:numCache>
            </c:numRef>
          </c:val>
          <c:smooth val="0"/>
          <c:extLst>
            <c:ext xmlns:c16="http://schemas.microsoft.com/office/drawing/2014/chart" uri="{C3380CC4-5D6E-409C-BE32-E72D297353CC}">
              <c16:uniqueId val="{00000004-A711-416B-B842-4B9FA17BE2BD}"/>
            </c:ext>
          </c:extLst>
        </c:ser>
        <c:dLbls>
          <c:showLegendKey val="0"/>
          <c:showVal val="0"/>
          <c:showCatName val="0"/>
          <c:showSerName val="0"/>
          <c:showPercent val="0"/>
          <c:showBubbleSize val="0"/>
        </c:dLbls>
        <c:smooth val="0"/>
        <c:axId val="1266071759"/>
        <c:axId val="1222715807"/>
      </c:lineChart>
      <c:catAx>
        <c:axId val="1266071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715807"/>
        <c:crosses val="autoZero"/>
        <c:auto val="1"/>
        <c:lblAlgn val="ctr"/>
        <c:lblOffset val="100"/>
        <c:noMultiLvlLbl val="0"/>
      </c:catAx>
      <c:valAx>
        <c:axId val="12227158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071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xdr:col>
      <xdr:colOff>47625</xdr:colOff>
      <xdr:row>2</xdr:row>
      <xdr:rowOff>123825</xdr:rowOff>
    </xdr:from>
    <xdr:to>
      <xdr:col>8</xdr:col>
      <xdr:colOff>352425</xdr:colOff>
      <xdr:row>19</xdr:row>
      <xdr:rowOff>114300</xdr:rowOff>
    </xdr:to>
    <xdr:graphicFrame macro="">
      <xdr:nvGraphicFramePr>
        <xdr:cNvPr id="2" name="Chart 1">
          <a:extLst>
            <a:ext uri="{FF2B5EF4-FFF2-40B4-BE49-F238E27FC236}">
              <a16:creationId xmlns:a16="http://schemas.microsoft.com/office/drawing/2014/main" id="{F717C7EE-901B-461D-941B-56BA78B131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552450</xdr:colOff>
      <xdr:row>2</xdr:row>
      <xdr:rowOff>85725</xdr:rowOff>
    </xdr:from>
    <xdr:to>
      <xdr:col>16</xdr:col>
      <xdr:colOff>247650</xdr:colOff>
      <xdr:row>19</xdr:row>
      <xdr:rowOff>76200</xdr:rowOff>
    </xdr:to>
    <xdr:graphicFrame macro="">
      <xdr:nvGraphicFramePr>
        <xdr:cNvPr id="3" name="Chart 2">
          <a:extLst>
            <a:ext uri="{FF2B5EF4-FFF2-40B4-BE49-F238E27FC236}">
              <a16:creationId xmlns:a16="http://schemas.microsoft.com/office/drawing/2014/main" id="{66242973-E5CC-49DA-9906-074B07A82E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547687</xdr:colOff>
      <xdr:row>2</xdr:row>
      <xdr:rowOff>85725</xdr:rowOff>
    </xdr:from>
    <xdr:to>
      <xdr:col>23</xdr:col>
      <xdr:colOff>242887</xdr:colOff>
      <xdr:row>19</xdr:row>
      <xdr:rowOff>76200</xdr:rowOff>
    </xdr:to>
    <xdr:graphicFrame macro="">
      <xdr:nvGraphicFramePr>
        <xdr:cNvPr id="4" name="Chart 3">
          <a:extLst>
            <a:ext uri="{FF2B5EF4-FFF2-40B4-BE49-F238E27FC236}">
              <a16:creationId xmlns:a16="http://schemas.microsoft.com/office/drawing/2014/main" id="{3F3C6F57-1F51-4929-91AE-F3B2F6F01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542925</xdr:colOff>
      <xdr:row>20</xdr:row>
      <xdr:rowOff>57150</xdr:rowOff>
    </xdr:from>
    <xdr:to>
      <xdr:col>8</xdr:col>
      <xdr:colOff>238125</xdr:colOff>
      <xdr:row>36</xdr:row>
      <xdr:rowOff>76200</xdr:rowOff>
    </xdr:to>
    <xdr:graphicFrame macro="">
      <xdr:nvGraphicFramePr>
        <xdr:cNvPr id="5" name="Chart 4">
          <a:extLst>
            <a:ext uri="{FF2B5EF4-FFF2-40B4-BE49-F238E27FC236}">
              <a16:creationId xmlns:a16="http://schemas.microsoft.com/office/drawing/2014/main" id="{381D9D67-0790-44B7-8C5A-1CA64F5527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466725</xdr:colOff>
      <xdr:row>20</xdr:row>
      <xdr:rowOff>76200</xdr:rowOff>
    </xdr:from>
    <xdr:to>
      <xdr:col>16</xdr:col>
      <xdr:colOff>161925</xdr:colOff>
      <xdr:row>37</xdr:row>
      <xdr:rowOff>66675</xdr:rowOff>
    </xdr:to>
    <xdr:graphicFrame macro="">
      <xdr:nvGraphicFramePr>
        <xdr:cNvPr id="6" name="Chart 5">
          <a:extLst>
            <a:ext uri="{FF2B5EF4-FFF2-40B4-BE49-F238E27FC236}">
              <a16:creationId xmlns:a16="http://schemas.microsoft.com/office/drawing/2014/main" id="{CFE75983-F114-4DA1-A406-1AAA0CF0C2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1</xdr:colOff>
      <xdr:row>22</xdr:row>
      <xdr:rowOff>0</xdr:rowOff>
    </xdr:from>
    <xdr:to>
      <xdr:col>25</xdr:col>
      <xdr:colOff>438151</xdr:colOff>
      <xdr:row>37</xdr:row>
      <xdr:rowOff>112336</xdr:rowOff>
    </xdr:to>
    <xdr:pic>
      <xdr:nvPicPr>
        <xdr:cNvPr id="8" name="Picture 7" descr="A graph of different colored lines&#10;&#10;Description automatically generated">
          <a:extLst>
            <a:ext uri="{FF2B5EF4-FFF2-40B4-BE49-F238E27FC236}">
              <a16:creationId xmlns:a16="http://schemas.microsoft.com/office/drawing/2014/main" id="{8E4ED6C7-2093-471F-3435-221A3C0329B7}"/>
            </a:ext>
          </a:extLst>
        </xdr:cNvPr>
        <xdr:cNvPicPr>
          <a:picLocks noChangeAspect="1"/>
        </xdr:cNvPicPr>
      </xdr:nvPicPr>
      <xdr:blipFill>
        <a:blip xmlns:r="http://schemas.openxmlformats.org/officeDocument/2006/relationships" r:embed="rId6"/>
        <a:stretch>
          <a:fillRect/>
        </a:stretch>
      </xdr:blipFill>
      <xdr:spPr>
        <a:xfrm>
          <a:off x="10363201" y="3695700"/>
          <a:ext cx="5314950" cy="2541211"/>
        </a:xfrm>
        <a:prstGeom prst="rect">
          <a:avLst/>
        </a:prstGeom>
      </xdr:spPr>
    </xdr:pic>
    <xdr:clientData/>
  </xdr:twoCellAnchor>
  <xdr:twoCellAnchor>
    <xdr:from>
      <xdr:col>23</xdr:col>
      <xdr:colOff>9525</xdr:colOff>
      <xdr:row>3</xdr:row>
      <xdr:rowOff>0</xdr:rowOff>
    </xdr:from>
    <xdr:to>
      <xdr:col>30</xdr:col>
      <xdr:colOff>447675</xdr:colOff>
      <xdr:row>19</xdr:row>
      <xdr:rowOff>152400</xdr:rowOff>
    </xdr:to>
    <xdr:graphicFrame macro="">
      <xdr:nvGraphicFramePr>
        <xdr:cNvPr id="7" name="Chart 6">
          <a:extLst>
            <a:ext uri="{FF2B5EF4-FFF2-40B4-BE49-F238E27FC236}">
              <a16:creationId xmlns:a16="http://schemas.microsoft.com/office/drawing/2014/main" id="{3F9E37E3-0C83-41AF-BA88-5323A39E5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161925</xdr:colOff>
      <xdr:row>3</xdr:row>
      <xdr:rowOff>142875</xdr:rowOff>
    </xdr:from>
    <xdr:to>
      <xdr:col>44</xdr:col>
      <xdr:colOff>600075</xdr:colOff>
      <xdr:row>20</xdr:row>
      <xdr:rowOff>133350</xdr:rowOff>
    </xdr:to>
    <xdr:graphicFrame macro="">
      <xdr:nvGraphicFramePr>
        <xdr:cNvPr id="9" name="Chart 8">
          <a:extLst>
            <a:ext uri="{FF2B5EF4-FFF2-40B4-BE49-F238E27FC236}">
              <a16:creationId xmlns:a16="http://schemas.microsoft.com/office/drawing/2014/main" id="{66F6CF57-AE50-4336-8C4D-CB3353083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114300</xdr:colOff>
      <xdr:row>22</xdr:row>
      <xdr:rowOff>133350</xdr:rowOff>
    </xdr:from>
    <xdr:to>
      <xdr:col>34</xdr:col>
      <xdr:colOff>857250</xdr:colOff>
      <xdr:row>39</xdr:row>
      <xdr:rowOff>123825</xdr:rowOff>
    </xdr:to>
    <xdr:graphicFrame macro="">
      <xdr:nvGraphicFramePr>
        <xdr:cNvPr id="10" name="Chart 9">
          <a:extLst>
            <a:ext uri="{FF2B5EF4-FFF2-40B4-BE49-F238E27FC236}">
              <a16:creationId xmlns:a16="http://schemas.microsoft.com/office/drawing/2014/main" id="{D73C1186-7D00-4757-85A6-0BCFDB24BD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kylem\Downloads\download.xlsx" TargetMode="External"/><Relationship Id="rId1" Type="http://schemas.openxmlformats.org/officeDocument/2006/relationships/externalLinkPath" Target="file:///C:\Users\kylem\Downloads\download.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iowa-my.sharepoint.com/personal/kmtapia_uiowa_edu/Documents/AEV%20-%20Pfizer%20Workbook.xlsx" TargetMode="External"/><Relationship Id="rId1" Type="http://schemas.openxmlformats.org/officeDocument/2006/relationships/externalLinkPath" Target="https://iowa-my.sharepoint.com/personal/kmtapia_uiowa_edu/Documents/AEV%20-%20Pfizer%20Workboo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8">
          <cell r="A8" t="str">
            <v>Dec '17</v>
          </cell>
          <cell r="B8" t="str">
            <v>Dec '18</v>
          </cell>
          <cell r="C8" t="str">
            <v>Dec '19</v>
          </cell>
          <cell r="D8" t="str">
            <v>Dec '20</v>
          </cell>
          <cell r="E8" t="str">
            <v>Dec '21</v>
          </cell>
          <cell r="F8" t="str">
            <v>Dec '22</v>
          </cell>
          <cell r="G8" t="str">
            <v>Dec '23E</v>
          </cell>
        </row>
        <row r="9">
          <cell r="A9">
            <v>482.25</v>
          </cell>
          <cell r="B9">
            <v>654.70000000000005</v>
          </cell>
          <cell r="C9">
            <v>916.71299999999997</v>
          </cell>
          <cell r="D9">
            <v>2175.54</v>
          </cell>
          <cell r="E9">
            <v>1574.37</v>
          </cell>
          <cell r="F9">
            <v>1962.41</v>
          </cell>
          <cell r="G9">
            <v>2457.75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puts"/>
      <sheetName val="Rev"/>
      <sheetName val="IS"/>
      <sheetName val="IS_Sorted"/>
      <sheetName val="BS"/>
      <sheetName val="BS_Sorted"/>
      <sheetName val="CF_H"/>
      <sheetName val="CF_F"/>
      <sheetName val="CS_IS (% sales)"/>
      <sheetName val="CS_BS (% sales)"/>
      <sheetName val="CS_BS (% assets)"/>
      <sheetName val="Drivers"/>
      <sheetName val="WACC"/>
      <sheetName val="DCF_EP"/>
      <sheetName val="DDM"/>
      <sheetName val="Rel_PE"/>
      <sheetName val="Ratios"/>
      <sheetName val="Leases"/>
      <sheetName val="Share Change"/>
      <sheetName val="ESOP"/>
    </sheetNames>
    <sheetDataSet>
      <sheetData sheetId="0"/>
      <sheetData sheetId="1"/>
      <sheetData sheetId="2"/>
      <sheetData sheetId="3">
        <row r="9">
          <cell r="G9">
            <v>1511</v>
          </cell>
          <cell r="H9">
            <v>1491</v>
          </cell>
          <cell r="I9">
            <v>1400</v>
          </cell>
          <cell r="J9">
            <v>1341</v>
          </cell>
          <cell r="K9">
            <v>1491</v>
          </cell>
          <cell r="L9">
            <v>1455</v>
          </cell>
        </row>
      </sheetData>
      <sheetData sheetId="4"/>
      <sheetData sheetId="5">
        <row r="19">
          <cell r="F19">
            <v>13318</v>
          </cell>
          <cell r="G19">
            <v>13865</v>
          </cell>
          <cell r="H19">
            <v>13385</v>
          </cell>
          <cell r="I19">
            <v>13967</v>
          </cell>
          <cell r="J19">
            <v>13900</v>
          </cell>
          <cell r="K19">
            <v>14882</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ersons/person.xml><?xml version="1.0" encoding="utf-8"?>
<personList xmlns="http://schemas.microsoft.com/office/spreadsheetml/2018/threadedcomments" xmlns:x="http://schemas.openxmlformats.org/spreadsheetml/2006/main">
  <person displayName="Houge, Todd" id="{63CB7976-2219-4519-A8A8-847A630BF026}" userId="S::thouge@uiowa.edu::ab51677d-f663-4a05-8ce5-3399db59e38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1A4F40B-E5F8-4547-88BC-3A580D371F16}" name="Table1" displayName="Table1" ref="AG4:AI14" totalsRowShown="0" headerRowDxfId="2" dataDxfId="1">
  <autoFilter ref="AG4:AI14" xr:uid="{31A4F40B-E5F8-4547-88BC-3A580D371F16}">
    <filterColumn colId="0" hiddenButton="1"/>
    <filterColumn colId="1" hiddenButton="1"/>
    <filterColumn colId="2" hiddenButton="1"/>
  </autoFilter>
  <tableColumns count="3">
    <tableColumn id="1" xr3:uid="{EF17421F-42C5-4CC6-B2C5-DC4138B50F27}" name="Drug" dataDxfId="4"/>
    <tableColumn id="2" xr3:uid="{B4EEE349-A447-4202-A953-EF8C6FA362E7}" name="US Patent Expiration" dataDxfId="3"/>
    <tableColumn id="3" xr3:uid="{885FAB1C-161D-487B-88BF-A17A49AF67EB}" name="2023E Revenue"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48" dT="2021-01-12T17:43:11.01" personId="{63CB7976-2219-4519-A8A8-847A630BF026}" id="{F9714180-F228-4A36-B404-4A221A8B4335}">
    <text>May be estimated by using the average payout ratio, applying a growth rate to the prior year's dividend, or on a per share basis.</text>
  </threadedComment>
  <threadedComment ref="C49" dT="2021-01-12T17:40:24.62" personId="{63CB7976-2219-4519-A8A8-847A630BF026}" id="{44F8742D-73BC-4D31-9BCF-B501CB8782BB}">
    <text>Total dividends paid is subtracted from retained earnings (RE) on the B/S and also listed on the CF statement.</text>
  </threadedComment>
</ThreadedComments>
</file>

<file path=xl/threadedComments/threadedComment2.xml><?xml version="1.0" encoding="utf-8"?>
<ThreadedComments xmlns="http://schemas.microsoft.com/office/spreadsheetml/2018/threadedcomments" xmlns:x="http://schemas.openxmlformats.org/spreadsheetml/2006/main">
  <threadedComment ref="B6" dT="2022-12-19T23:28:59.17" personId="{63CB7976-2219-4519-A8A8-847A630BF026}" id="{2BF4B63B-A630-481B-B9AF-C3E8425A2078}">
    <text>This is the ROIC computed in the last forecast year on the Value Drivers worksheet.</text>
  </threadedComment>
</ThreadedComments>
</file>

<file path=xl/threadedComments/threadedComment3.xml><?xml version="1.0" encoding="utf-8"?>
<ThreadedComments xmlns="http://schemas.microsoft.com/office/spreadsheetml/2018/threadedcomments" xmlns:x="http://schemas.openxmlformats.org/spreadsheetml/2006/main">
  <threadedComment ref="B11" dT="2022-12-19T23:32:12.26" personId="{63CB7976-2219-4519-A8A8-847A630BF026}" id="{D01A3336-D0BE-4142-ABFC-AE66C96B6C9D}">
    <text>This is the ROE computed from the forecast horizon CV year. I suggest linking to the computation on the Ratios worksheet.
ROE = NI / Beginning TSE</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7.bin"/><Relationship Id="rId4" Type="http://schemas.microsoft.com/office/2017/10/relationships/threadedComment" Target="../threadedComments/threadedComment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9.bin"/><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E10E3-D921-4F35-8EFB-CF0B0E75DFEF}">
  <sheetPr>
    <pageSetUpPr fitToPage="1"/>
  </sheetPr>
  <dimension ref="B2:AX43"/>
  <sheetViews>
    <sheetView workbookViewId="0"/>
  </sheetViews>
  <sheetFormatPr defaultColWidth="8.85546875" defaultRowHeight="12.75" x14ac:dyDescent="0.2"/>
  <cols>
    <col min="33" max="33" width="10.28515625" bestFit="1" customWidth="1"/>
    <col min="34" max="34" width="20.5703125" customWidth="1"/>
    <col min="35" max="35" width="15.7109375" customWidth="1"/>
    <col min="45" max="45" width="12.42578125" customWidth="1"/>
    <col min="46" max="46" width="11.42578125" bestFit="1" customWidth="1"/>
  </cols>
  <sheetData>
    <row r="2" spans="2:50" ht="23.25" x14ac:dyDescent="0.35">
      <c r="B2" s="565" t="s">
        <v>690</v>
      </c>
      <c r="C2" s="566"/>
      <c r="D2" s="566"/>
      <c r="E2" s="566"/>
      <c r="F2" s="566"/>
      <c r="G2" s="566"/>
      <c r="AS2" t="s">
        <v>698</v>
      </c>
      <c r="AT2" t="s">
        <v>699</v>
      </c>
      <c r="AU2" t="s">
        <v>700</v>
      </c>
      <c r="AV2" t="s">
        <v>0</v>
      </c>
      <c r="AW2" t="s">
        <v>701</v>
      </c>
      <c r="AX2" t="s">
        <v>702</v>
      </c>
    </row>
    <row r="3" spans="2:50" x14ac:dyDescent="0.2">
      <c r="AT3" s="529">
        <v>44531</v>
      </c>
      <c r="AU3">
        <v>460.62866200000002</v>
      </c>
      <c r="AV3">
        <v>54.710258000000003</v>
      </c>
    </row>
    <row r="4" spans="2:50" x14ac:dyDescent="0.2">
      <c r="AG4" s="571" t="s">
        <v>741</v>
      </c>
      <c r="AH4" s="572" t="s">
        <v>748</v>
      </c>
      <c r="AI4" s="572" t="s">
        <v>749</v>
      </c>
      <c r="AT4" s="529">
        <v>44562</v>
      </c>
      <c r="AU4">
        <v>437.86749300000002</v>
      </c>
      <c r="AV4">
        <v>48.817664999999998</v>
      </c>
      <c r="AW4" s="451">
        <f>(AU4-AU3)/AU3</f>
        <v>-4.9413271204560856E-2</v>
      </c>
      <c r="AX4" s="451">
        <f>(AV4-AV3)/AV3</f>
        <v>-0.10770545077670818</v>
      </c>
    </row>
    <row r="5" spans="2:50" x14ac:dyDescent="0.2">
      <c r="AG5" s="571" t="s">
        <v>742</v>
      </c>
      <c r="AH5" s="571">
        <v>2029</v>
      </c>
      <c r="AI5" s="573">
        <v>11500</v>
      </c>
      <c r="AT5" s="529">
        <v>44593</v>
      </c>
      <c r="AU5">
        <v>424.94293199999998</v>
      </c>
      <c r="AV5">
        <v>43.820914999999999</v>
      </c>
      <c r="AW5" s="451">
        <f t="shared" ref="AW5:AW26" si="0">(AU5-AU4)/AU4</f>
        <v>-2.9517059856279487E-2</v>
      </c>
      <c r="AX5" s="451">
        <f t="shared" ref="AX5:AX26" si="1">(AV5-AV4)/AV4</f>
        <v>-0.10235536664852772</v>
      </c>
    </row>
    <row r="6" spans="2:50" x14ac:dyDescent="0.2">
      <c r="AG6" s="571" t="s">
        <v>73</v>
      </c>
      <c r="AH6" s="571">
        <v>2041</v>
      </c>
      <c r="AI6" s="573">
        <v>1000</v>
      </c>
      <c r="AT6" s="529">
        <v>44621</v>
      </c>
      <c r="AU6">
        <v>439.55120799999997</v>
      </c>
      <c r="AV6">
        <v>48.329974999999997</v>
      </c>
      <c r="AW6" s="451">
        <f t="shared" si="0"/>
        <v>3.4377030184373061E-2</v>
      </c>
      <c r="AX6" s="451">
        <f t="shared" si="1"/>
        <v>0.10289744063993182</v>
      </c>
    </row>
    <row r="7" spans="2:50" x14ac:dyDescent="0.2">
      <c r="AG7" s="571" t="s">
        <v>743</v>
      </c>
      <c r="AH7" s="571">
        <v>2026</v>
      </c>
      <c r="AI7" s="573">
        <v>7250</v>
      </c>
      <c r="AT7" s="529">
        <v>44652</v>
      </c>
      <c r="AU7">
        <v>402.217896</v>
      </c>
      <c r="AV7">
        <v>45.809376</v>
      </c>
      <c r="AW7" s="451">
        <f t="shared" si="0"/>
        <v>-8.4935068589323454E-2</v>
      </c>
      <c r="AX7" s="451">
        <f t="shared" si="1"/>
        <v>-5.2153947938106675E-2</v>
      </c>
    </row>
    <row r="8" spans="2:50" x14ac:dyDescent="0.2">
      <c r="AG8" s="571" t="s">
        <v>744</v>
      </c>
      <c r="AH8" s="571">
        <v>2026</v>
      </c>
      <c r="AI8" s="573">
        <v>5900</v>
      </c>
      <c r="AT8" s="529">
        <v>44682</v>
      </c>
      <c r="AU8">
        <v>403.12579299999999</v>
      </c>
      <c r="AV8">
        <v>49.515579000000002</v>
      </c>
      <c r="AW8" s="451">
        <f t="shared" si="0"/>
        <v>2.2572267644699511E-3</v>
      </c>
      <c r="AX8" s="451">
        <f t="shared" si="1"/>
        <v>8.0904900341799063E-2</v>
      </c>
    </row>
    <row r="9" spans="2:50" x14ac:dyDescent="0.2">
      <c r="AG9" s="571" t="s">
        <v>745</v>
      </c>
      <c r="AH9" s="571">
        <v>2024</v>
      </c>
      <c r="AI9" s="573">
        <v>2900</v>
      </c>
      <c r="AT9" s="529">
        <v>44713</v>
      </c>
      <c r="AU9">
        <v>368.29296900000003</v>
      </c>
      <c r="AV9">
        <v>49.345267999999997</v>
      </c>
      <c r="AW9" s="451">
        <f t="shared" si="0"/>
        <v>-8.6406835297685752E-2</v>
      </c>
      <c r="AX9" s="451">
        <f t="shared" si="1"/>
        <v>-3.439543744404265E-3</v>
      </c>
    </row>
    <row r="10" spans="2:50" x14ac:dyDescent="0.2">
      <c r="AG10" s="574" t="s">
        <v>728</v>
      </c>
      <c r="AH10" s="571">
        <v>2028</v>
      </c>
      <c r="AI10" s="573">
        <v>830</v>
      </c>
      <c r="AT10" s="529">
        <v>44743</v>
      </c>
      <c r="AU10">
        <v>403.94552599999997</v>
      </c>
      <c r="AV10">
        <v>47.538231000000003</v>
      </c>
      <c r="AW10" s="451">
        <f t="shared" si="0"/>
        <v>9.6804880899043017E-2</v>
      </c>
      <c r="AX10" s="451">
        <f t="shared" si="1"/>
        <v>-3.6620269242432613E-2</v>
      </c>
    </row>
    <row r="11" spans="2:50" x14ac:dyDescent="0.2">
      <c r="AA11" s="452"/>
      <c r="AB11" s="452"/>
      <c r="AC11" s="452"/>
      <c r="AD11" s="452"/>
      <c r="AE11" s="452"/>
      <c r="AF11" s="452"/>
      <c r="AG11" s="571" t="s">
        <v>89</v>
      </c>
      <c r="AH11" s="571">
        <v>2032</v>
      </c>
      <c r="AI11" s="573">
        <v>950</v>
      </c>
      <c r="AT11" s="529">
        <v>44774</v>
      </c>
      <c r="AU11">
        <v>387.46374500000002</v>
      </c>
      <c r="AV11">
        <v>42.899197000000001</v>
      </c>
      <c r="AW11" s="451">
        <f t="shared" si="0"/>
        <v>-4.0801989226636359E-2</v>
      </c>
      <c r="AX11" s="451">
        <f t="shared" si="1"/>
        <v>-9.7585330846661128E-2</v>
      </c>
    </row>
    <row r="12" spans="2:50" x14ac:dyDescent="0.2">
      <c r="AG12" s="571" t="s">
        <v>104</v>
      </c>
      <c r="AH12" s="571">
        <v>2027</v>
      </c>
      <c r="AI12" s="573">
        <v>4900</v>
      </c>
      <c r="AT12" s="529">
        <v>44805</v>
      </c>
      <c r="AU12">
        <v>350.20575000000002</v>
      </c>
      <c r="AV12">
        <v>41.504947999999999</v>
      </c>
      <c r="AW12" s="451">
        <f t="shared" si="0"/>
        <v>-9.6158661244550747E-2</v>
      </c>
      <c r="AX12" s="451">
        <f t="shared" si="1"/>
        <v>-3.2500585034260711E-2</v>
      </c>
    </row>
    <row r="13" spans="2:50" x14ac:dyDescent="0.2">
      <c r="AG13" s="571" t="s">
        <v>746</v>
      </c>
      <c r="AH13" s="571">
        <v>2027</v>
      </c>
      <c r="AI13" s="573">
        <v>1175</v>
      </c>
      <c r="AT13" s="529">
        <v>44835</v>
      </c>
      <c r="AU13">
        <v>380.22439600000001</v>
      </c>
      <c r="AV13">
        <v>44.151169000000003</v>
      </c>
      <c r="AW13" s="451">
        <f t="shared" si="0"/>
        <v>8.5717170549027222E-2</v>
      </c>
      <c r="AX13" s="451">
        <f t="shared" si="1"/>
        <v>6.3756759796446544E-2</v>
      </c>
    </row>
    <row r="14" spans="2:50" x14ac:dyDescent="0.2">
      <c r="AG14" s="571" t="s">
        <v>747</v>
      </c>
      <c r="AH14" s="571">
        <v>2025</v>
      </c>
      <c r="AI14" s="573">
        <v>1075</v>
      </c>
      <c r="AT14" s="529">
        <v>44866</v>
      </c>
      <c r="AU14">
        <v>401.36166400000002</v>
      </c>
      <c r="AV14">
        <v>47.546688000000003</v>
      </c>
      <c r="AW14" s="451">
        <f t="shared" si="0"/>
        <v>5.5591561778692407E-2</v>
      </c>
      <c r="AX14" s="451">
        <f t="shared" si="1"/>
        <v>7.6906661293611497E-2</v>
      </c>
    </row>
    <row r="15" spans="2:50" x14ac:dyDescent="0.2">
      <c r="AT15" s="529">
        <v>44896</v>
      </c>
      <c r="AU15">
        <v>376.50302099999999</v>
      </c>
      <c r="AV15">
        <v>49.016022</v>
      </c>
      <c r="AW15" s="451">
        <f t="shared" si="0"/>
        <v>-6.1935768235204518E-2</v>
      </c>
      <c r="AX15" s="451">
        <f t="shared" si="1"/>
        <v>3.0902972673932542E-2</v>
      </c>
    </row>
    <row r="16" spans="2:50" x14ac:dyDescent="0.2">
      <c r="AT16" s="529">
        <v>44927</v>
      </c>
      <c r="AU16">
        <v>402.017944</v>
      </c>
      <c r="AV16">
        <v>42.243316999999998</v>
      </c>
      <c r="AW16" s="451">
        <f t="shared" si="0"/>
        <v>6.7768176022152057E-2</v>
      </c>
      <c r="AX16" s="451">
        <f t="shared" si="1"/>
        <v>-0.13817328954193797</v>
      </c>
    </row>
    <row r="17" spans="35:50" x14ac:dyDescent="0.2">
      <c r="AT17" s="529">
        <v>44958</v>
      </c>
      <c r="AU17">
        <v>391.91012599999999</v>
      </c>
      <c r="AV17">
        <v>39.165421000000002</v>
      </c>
      <c r="AW17" s="451">
        <f t="shared" si="0"/>
        <v>-2.5142703580415329E-2</v>
      </c>
      <c r="AX17" s="451">
        <f t="shared" si="1"/>
        <v>-7.2861134460629487E-2</v>
      </c>
    </row>
    <row r="18" spans="35:50" x14ac:dyDescent="0.2">
      <c r="AT18" s="529">
        <v>44986</v>
      </c>
      <c r="AU18">
        <v>404.89596599999999</v>
      </c>
      <c r="AV18">
        <v>39.387459</v>
      </c>
      <c r="AW18" s="451">
        <f t="shared" si="0"/>
        <v>3.3134739672431933E-2</v>
      </c>
      <c r="AX18" s="451">
        <f t="shared" si="1"/>
        <v>5.6692356249661586E-3</v>
      </c>
    </row>
    <row r="19" spans="35:50" x14ac:dyDescent="0.2">
      <c r="AT19" s="529">
        <v>45017</v>
      </c>
      <c r="AU19">
        <v>412.93414300000001</v>
      </c>
      <c r="AV19">
        <v>37.543587000000002</v>
      </c>
      <c r="AW19" s="451">
        <f t="shared" si="0"/>
        <v>1.9852450197046467E-2</v>
      </c>
      <c r="AX19" s="451">
        <f t="shared" si="1"/>
        <v>-4.681368249726385E-2</v>
      </c>
    </row>
    <row r="20" spans="35:50" x14ac:dyDescent="0.2">
      <c r="AT20" s="529">
        <v>45047</v>
      </c>
      <c r="AU20">
        <v>414.84033199999999</v>
      </c>
      <c r="AV20">
        <v>36.703709000000003</v>
      </c>
      <c r="AW20" s="451">
        <f t="shared" si="0"/>
        <v>4.6162058340619792E-3</v>
      </c>
      <c r="AX20" s="451">
        <f t="shared" si="1"/>
        <v>-2.2370744702683808E-2</v>
      </c>
    </row>
    <row r="21" spans="35:50" x14ac:dyDescent="0.2">
      <c r="AT21" s="529">
        <v>45078</v>
      </c>
      <c r="AU21">
        <v>440.08715799999999</v>
      </c>
      <c r="AV21">
        <v>35.793261999999999</v>
      </c>
      <c r="AW21" s="451">
        <f t="shared" si="0"/>
        <v>6.0859140378857854E-2</v>
      </c>
      <c r="AX21" s="451">
        <f t="shared" si="1"/>
        <v>-2.4805313272290949E-2</v>
      </c>
    </row>
    <row r="22" spans="35:50" x14ac:dyDescent="0.2">
      <c r="AT22" s="529">
        <v>45108</v>
      </c>
      <c r="AU22">
        <v>456.18090799999999</v>
      </c>
      <c r="AV22">
        <v>35.188251000000001</v>
      </c>
      <c r="AW22" s="451">
        <f t="shared" si="0"/>
        <v>3.6569460633977417E-2</v>
      </c>
      <c r="AX22" s="451">
        <f t="shared" si="1"/>
        <v>-1.6902929942512575E-2</v>
      </c>
    </row>
    <row r="23" spans="35:50" x14ac:dyDescent="0.2">
      <c r="AI23" s="570"/>
      <c r="AT23" s="529">
        <v>45139</v>
      </c>
      <c r="AU23">
        <v>448.76705900000002</v>
      </c>
      <c r="AV23">
        <v>34.90934</v>
      </c>
      <c r="AW23" s="451">
        <f t="shared" si="0"/>
        <v>-1.6251993167587738E-2</v>
      </c>
      <c r="AX23" s="451">
        <f t="shared" si="1"/>
        <v>-7.9262535668510724E-3</v>
      </c>
    </row>
    <row r="24" spans="35:50" x14ac:dyDescent="0.2">
      <c r="AT24" s="529">
        <v>45170</v>
      </c>
      <c r="AU24">
        <v>425.97744799999998</v>
      </c>
      <c r="AV24">
        <v>32.728737000000002</v>
      </c>
      <c r="AW24" s="451">
        <f t="shared" si="0"/>
        <v>-5.0782717989111666E-2</v>
      </c>
      <c r="AX24" s="451">
        <f t="shared" si="1"/>
        <v>-6.2464744392188389E-2</v>
      </c>
    </row>
    <row r="25" spans="35:50" x14ac:dyDescent="0.2">
      <c r="AT25" s="529">
        <v>45200</v>
      </c>
      <c r="AU25">
        <v>418.20001200000002</v>
      </c>
      <c r="AV25">
        <v>30.153458000000001</v>
      </c>
      <c r="AW25" s="451">
        <f t="shared" si="0"/>
        <v>-1.825785857095413E-2</v>
      </c>
      <c r="AX25" s="451">
        <f t="shared" si="1"/>
        <v>-7.868556003245715E-2</v>
      </c>
    </row>
    <row r="26" spans="35:50" x14ac:dyDescent="0.2">
      <c r="AT26" s="529">
        <v>45231</v>
      </c>
      <c r="AU26">
        <v>440.60998499999999</v>
      </c>
      <c r="AV26">
        <v>29.087826</v>
      </c>
      <c r="AW26" s="451">
        <f t="shared" si="0"/>
        <v>5.3586734473838271E-2</v>
      </c>
      <c r="AX26" s="451">
        <f t="shared" si="1"/>
        <v>-3.5340291650795101E-2</v>
      </c>
    </row>
    <row r="27" spans="35:50" x14ac:dyDescent="0.2">
      <c r="AT27" s="528"/>
    </row>
    <row r="43" spans="2:7" ht="23.25" x14ac:dyDescent="0.35">
      <c r="B43" s="565" t="s">
        <v>691</v>
      </c>
      <c r="C43" s="566"/>
      <c r="D43" s="566"/>
      <c r="E43" s="566"/>
      <c r="F43" s="566"/>
      <c r="G43" s="566"/>
    </row>
  </sheetData>
  <mergeCells count="2">
    <mergeCell ref="B2:G2"/>
    <mergeCell ref="B43:G43"/>
  </mergeCells>
  <pageMargins left="0.7" right="0.7" top="0.75" bottom="0.75" header="0.3" footer="0.3"/>
  <pageSetup scale="20"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G92"/>
  <sheetViews>
    <sheetView workbookViewId="0"/>
  </sheetViews>
  <sheetFormatPr defaultColWidth="9.140625" defaultRowHeight="15" x14ac:dyDescent="0.25"/>
  <cols>
    <col min="1" max="1" width="25.85546875" style="2" customWidth="1"/>
    <col min="2" max="2" width="11.7109375" style="18" bestFit="1" customWidth="1"/>
    <col min="3" max="8" width="11.7109375" style="2" bestFit="1" customWidth="1"/>
    <col min="9" max="12" width="9.140625" style="2" bestFit="1" customWidth="1"/>
    <col min="13" max="13" width="10" style="2" customWidth="1"/>
    <col min="14" max="14" width="11.140625" style="2" bestFit="1" customWidth="1"/>
    <col min="15" max="15" width="9.140625" style="2"/>
    <col min="16" max="16" width="8.5703125" style="2" bestFit="1" customWidth="1"/>
    <col min="17" max="17" width="10.140625" style="2" bestFit="1" customWidth="1"/>
    <col min="18" max="18" width="9.28515625" style="2" customWidth="1"/>
    <col min="19" max="19" width="9.7109375" style="2" customWidth="1"/>
    <col min="20" max="20" width="9.28515625" style="2" customWidth="1"/>
    <col min="21" max="21" width="9.85546875" style="2" customWidth="1"/>
    <col min="22" max="22" width="10" style="2" customWidth="1"/>
    <col min="23" max="23" width="9.28515625" style="2" customWidth="1"/>
    <col min="24" max="25" width="9.140625" style="2"/>
    <col min="26" max="33" width="9.140625" style="2" bestFit="1" customWidth="1"/>
    <col min="34" max="16384" width="9.140625" style="2"/>
  </cols>
  <sheetData>
    <row r="1" spans="1:33" x14ac:dyDescent="0.25">
      <c r="A1" s="59" t="s">
        <v>0</v>
      </c>
      <c r="O1" s="1" t="str">
        <f>A1</f>
        <v>Pfizer</v>
      </c>
    </row>
    <row r="2" spans="1:33" x14ac:dyDescent="0.25">
      <c r="A2" s="3" t="s">
        <v>1</v>
      </c>
      <c r="O2" s="3" t="s">
        <v>2</v>
      </c>
    </row>
    <row r="3" spans="1:33" x14ac:dyDescent="0.25">
      <c r="D3" s="1" t="s">
        <v>722</v>
      </c>
    </row>
    <row r="4" spans="1:33" ht="15.75" thickBot="1" x14ac:dyDescent="0.3">
      <c r="A4" s="2" t="s">
        <v>3</v>
      </c>
      <c r="B4" s="18" t="s">
        <v>4</v>
      </c>
      <c r="D4" s="546">
        <f>(P5-B5)/B5</f>
        <v>0.133800393472916</v>
      </c>
      <c r="Q4" s="568" t="s">
        <v>15</v>
      </c>
      <c r="R4" s="568"/>
      <c r="S4" s="568"/>
      <c r="T4" s="568"/>
      <c r="U4" s="568"/>
      <c r="V4" s="568"/>
      <c r="W4" s="568"/>
      <c r="AA4" s="568" t="s">
        <v>403</v>
      </c>
      <c r="AB4" s="568"/>
      <c r="AC4" s="568"/>
      <c r="AD4" s="568"/>
      <c r="AE4" s="568"/>
      <c r="AF4" s="568"/>
      <c r="AG4" s="568"/>
    </row>
    <row r="5" spans="1:33" x14ac:dyDescent="0.25">
      <c r="A5" s="2" t="s">
        <v>5</v>
      </c>
      <c r="B5" s="77">
        <v>29.48</v>
      </c>
      <c r="P5" s="557">
        <f>DCF_EP!B43</f>
        <v>33.424435599581564</v>
      </c>
      <c r="Q5" s="276">
        <v>1.7500000000000002E-2</v>
      </c>
      <c r="R5" s="277">
        <v>0.02</v>
      </c>
      <c r="S5" s="277">
        <v>2.2499999999999999E-2</v>
      </c>
      <c r="T5" s="277">
        <v>2.5000000000000001E-2</v>
      </c>
      <c r="U5" s="277">
        <v>2.75E-2</v>
      </c>
      <c r="V5" s="277">
        <v>0.03</v>
      </c>
      <c r="W5" s="278">
        <v>3.2500000000000001E-2</v>
      </c>
      <c r="Z5" s="558">
        <f>DCF_EP!$B$43</f>
        <v>33.424435599581564</v>
      </c>
      <c r="AA5" s="523">
        <v>0.19</v>
      </c>
      <c r="AB5" s="523">
        <v>0.2</v>
      </c>
      <c r="AC5" s="523">
        <v>0.21</v>
      </c>
      <c r="AD5" s="523">
        <v>0.22</v>
      </c>
      <c r="AE5" s="523">
        <v>0.23</v>
      </c>
      <c r="AF5" s="523">
        <v>0.24</v>
      </c>
      <c r="AG5" s="524">
        <v>0.25</v>
      </c>
    </row>
    <row r="6" spans="1:33" ht="15" customHeight="1" x14ac:dyDescent="0.25">
      <c r="A6" s="2" t="s">
        <v>6</v>
      </c>
      <c r="B6" s="78">
        <v>45240</v>
      </c>
      <c r="O6" s="569" t="s">
        <v>21</v>
      </c>
      <c r="P6" s="279">
        <v>6.0999999999999999E-2</v>
      </c>
      <c r="Q6" s="547">
        <f t="dataTable" ref="Q6:W12" dt2D="1" dtr="1" r1="B14" r2="B20"/>
        <v>34.828117534996693</v>
      </c>
      <c r="R6" s="548">
        <v>35.994806593543991</v>
      </c>
      <c r="S6" s="548">
        <v>37.313013711642903</v>
      </c>
      <c r="T6" s="548">
        <v>38.814305151700012</v>
      </c>
      <c r="U6" s="548">
        <v>40.539669941019355</v>
      </c>
      <c r="V6" s="548">
        <v>42.543319373777294</v>
      </c>
      <c r="W6" s="549">
        <v>44.898486250878754</v>
      </c>
      <c r="Y6" s="569" t="s">
        <v>531</v>
      </c>
      <c r="Z6" s="290">
        <v>4.2299999999999997E-2</v>
      </c>
      <c r="AA6" s="115">
        <f t="dataTable" ref="AA6:AG12" dt2D="1" dtr="1" r1="B17" r2="B12" ca="1"/>
        <v>36.216207607056383</v>
      </c>
      <c r="AB6" s="115">
        <v>35.77357352800653</v>
      </c>
      <c r="AC6" s="115">
        <v>35.323739521923834</v>
      </c>
      <c r="AD6" s="115">
        <v>34.866569961118323</v>
      </c>
      <c r="AE6" s="115">
        <v>34.401926187748614</v>
      </c>
      <c r="AF6" s="115">
        <v>33.929666432570102</v>
      </c>
      <c r="AG6" s="143">
        <v>33.627168503912102</v>
      </c>
    </row>
    <row r="7" spans="1:33" x14ac:dyDescent="0.25">
      <c r="A7" s="2" t="s">
        <v>7</v>
      </c>
      <c r="B7" s="149" t="s">
        <v>8</v>
      </c>
      <c r="O7" s="569"/>
      <c r="P7" s="279">
        <v>6.3E-2</v>
      </c>
      <c r="Q7" s="550">
        <v>33.27582049723042</v>
      </c>
      <c r="R7" s="551">
        <v>34.30958038462952</v>
      </c>
      <c r="S7" s="551">
        <v>35.470964949485307</v>
      </c>
      <c r="T7" s="551">
        <v>36.785163272874748</v>
      </c>
      <c r="U7" s="551">
        <v>38.284459951671153</v>
      </c>
      <c r="V7" s="551">
        <v>40.010922793921559</v>
      </c>
      <c r="W7" s="552">
        <v>42.020412331622865</v>
      </c>
      <c r="Y7" s="569"/>
      <c r="Z7" s="279">
        <v>4.4299999999999999E-2</v>
      </c>
      <c r="AA7" s="142">
        <v>35.717039619036761</v>
      </c>
      <c r="AB7" s="115">
        <v>35.275915240661234</v>
      </c>
      <c r="AC7" s="115">
        <v>34.827555518007195</v>
      </c>
      <c r="AD7" s="115">
        <v>34.371824095675045</v>
      </c>
      <c r="AE7" s="115">
        <v>33.908581589118434</v>
      </c>
      <c r="AF7" s="115">
        <v>33.437685504235169</v>
      </c>
      <c r="AG7" s="143">
        <v>33.142063248440628</v>
      </c>
    </row>
    <row r="8" spans="1:33" x14ac:dyDescent="0.25">
      <c r="A8" s="2" t="s">
        <v>9</v>
      </c>
      <c r="B8" s="78">
        <v>44926</v>
      </c>
      <c r="O8" s="569"/>
      <c r="P8" s="279">
        <v>6.5000000000000002E-2</v>
      </c>
      <c r="Q8" s="550">
        <v>31.850186917095645</v>
      </c>
      <c r="R8" s="551">
        <v>32.769732994369242</v>
      </c>
      <c r="S8" s="551">
        <v>33.797460963086785</v>
      </c>
      <c r="T8" s="551">
        <v>34.953654927894014</v>
      </c>
      <c r="U8" s="551">
        <v>36.264008088008886</v>
      </c>
      <c r="V8" s="551">
        <v>37.761554556711594</v>
      </c>
      <c r="W8" s="552">
        <v>39.489492789830109</v>
      </c>
      <c r="Y8" s="569"/>
      <c r="Z8" s="279">
        <v>4.6300000000000001E-2</v>
      </c>
      <c r="AA8" s="142">
        <v>35.231962338044042</v>
      </c>
      <c r="AB8" s="115">
        <v>34.792396823940585</v>
      </c>
      <c r="AC8" s="115">
        <v>34.345562824951934</v>
      </c>
      <c r="AD8" s="115">
        <v>33.891323233223538</v>
      </c>
      <c r="AE8" s="115">
        <v>33.429537910196913</v>
      </c>
      <c r="AF8" s="115">
        <v>32.960063606918148</v>
      </c>
      <c r="AG8" s="143">
        <v>32.671244834606696</v>
      </c>
    </row>
    <row r="9" spans="1:33" x14ac:dyDescent="0.25">
      <c r="A9" s="2" t="s">
        <v>10</v>
      </c>
      <c r="B9" s="78">
        <v>45291</v>
      </c>
      <c r="O9" s="569"/>
      <c r="P9" s="279">
        <v>6.6699999999999995E-2</v>
      </c>
      <c r="Q9" s="550">
        <v>30.726495389749552</v>
      </c>
      <c r="R9" s="551">
        <v>31.561264929078252</v>
      </c>
      <c r="S9" s="551">
        <v>32.490465411769918</v>
      </c>
      <c r="T9" s="556">
        <v>33.531080820443812</v>
      </c>
      <c r="U9" s="551">
        <v>34.704427786346521</v>
      </c>
      <c r="V9" s="551">
        <v>36.037631287113342</v>
      </c>
      <c r="W9" s="552">
        <v>37.565747580389953</v>
      </c>
      <c r="X9" s="115"/>
      <c r="Y9" s="569"/>
      <c r="Z9" s="279">
        <v>4.8300000000000003E-2</v>
      </c>
      <c r="AA9" s="142">
        <v>34.760360180291606</v>
      </c>
      <c r="AB9" s="115">
        <v>34.322397439113821</v>
      </c>
      <c r="AC9" s="115">
        <v>33.87713520708494</v>
      </c>
      <c r="AD9" s="115">
        <v>33.424435599581564</v>
      </c>
      <c r="AE9" s="115">
        <v>32.964157697216187</v>
      </c>
      <c r="AF9" s="115">
        <v>32.496157466741728</v>
      </c>
      <c r="AG9" s="143">
        <v>32.214068382241457</v>
      </c>
    </row>
    <row r="10" spans="1:33" x14ac:dyDescent="0.25">
      <c r="A10" s="2" t="s">
        <v>11</v>
      </c>
      <c r="B10" s="79">
        <v>5.9700000000000003E-2</v>
      </c>
      <c r="O10" s="569"/>
      <c r="P10" s="279">
        <v>6.9000000000000006E-2</v>
      </c>
      <c r="Q10" s="550">
        <v>29.320114785346192</v>
      </c>
      <c r="R10" s="551">
        <v>30.055220481929705</v>
      </c>
      <c r="S10" s="551">
        <v>30.869369801801771</v>
      </c>
      <c r="T10" s="551">
        <v>31.776036089841099</v>
      </c>
      <c r="U10" s="551">
        <v>32.791939280053853</v>
      </c>
      <c r="V10" s="551">
        <v>33.938086469011829</v>
      </c>
      <c r="W10" s="552">
        <v>35.241240122210634</v>
      </c>
      <c r="Y10" s="569"/>
      <c r="Z10" s="279">
        <v>5.0299999999999997E-2</v>
      </c>
      <c r="AA10" s="142">
        <v>34.301653177243708</v>
      </c>
      <c r="AB10" s="115">
        <v>33.865332321908575</v>
      </c>
      <c r="AC10" s="115">
        <v>33.421682974524948</v>
      </c>
      <c r="AD10" s="115">
        <v>32.97056644995039</v>
      </c>
      <c r="AE10" s="115">
        <v>32.511841021774259</v>
      </c>
      <c r="AF10" s="115">
        <v>32.045361843701549</v>
      </c>
      <c r="AG10" s="143">
        <v>31.769927330806851</v>
      </c>
    </row>
    <row r="11" spans="1:33" x14ac:dyDescent="0.25">
      <c r="A11" s="2" t="s">
        <v>12</v>
      </c>
      <c r="B11" s="256">
        <f>AVERAGE(0.52,0.54,0.59)</f>
        <v>0.54999999999999993</v>
      </c>
      <c r="O11" s="569"/>
      <c r="P11" s="279">
        <v>7.0999999999999994E-2</v>
      </c>
      <c r="Q11" s="550">
        <v>28.19177095651099</v>
      </c>
      <c r="R11" s="551">
        <v>28.85203185958974</v>
      </c>
      <c r="S11" s="551">
        <v>29.5803608970065</v>
      </c>
      <c r="T11" s="551">
        <v>30.387856134142488</v>
      </c>
      <c r="U11" s="551">
        <v>31.288166915776848</v>
      </c>
      <c r="V11" s="551">
        <v>32.298271695171508</v>
      </c>
      <c r="W11" s="552">
        <v>33.439558913448579</v>
      </c>
      <c r="Y11" s="569"/>
      <c r="Z11" s="279">
        <v>5.2299999999999999E-2</v>
      </c>
      <c r="AA11" s="142">
        <v>33.85529443333315</v>
      </c>
      <c r="AB11" s="115">
        <v>33.420650196854176</v>
      </c>
      <c r="AC11" s="115">
        <v>32.978650352907692</v>
      </c>
      <c r="AD11" s="115">
        <v>32.529155392751456</v>
      </c>
      <c r="AE11" s="115">
        <v>32.072022757486586</v>
      </c>
      <c r="AF11" s="115">
        <v>31.607106759808474</v>
      </c>
      <c r="AG11" s="143">
        <v>31.338250634660263</v>
      </c>
    </row>
    <row r="12" spans="1:33" ht="15.75" thickBot="1" x14ac:dyDescent="0.3">
      <c r="A12" s="2" t="s">
        <v>13</v>
      </c>
      <c r="B12" s="79">
        <v>4.8300000000000003E-2</v>
      </c>
      <c r="O12" s="569"/>
      <c r="P12" s="280">
        <v>7.2999999999999995E-2</v>
      </c>
      <c r="Q12" s="553">
        <v>27.14148837263658</v>
      </c>
      <c r="R12" s="554">
        <v>27.73612549786889</v>
      </c>
      <c r="S12" s="554">
        <v>28.38963758599548</v>
      </c>
      <c r="T12" s="554">
        <v>29.111223849968603</v>
      </c>
      <c r="U12" s="554">
        <v>29.912105307784916</v>
      </c>
      <c r="V12" s="554">
        <v>30.806112516510108</v>
      </c>
      <c r="W12" s="555">
        <v>31.810490985571739</v>
      </c>
      <c r="Y12" s="569"/>
      <c r="Z12" s="280">
        <v>5.4300000000000001E-2</v>
      </c>
      <c r="AA12" s="144">
        <v>33.420767798420606</v>
      </c>
      <c r="AB12" s="145">
        <v>32.987830910912109</v>
      </c>
      <c r="AC12" s="145">
        <v>32.547513077087352</v>
      </c>
      <c r="AD12" s="145">
        <v>32.099673942276809</v>
      </c>
      <c r="AE12" s="145">
        <v>31.644170090442056</v>
      </c>
      <c r="AF12" s="145">
        <v>31.180854966183393</v>
      </c>
      <c r="AG12" s="146">
        <v>30.91850020111184</v>
      </c>
    </row>
    <row r="13" spans="1:33" x14ac:dyDescent="0.25">
      <c r="A13" s="2" t="s">
        <v>14</v>
      </c>
      <c r="B13" s="79">
        <f>(0.0984-B12)</f>
        <v>5.0099999999999999E-2</v>
      </c>
      <c r="P13" s="115"/>
      <c r="Q13" s="115"/>
      <c r="R13" s="115"/>
      <c r="S13" s="115"/>
      <c r="T13" s="115"/>
      <c r="U13" s="115"/>
      <c r="V13" s="115"/>
      <c r="W13" s="115"/>
      <c r="Z13" s="115"/>
      <c r="AA13" s="115"/>
      <c r="AB13" s="115"/>
      <c r="AC13" s="115"/>
      <c r="AD13" s="115"/>
      <c r="AE13" s="115"/>
      <c r="AF13" s="115"/>
      <c r="AG13" s="115"/>
    </row>
    <row r="14" spans="1:33" x14ac:dyDescent="0.25">
      <c r="A14" s="2" t="s">
        <v>15</v>
      </c>
      <c r="B14" s="79">
        <v>2.5000000000000001E-2</v>
      </c>
      <c r="P14" s="115"/>
      <c r="Q14" s="115"/>
      <c r="R14" s="115"/>
      <c r="S14" s="115"/>
      <c r="T14" s="115"/>
      <c r="U14" s="115"/>
      <c r="V14" s="115"/>
      <c r="W14" s="115"/>
      <c r="Z14" s="115"/>
      <c r="AA14" s="115"/>
      <c r="AB14" s="115"/>
      <c r="AC14" s="115"/>
      <c r="AD14" s="115"/>
      <c r="AE14" s="115"/>
      <c r="AF14" s="115"/>
      <c r="AG14" s="115"/>
    </row>
    <row r="15" spans="1:33" ht="15.75" thickBot="1" x14ac:dyDescent="0.3">
      <c r="A15" s="2" t="s">
        <v>16</v>
      </c>
      <c r="B15" s="79">
        <v>2.5000000000000001E-2</v>
      </c>
      <c r="Q15" s="568" t="s">
        <v>14</v>
      </c>
      <c r="R15" s="568"/>
      <c r="S15" s="568"/>
      <c r="T15" s="568"/>
      <c r="U15" s="568"/>
      <c r="V15" s="568"/>
      <c r="W15" s="568"/>
      <c r="AA15" s="568" t="s">
        <v>20</v>
      </c>
      <c r="AB15" s="568"/>
      <c r="AC15" s="568"/>
      <c r="AD15" s="568"/>
      <c r="AE15" s="568"/>
      <c r="AF15" s="568"/>
      <c r="AG15" s="568"/>
    </row>
    <row r="16" spans="1:33" x14ac:dyDescent="0.25">
      <c r="A16" s="2" t="s">
        <v>17</v>
      </c>
      <c r="B16" s="79">
        <v>5.5599999999999997E-2</v>
      </c>
      <c r="P16" s="557">
        <f>DCF_EP!B43</f>
        <v>33.424435599581564</v>
      </c>
      <c r="Q16" s="276">
        <v>4.3999999999999997E-2</v>
      </c>
      <c r="R16" s="277">
        <v>4.5999999999999999E-2</v>
      </c>
      <c r="S16" s="277">
        <v>4.8000000000000001E-2</v>
      </c>
      <c r="T16" s="277">
        <v>5.0099999999999999E-2</v>
      </c>
      <c r="U16" s="277">
        <v>5.1999999999999998E-2</v>
      </c>
      <c r="V16" s="277">
        <v>5.3999999999999999E-2</v>
      </c>
      <c r="W16" s="278">
        <v>5.6000000000000001E-2</v>
      </c>
      <c r="Z16" s="558">
        <f>DCF_EP!$B$43</f>
        <v>33.424435599581564</v>
      </c>
      <c r="AA16" s="277">
        <v>6.0900000000000003E-2</v>
      </c>
      <c r="AB16" s="277">
        <v>6.59E-2</v>
      </c>
      <c r="AC16" s="277">
        <v>7.0900000000000005E-2</v>
      </c>
      <c r="AD16" s="284">
        <v>7.5899999999999995E-2</v>
      </c>
      <c r="AE16" s="277">
        <v>8.09E-2</v>
      </c>
      <c r="AF16" s="277">
        <v>8.5900000000000004E-2</v>
      </c>
      <c r="AG16" s="278">
        <v>9.0899999999999995E-2</v>
      </c>
    </row>
    <row r="17" spans="1:33" x14ac:dyDescent="0.25">
      <c r="A17" s="2" t="s">
        <v>18</v>
      </c>
      <c r="B17" s="79">
        <v>0.22</v>
      </c>
      <c r="O17" s="569" t="s">
        <v>12</v>
      </c>
      <c r="P17" s="116">
        <v>0.45</v>
      </c>
      <c r="Q17" s="139">
        <f t="dataTable" ref="Q17:W23" dt2D="1" dtr="1" r1="B13" r2="B11" ca="1"/>
        <v>38.071002735268429</v>
      </c>
      <c r="R17" s="140">
        <v>37.464863888456868</v>
      </c>
      <c r="S17" s="140">
        <v>36.878203887385979</v>
      </c>
      <c r="T17" s="140">
        <v>36.282138609557634</v>
      </c>
      <c r="U17" s="140">
        <v>35.759589262883047</v>
      </c>
      <c r="V17" s="140">
        <v>35.225915811575824</v>
      </c>
      <c r="W17" s="141">
        <v>34.708274457277042</v>
      </c>
      <c r="Y17" s="569" t="s">
        <v>11</v>
      </c>
      <c r="Z17" s="279">
        <v>4.4699999999999997E-2</v>
      </c>
      <c r="AA17" s="139">
        <f t="dataTable" ref="AA17:AG23" dt2D="1" dtr="1" r1="B19" r2="B10" ca="1"/>
        <v>35.848357331390908</v>
      </c>
      <c r="AB17" s="140">
        <v>36.001382161676624</v>
      </c>
      <c r="AC17" s="140">
        <v>36.1543052595609</v>
      </c>
      <c r="AD17" s="140">
        <v>36.307127106677051</v>
      </c>
      <c r="AE17" s="140">
        <v>36.459848182135296</v>
      </c>
      <c r="AF17" s="140">
        <v>36.612468962475738</v>
      </c>
      <c r="AG17" s="141">
        <v>36.764989921625272</v>
      </c>
    </row>
    <row r="18" spans="1:33" x14ac:dyDescent="0.25">
      <c r="A18" s="2" t="s">
        <v>19</v>
      </c>
      <c r="B18" s="79">
        <v>0.25</v>
      </c>
      <c r="O18" s="569"/>
      <c r="P18" s="117">
        <v>0.48</v>
      </c>
      <c r="Q18" s="142">
        <v>37.188724332616772</v>
      </c>
      <c r="R18" s="115">
        <v>36.572953427855097</v>
      </c>
      <c r="S18" s="115">
        <v>35.977720659507753</v>
      </c>
      <c r="T18" s="115">
        <v>35.373695708965499</v>
      </c>
      <c r="U18" s="115">
        <v>34.844786759727903</v>
      </c>
      <c r="V18" s="115">
        <v>34.305210809649097</v>
      </c>
      <c r="W18" s="143">
        <v>33.782412659242425</v>
      </c>
      <c r="Y18" s="569"/>
      <c r="Z18" s="279">
        <v>4.9700000000000001E-2</v>
      </c>
      <c r="AA18" s="142">
        <v>34.859772051724157</v>
      </c>
      <c r="AB18" s="115">
        <v>35.008580970667197</v>
      </c>
      <c r="AC18" s="115">
        <v>35.157290903870006</v>
      </c>
      <c r="AD18" s="115">
        <v>35.3059023212749</v>
      </c>
      <c r="AE18" s="115">
        <v>35.454415690317809</v>
      </c>
      <c r="AF18" s="115">
        <v>35.602831475884408</v>
      </c>
      <c r="AG18" s="143">
        <v>35.751150140270376</v>
      </c>
    </row>
    <row r="19" spans="1:33" x14ac:dyDescent="0.25">
      <c r="A19" s="2" t="s">
        <v>20</v>
      </c>
      <c r="B19" s="79">
        <f>WACC!C10</f>
        <v>7.5855000000000006E-2</v>
      </c>
      <c r="O19" s="569"/>
      <c r="P19" s="117">
        <v>0.51</v>
      </c>
      <c r="Q19" s="142">
        <v>36.34739164538054</v>
      </c>
      <c r="R19" s="115">
        <v>35.723496884683392</v>
      </c>
      <c r="S19" s="115">
        <v>35.121129071124543</v>
      </c>
      <c r="T19" s="115">
        <v>34.510580193382445</v>
      </c>
      <c r="U19" s="115">
        <v>33.976547338903977</v>
      </c>
      <c r="V19" s="115">
        <v>33.432306698475031</v>
      </c>
      <c r="W19" s="143">
        <v>32.90552716435063</v>
      </c>
      <c r="Y19" s="569"/>
      <c r="Z19" s="279">
        <v>5.4699999999999999E-2</v>
      </c>
      <c r="AA19" s="142">
        <v>33.912139141812347</v>
      </c>
      <c r="AB19" s="115">
        <v>34.056906464332101</v>
      </c>
      <c r="AC19" s="115">
        <v>34.201577438685916</v>
      </c>
      <c r="AD19" s="115">
        <v>34.346152523483497</v>
      </c>
      <c r="AE19" s="115">
        <v>34.490632174848287</v>
      </c>
      <c r="AF19" s="115">
        <v>34.635016846376601</v>
      </c>
      <c r="AG19" s="143">
        <v>34.779306989100782</v>
      </c>
    </row>
    <row r="20" spans="1:33" x14ac:dyDescent="0.25">
      <c r="A20" s="2" t="s">
        <v>21</v>
      </c>
      <c r="B20" s="79">
        <f>WACC!F36</f>
        <v>6.6833095489353081E-2</v>
      </c>
      <c r="O20" s="569"/>
      <c r="P20" s="117">
        <v>0.55000000000000004</v>
      </c>
      <c r="Q20" s="142">
        <v>35.28440731216407</v>
      </c>
      <c r="R20" s="115">
        <v>34.651716135559013</v>
      </c>
      <c r="S20" s="115">
        <v>34.041765341144725</v>
      </c>
      <c r="T20" s="115">
        <v>33.424435599581564</v>
      </c>
      <c r="U20" s="115">
        <v>32.885212935251893</v>
      </c>
      <c r="V20" s="115">
        <v>32.336389334924888</v>
      </c>
      <c r="W20" s="143">
        <v>31.805847357964485</v>
      </c>
      <c r="Y20" s="569"/>
      <c r="Z20" s="285">
        <v>5.9700000000000003E-2</v>
      </c>
      <c r="AA20" s="142">
        <v>33.003309717744699</v>
      </c>
      <c r="AB20" s="115">
        <v>33.144200649873532</v>
      </c>
      <c r="AC20" s="115">
        <v>33.284997767511086</v>
      </c>
      <c r="AD20" s="115">
        <v>33.425701518288442</v>
      </c>
      <c r="AE20" s="115">
        <v>33.56631234737327</v>
      </c>
      <c r="AF20" s="115">
        <v>33.706830697431876</v>
      </c>
      <c r="AG20" s="143">
        <v>33.847257008594887</v>
      </c>
    </row>
    <row r="21" spans="1:33" x14ac:dyDescent="0.25">
      <c r="A21" s="2" t="s">
        <v>22</v>
      </c>
      <c r="B21" s="79">
        <v>0.02</v>
      </c>
      <c r="O21" s="569"/>
      <c r="P21" s="117">
        <v>0.56999999999999995</v>
      </c>
      <c r="Q21" s="142">
        <v>34.776393798702188</v>
      </c>
      <c r="R21" s="115">
        <v>34.140072424330988</v>
      </c>
      <c r="S21" s="115">
        <v>33.527055149027341</v>
      </c>
      <c r="T21" s="115">
        <v>32.907051760230793</v>
      </c>
      <c r="U21" s="115">
        <v>32.365845049737388</v>
      </c>
      <c r="V21" s="115">
        <v>31.815335974560611</v>
      </c>
      <c r="W21" s="143">
        <v>31.283482479871935</v>
      </c>
      <c r="Y21" s="569"/>
      <c r="Z21" s="279">
        <v>6.4699999999999994E-2</v>
      </c>
      <c r="AA21" s="142">
        <v>32.131211283618732</v>
      </c>
      <c r="AB21" s="115">
        <v>32.268382238906064</v>
      </c>
      <c r="AC21" s="115">
        <v>32.405461814584839</v>
      </c>
      <c r="AD21" s="115">
        <v>32.542450447654311</v>
      </c>
      <c r="AE21" s="115">
        <v>32.679348572675615</v>
      </c>
      <c r="AF21" s="115">
        <v>32.816156621736191</v>
      </c>
      <c r="AG21" s="143">
        <v>32.952875024417963</v>
      </c>
    </row>
    <row r="22" spans="1:33" x14ac:dyDescent="0.25">
      <c r="A22" s="2" t="s">
        <v>23</v>
      </c>
      <c r="B22" s="79">
        <v>4.6300000000000001E-2</v>
      </c>
      <c r="O22" s="569"/>
      <c r="P22" s="117">
        <v>0.6</v>
      </c>
      <c r="Q22" s="142">
        <v>34.041765341144725</v>
      </c>
      <c r="R22" s="115">
        <v>33.400844925586107</v>
      </c>
      <c r="S22" s="115">
        <v>32.784023056703084</v>
      </c>
      <c r="T22" s="115">
        <v>32.160791490166766</v>
      </c>
      <c r="U22" s="115">
        <v>31.617272194143293</v>
      </c>
      <c r="V22" s="115">
        <v>31.064889989426206</v>
      </c>
      <c r="W22" s="143">
        <v>30.531681996432717</v>
      </c>
      <c r="Y22" s="569"/>
      <c r="Z22" s="279">
        <v>6.9699999999999998E-2</v>
      </c>
      <c r="AA22" s="142">
        <v>31.293860956846174</v>
      </c>
      <c r="AB22" s="115">
        <v>31.42745993089769</v>
      </c>
      <c r="AC22" s="115">
        <v>31.560969866398057</v>
      </c>
      <c r="AD22" s="115">
        <v>31.694391190052748</v>
      </c>
      <c r="AE22" s="115">
        <v>31.827724326156069</v>
      </c>
      <c r="AF22" s="115">
        <v>31.960969696558024</v>
      </c>
      <c r="AG22" s="143">
        <v>32.094127720634738</v>
      </c>
    </row>
    <row r="23" spans="1:33" ht="15.75" thickBot="1" x14ac:dyDescent="0.3">
      <c r="A23" s="2" t="s">
        <v>708</v>
      </c>
      <c r="B23" s="257">
        <v>4.4999999999999998E-2</v>
      </c>
      <c r="O23" s="569"/>
      <c r="P23" s="118">
        <v>0.63</v>
      </c>
      <c r="Q23" s="144">
        <v>33.338101869678638</v>
      </c>
      <c r="R23" s="145">
        <v>32.693491791659589</v>
      </c>
      <c r="S23" s="145">
        <v>32.07371621213025</v>
      </c>
      <c r="T23" s="145">
        <v>31.448089997091213</v>
      </c>
      <c r="U23" s="145">
        <v>30.90296201350364</v>
      </c>
      <c r="V23" s="145">
        <v>30.349398691284765</v>
      </c>
      <c r="W23" s="146">
        <v>29.815480608806475</v>
      </c>
      <c r="Y23" s="569"/>
      <c r="Z23" s="280">
        <v>7.4700000000000003E-2</v>
      </c>
      <c r="AA23" s="144">
        <v>30.489372617824426</v>
      </c>
      <c r="AB23" s="145">
        <v>30.619539594712428</v>
      </c>
      <c r="AC23" s="145">
        <v>30.749619785067733</v>
      </c>
      <c r="AD23" s="145">
        <v>30.879613605629807</v>
      </c>
      <c r="AE23" s="145">
        <v>31.009521470755438</v>
      </c>
      <c r="AF23" s="145">
        <v>31.139343792387837</v>
      </c>
      <c r="AG23" s="146">
        <v>31.26908098002885</v>
      </c>
    </row>
    <row r="24" spans="1:33" x14ac:dyDescent="0.25">
      <c r="A24" s="2" t="s">
        <v>709</v>
      </c>
      <c r="B24" s="531">
        <v>0.3</v>
      </c>
    </row>
    <row r="25" spans="1:33" ht="15.75" thickBot="1" x14ac:dyDescent="0.3">
      <c r="A25" s="1" t="s">
        <v>24</v>
      </c>
      <c r="B25" s="81">
        <v>2016</v>
      </c>
      <c r="C25" s="81">
        <v>2017</v>
      </c>
      <c r="D25" s="81">
        <v>2018</v>
      </c>
      <c r="E25" s="81">
        <v>2019</v>
      </c>
      <c r="F25" s="81">
        <v>2020</v>
      </c>
      <c r="G25" s="81">
        <v>2021</v>
      </c>
      <c r="H25" s="81">
        <v>2022</v>
      </c>
    </row>
    <row r="26" spans="1:33" ht="15.75" thickBot="1" x14ac:dyDescent="0.3">
      <c r="A26" s="2" t="s">
        <v>25</v>
      </c>
      <c r="B26" s="409">
        <f>IS_Sorted!F35</f>
        <v>1.2</v>
      </c>
      <c r="C26" s="409">
        <f>IS_Sorted!G35</f>
        <v>1.28</v>
      </c>
      <c r="D26" s="409">
        <f>IS_Sorted!H35</f>
        <v>1.38</v>
      </c>
      <c r="E26" s="409">
        <f>IS_Sorted!I35</f>
        <v>1.44</v>
      </c>
      <c r="F26" s="409">
        <f>IS_Sorted!J35</f>
        <v>1.53</v>
      </c>
      <c r="G26" s="409">
        <f>IS_Sorted!K35</f>
        <v>1.57</v>
      </c>
      <c r="H26" s="409">
        <f>IS_Sorted!L35</f>
        <v>1.61</v>
      </c>
      <c r="Q26" s="568" t="s">
        <v>705</v>
      </c>
      <c r="R26" s="568"/>
      <c r="S26" s="568"/>
      <c r="T26" s="568"/>
      <c r="U26" s="568"/>
      <c r="V26" s="568"/>
      <c r="W26" s="568"/>
      <c r="AA26" s="568" t="s">
        <v>704</v>
      </c>
      <c r="AB26" s="568"/>
      <c r="AC26" s="568"/>
      <c r="AD26" s="568"/>
      <c r="AE26" s="568"/>
      <c r="AF26" s="568"/>
      <c r="AG26" s="568"/>
    </row>
    <row r="27" spans="1:33" ht="15.75" thickBot="1" x14ac:dyDescent="0.3">
      <c r="A27" s="2" t="s">
        <v>26</v>
      </c>
      <c r="B27" s="409">
        <f>IS_Sorted!F32</f>
        <v>1.18</v>
      </c>
      <c r="C27" s="409">
        <f>IS_Sorted!G32</f>
        <v>3.57</v>
      </c>
      <c r="D27" s="409">
        <f>IS_Sorted!H32</f>
        <v>1.9</v>
      </c>
      <c r="E27" s="409">
        <f>IS_Sorted!I32</f>
        <v>2.92</v>
      </c>
      <c r="F27" s="409">
        <f>IS_Sorted!J32</f>
        <v>1.73</v>
      </c>
      <c r="G27" s="409">
        <f>IS_Sorted!K32</f>
        <v>3.92</v>
      </c>
      <c r="H27" s="409">
        <f>IS_Sorted!L32</f>
        <v>5.59</v>
      </c>
      <c r="P27" s="557">
        <f>DCF_EP!$B$43</f>
        <v>33.424435599581564</v>
      </c>
      <c r="Q27" s="277">
        <v>0.14499999999999999</v>
      </c>
      <c r="R27" s="277">
        <v>0.15</v>
      </c>
      <c r="S27" s="277">
        <v>0.155</v>
      </c>
      <c r="T27" s="284">
        <v>0.15989999999999999</v>
      </c>
      <c r="U27" s="277">
        <v>0.16500000000000001</v>
      </c>
      <c r="V27" s="277">
        <f t="shared" ref="V27" si="0">U27+0.005</f>
        <v>0.17</v>
      </c>
      <c r="W27" s="278">
        <f>V27+0.005</f>
        <v>0.17500000000000002</v>
      </c>
      <c r="Z27" s="558">
        <f>DCF_EP!$B$43</f>
        <v>33.424435599581564</v>
      </c>
      <c r="AA27" s="277">
        <v>9.5500000000000002E-2</v>
      </c>
      <c r="AB27" s="277">
        <v>9.8500000000000004E-2</v>
      </c>
      <c r="AC27" s="277">
        <v>0.10150000000000001</v>
      </c>
      <c r="AD27" s="284">
        <v>0.10440000000000001</v>
      </c>
      <c r="AE27" s="277">
        <v>0.1075</v>
      </c>
      <c r="AF27" s="277">
        <v>0.1105</v>
      </c>
      <c r="AG27" s="278">
        <v>0.1135</v>
      </c>
    </row>
    <row r="28" spans="1:33" ht="15.75" thickBot="1" x14ac:dyDescent="0.3">
      <c r="A28" s="2" t="s">
        <v>24</v>
      </c>
      <c r="B28" s="410">
        <f t="shared" ref="B28:H28" si="1">IF(OR(B26=0,B27=0,B26="-",B27="-"),"",B26/B27)</f>
        <v>1.0169491525423728</v>
      </c>
      <c r="C28" s="410">
        <f t="shared" si="1"/>
        <v>0.35854341736694678</v>
      </c>
      <c r="D28" s="410">
        <f t="shared" si="1"/>
        <v>0.72631578947368414</v>
      </c>
      <c r="E28" s="410">
        <f t="shared" si="1"/>
        <v>0.49315068493150682</v>
      </c>
      <c r="F28" s="410">
        <f t="shared" si="1"/>
        <v>0.88439306358381509</v>
      </c>
      <c r="G28" s="410">
        <f t="shared" si="1"/>
        <v>0.40051020408163268</v>
      </c>
      <c r="H28" s="410">
        <f t="shared" si="1"/>
        <v>0.28801431127012522</v>
      </c>
      <c r="I28" s="138">
        <f>AVERAGE($B$28:$H$28)</f>
        <v>0.59541094617858337</v>
      </c>
      <c r="J28" s="2" t="s">
        <v>50</v>
      </c>
      <c r="O28" s="567" t="s">
        <v>703</v>
      </c>
      <c r="P28" s="279">
        <v>0.1409</v>
      </c>
      <c r="Q28" s="139">
        <f t="dataTable" ref="Q28:W34" dt2D="1" dtr="1" r1="N87" r2="N89" ca="1"/>
        <v>37.901804256509386</v>
      </c>
      <c r="R28" s="140">
        <v>37.160814915245751</v>
      </c>
      <c r="S28" s="140">
        <v>36.417745789825517</v>
      </c>
      <c r="T28" s="140">
        <v>35.687361784711179</v>
      </c>
      <c r="U28" s="140">
        <v>34.924693435428814</v>
      </c>
      <c r="V28" s="140">
        <v>34.174328770127076</v>
      </c>
      <c r="W28" s="141">
        <v>33.421116722435578</v>
      </c>
      <c r="Y28" s="569" t="s">
        <v>447</v>
      </c>
      <c r="Z28" s="279">
        <v>0.04</v>
      </c>
      <c r="AA28" s="139">
        <f t="dataTable" ref="AA28:AG34" dt2D="1" dtr="1" r1="N56" r2="B16" ca="1"/>
        <v>33.929944478231732</v>
      </c>
      <c r="AB28" s="140">
        <v>33.906101039582083</v>
      </c>
      <c r="AC28" s="140">
        <v>33.883611350898803</v>
      </c>
      <c r="AD28" s="140">
        <v>33.863106902685473</v>
      </c>
      <c r="AE28" s="140">
        <v>33.842476443472457</v>
      </c>
      <c r="AF28" s="140">
        <v>33.823725770406369</v>
      </c>
      <c r="AG28" s="141">
        <v>33.806117893032464</v>
      </c>
    </row>
    <row r="29" spans="1:33" x14ac:dyDescent="0.25">
      <c r="B29" s="79"/>
      <c r="O29" s="567"/>
      <c r="P29" s="279">
        <v>0.1459</v>
      </c>
      <c r="Q29" s="142">
        <v>37.160814915245744</v>
      </c>
      <c r="R29" s="115">
        <v>36.417745789825503</v>
      </c>
      <c r="S29" s="115">
        <v>35.672432379866621</v>
      </c>
      <c r="T29" s="115">
        <v>34.939673245761</v>
      </c>
      <c r="U29" s="115">
        <v>34.174328770127076</v>
      </c>
      <c r="V29" s="115">
        <v>33.421116722435563</v>
      </c>
      <c r="W29" s="143">
        <v>32.664811197335297</v>
      </c>
      <c r="Y29" s="569"/>
      <c r="Z29" s="279">
        <v>4.4999999999999998E-2</v>
      </c>
      <c r="AA29" s="142">
        <v>33.789249275901547</v>
      </c>
      <c r="AB29" s="115">
        <v>33.765504990874462</v>
      </c>
      <c r="AC29" s="115">
        <v>33.743108832735054</v>
      </c>
      <c r="AD29" s="115">
        <v>33.722689665166143</v>
      </c>
      <c r="AE29" s="115">
        <v>33.702145017762952</v>
      </c>
      <c r="AF29" s="115">
        <v>33.683472344714801</v>
      </c>
      <c r="AG29" s="143">
        <v>33.665937720684788</v>
      </c>
    </row>
    <row r="30" spans="1:33" x14ac:dyDescent="0.25">
      <c r="O30" s="567"/>
      <c r="P30" s="279">
        <v>0.15090000000000001</v>
      </c>
      <c r="Q30" s="142">
        <v>36.417745789825517</v>
      </c>
      <c r="R30" s="115">
        <v>35.672432379866635</v>
      </c>
      <c r="S30" s="115">
        <v>34.924693435428814</v>
      </c>
      <c r="T30" s="115">
        <v>34.189363191029756</v>
      </c>
      <c r="U30" s="115">
        <v>33.421116722435578</v>
      </c>
      <c r="V30" s="115">
        <v>32.664811197335318</v>
      </c>
      <c r="W30" s="143">
        <v>31.90513820508108</v>
      </c>
      <c r="Y30" s="569"/>
      <c r="Z30" s="279">
        <v>0.05</v>
      </c>
      <c r="AA30" s="142">
        <v>33.648461889715996</v>
      </c>
      <c r="AB30" s="115">
        <v>33.62481682702434</v>
      </c>
      <c r="AC30" s="115">
        <v>33.602514264332498</v>
      </c>
      <c r="AD30" s="115">
        <v>33.582180436672118</v>
      </c>
      <c r="AE30" s="115">
        <v>33.561721660806768</v>
      </c>
      <c r="AF30" s="115">
        <v>33.543127042162801</v>
      </c>
      <c r="AG30" s="143">
        <v>33.52566572264957</v>
      </c>
    </row>
    <row r="31" spans="1:33" x14ac:dyDescent="0.25">
      <c r="A31" s="1"/>
      <c r="B31" s="281"/>
      <c r="C31" s="281"/>
      <c r="D31" s="281"/>
      <c r="E31" s="281"/>
      <c r="F31" s="281"/>
      <c r="G31" s="281"/>
      <c r="H31" s="281"/>
      <c r="O31" s="567"/>
      <c r="P31" s="285">
        <f>N89</f>
        <v>0.15593865942205967</v>
      </c>
      <c r="Q31" s="142">
        <v>36.417745789825517</v>
      </c>
      <c r="R31" s="115">
        <v>35.672432379866635</v>
      </c>
      <c r="S31" s="115">
        <v>34.924693435428814</v>
      </c>
      <c r="T31" s="34">
        <v>34.189363191029756</v>
      </c>
      <c r="U31" s="115">
        <v>33.421116722435578</v>
      </c>
      <c r="V31" s="115">
        <v>32.664811197335318</v>
      </c>
      <c r="W31" s="143">
        <v>31.90513820508108</v>
      </c>
      <c r="Y31" s="569"/>
      <c r="Z31" s="285">
        <v>5.5599999999999997E-2</v>
      </c>
      <c r="AA31" s="142">
        <v>33.490670031892087</v>
      </c>
      <c r="AB31" s="115">
        <v>33.467136180305644</v>
      </c>
      <c r="AC31" s="115">
        <v>33.444938522056347</v>
      </c>
      <c r="AD31" s="34">
        <v>33.424700345899417</v>
      </c>
      <c r="AE31" s="115">
        <v>33.404337817519199</v>
      </c>
      <c r="AF31" s="115">
        <v>33.38583068479101</v>
      </c>
      <c r="AG31" s="143">
        <v>33.368451527482804</v>
      </c>
    </row>
    <row r="32" spans="1:33" x14ac:dyDescent="0.25">
      <c r="O32" s="567"/>
      <c r="P32" s="279">
        <v>0.16089999999999999</v>
      </c>
      <c r="Q32" s="142">
        <v>34.924693435428814</v>
      </c>
      <c r="R32" s="115">
        <v>34.174328770127076</v>
      </c>
      <c r="S32" s="115">
        <v>33.421116722435563</v>
      </c>
      <c r="T32" s="115">
        <v>32.679969346298392</v>
      </c>
      <c r="U32" s="115">
        <v>31.905138205081066</v>
      </c>
      <c r="V32" s="115">
        <v>31.318812602385176</v>
      </c>
      <c r="W32" s="143">
        <v>30.781217342743538</v>
      </c>
      <c r="Y32" s="569"/>
      <c r="Z32" s="279">
        <v>0.06</v>
      </c>
      <c r="AA32" s="142">
        <v>33.366608799124535</v>
      </c>
      <c r="AB32" s="115">
        <v>33.343162388911075</v>
      </c>
      <c r="AC32" s="115">
        <v>33.321047213409635</v>
      </c>
      <c r="AD32" s="115">
        <v>33.300884244812778</v>
      </c>
      <c r="AE32" s="115">
        <v>33.280597392681202</v>
      </c>
      <c r="AF32" s="115">
        <v>33.262159047355134</v>
      </c>
      <c r="AG32" s="143">
        <v>33.244844491673689</v>
      </c>
    </row>
    <row r="33" spans="1:33" x14ac:dyDescent="0.25">
      <c r="O33" s="567"/>
      <c r="P33" s="279">
        <v>0.16589999999999999</v>
      </c>
      <c r="Q33" s="142">
        <v>34.174328770127076</v>
      </c>
      <c r="R33" s="115">
        <v>33.421116722435563</v>
      </c>
      <c r="S33" s="115">
        <v>32.664811197335311</v>
      </c>
      <c r="T33" s="115">
        <v>31.92036658783325</v>
      </c>
      <c r="U33" s="115">
        <v>31.318812602385176</v>
      </c>
      <c r="V33" s="115">
        <v>30.781217342743538</v>
      </c>
      <c r="W33" s="143">
        <v>30.239899756244576</v>
      </c>
      <c r="Y33" s="569"/>
      <c r="Z33" s="279">
        <v>6.5000000000000002E-2</v>
      </c>
      <c r="AA33" s="142">
        <v>33.225542205038472</v>
      </c>
      <c r="AB33" s="115">
        <v>33.202195225815736</v>
      </c>
      <c r="AC33" s="115">
        <v>33.180173842862189</v>
      </c>
      <c r="AD33" s="115">
        <v>33.16009639415946</v>
      </c>
      <c r="AE33" s="115">
        <v>33.139895594973211</v>
      </c>
      <c r="AF33" s="115">
        <v>33.121535469247711</v>
      </c>
      <c r="AG33" s="143">
        <v>33.104294373532056</v>
      </c>
    </row>
    <row r="34" spans="1:33" ht="15.75" thickBot="1" x14ac:dyDescent="0.3">
      <c r="O34" s="567"/>
      <c r="P34" s="280">
        <v>0.1709</v>
      </c>
      <c r="Q34" s="144">
        <v>33.421116722435563</v>
      </c>
      <c r="R34" s="145">
        <v>32.664811197335304</v>
      </c>
      <c r="S34" s="145">
        <v>31.905138205081066</v>
      </c>
      <c r="T34" s="145">
        <v>31.329524885305847</v>
      </c>
      <c r="U34" s="145">
        <v>30.781217342743552</v>
      </c>
      <c r="V34" s="145">
        <v>30.239899756244576</v>
      </c>
      <c r="W34" s="146">
        <v>29.70204965466181</v>
      </c>
      <c r="Y34" s="569"/>
      <c r="Z34" s="280">
        <v>7.0000000000000007E-2</v>
      </c>
      <c r="AA34" s="144">
        <v>33.084381647807518</v>
      </c>
      <c r="AB34" s="145">
        <v>33.061134169984449</v>
      </c>
      <c r="AC34" s="145">
        <v>33.039206646092886</v>
      </c>
      <c r="AD34" s="145">
        <v>33.019214778026878</v>
      </c>
      <c r="AE34" s="145">
        <v>32.999100093012984</v>
      </c>
      <c r="AF34" s="145">
        <v>32.980818242648226</v>
      </c>
      <c r="AG34" s="146">
        <v>32.963650659373059</v>
      </c>
    </row>
    <row r="35" spans="1:33" x14ac:dyDescent="0.25">
      <c r="O35" s="135"/>
      <c r="P35" s="115"/>
      <c r="Q35" s="115"/>
      <c r="R35" s="115"/>
      <c r="S35" s="115"/>
      <c r="T35" s="115"/>
      <c r="U35" s="115"/>
      <c r="V35" s="115"/>
      <c r="W35" s="115"/>
      <c r="Y35" s="135"/>
      <c r="Z35" s="115"/>
      <c r="AA35" s="115"/>
      <c r="AB35" s="115"/>
      <c r="AC35" s="115"/>
      <c r="AD35" s="115"/>
      <c r="AE35" s="115"/>
      <c r="AF35" s="115"/>
      <c r="AG35" s="115"/>
    </row>
    <row r="36" spans="1:33" x14ac:dyDescent="0.25">
      <c r="A36" s="3" t="s">
        <v>27</v>
      </c>
    </row>
    <row r="37" spans="1:33" ht="15.75" thickBot="1" x14ac:dyDescent="0.3">
      <c r="A37" s="81"/>
      <c r="B37" s="81"/>
      <c r="C37" s="81">
        <v>2022</v>
      </c>
      <c r="D37" s="81" t="s">
        <v>28</v>
      </c>
      <c r="E37" s="81" t="s">
        <v>29</v>
      </c>
      <c r="F37" s="81" t="s">
        <v>30</v>
      </c>
      <c r="G37" s="81" t="s">
        <v>31</v>
      </c>
      <c r="H37" s="81" t="s">
        <v>32</v>
      </c>
      <c r="I37" s="81" t="s">
        <v>33</v>
      </c>
      <c r="J37" s="81" t="s">
        <v>34</v>
      </c>
      <c r="K37" s="81" t="s">
        <v>35</v>
      </c>
      <c r="L37" s="81" t="s">
        <v>36</v>
      </c>
      <c r="M37" s="81" t="s">
        <v>37</v>
      </c>
      <c r="N37" s="81" t="s">
        <v>38</v>
      </c>
    </row>
    <row r="38" spans="1:33" x14ac:dyDescent="0.25">
      <c r="A38" s="2" t="s">
        <v>39</v>
      </c>
    </row>
    <row r="40" spans="1:33" x14ac:dyDescent="0.25">
      <c r="A40" s="2" t="s">
        <v>40</v>
      </c>
    </row>
    <row r="41" spans="1:33" ht="15.75" thickBot="1" x14ac:dyDescent="0.3"/>
    <row r="42" spans="1:33" ht="15.75" thickBot="1" x14ac:dyDescent="0.3">
      <c r="A42" s="2" t="s">
        <v>620</v>
      </c>
      <c r="C42" s="352">
        <f>BS_Sorted!L19-BS_Sorted!K19+IS_Sorted!L9</f>
        <v>2847</v>
      </c>
      <c r="D42" s="352">
        <v>966</v>
      </c>
      <c r="E42" s="352">
        <f>D42*1.035</f>
        <v>999.81</v>
      </c>
      <c r="F42" s="352">
        <f t="shared" ref="F42:K42" si="2">E42*1.035</f>
        <v>1034.8033499999999</v>
      </c>
      <c r="G42" s="352">
        <f t="shared" si="2"/>
        <v>1071.0214672499999</v>
      </c>
      <c r="H42" s="352">
        <f t="shared" si="2"/>
        <v>1108.5072186037498</v>
      </c>
      <c r="I42" s="352">
        <f t="shared" si="2"/>
        <v>1147.3049712548809</v>
      </c>
      <c r="J42" s="352">
        <f t="shared" si="2"/>
        <v>1187.4606452488017</v>
      </c>
      <c r="K42" s="352">
        <f t="shared" si="2"/>
        <v>1229.0217678325096</v>
      </c>
      <c r="L42" s="138">
        <v>3.5000000000000003E-2</v>
      </c>
      <c r="M42" s="3" t="s">
        <v>663</v>
      </c>
    </row>
    <row r="43" spans="1:33" ht="15.75" thickBot="1" x14ac:dyDescent="0.3"/>
    <row r="44" spans="1:33" ht="15.75" thickBot="1" x14ac:dyDescent="0.3">
      <c r="A44" s="2" t="s">
        <v>523</v>
      </c>
      <c r="C44" s="2">
        <v>1150</v>
      </c>
      <c r="D44" s="2">
        <v>0</v>
      </c>
      <c r="E44" s="2">
        <v>250</v>
      </c>
      <c r="F44" s="11">
        <f>E44*(1+$L$44)</f>
        <v>255</v>
      </c>
      <c r="G44" s="11">
        <f t="shared" ref="G44:K44" si="3">F44*(1+$L$44)</f>
        <v>260.10000000000002</v>
      </c>
      <c r="H44" s="11">
        <f t="shared" si="3"/>
        <v>265.30200000000002</v>
      </c>
      <c r="I44" s="11">
        <f t="shared" si="3"/>
        <v>270.60804000000002</v>
      </c>
      <c r="J44" s="11">
        <f t="shared" si="3"/>
        <v>276.0202008</v>
      </c>
      <c r="K44" s="11">
        <f t="shared" si="3"/>
        <v>281.54060481599998</v>
      </c>
      <c r="L44" s="138">
        <v>0.02</v>
      </c>
      <c r="M44" s="3" t="s">
        <v>663</v>
      </c>
    </row>
    <row r="46" spans="1:33" x14ac:dyDescent="0.25">
      <c r="A46" s="1" t="s">
        <v>41</v>
      </c>
    </row>
    <row r="47" spans="1:33" x14ac:dyDescent="0.25">
      <c r="A47" s="2" t="s">
        <v>42</v>
      </c>
      <c r="C47" s="33">
        <f>IS_Sorted!K34</f>
        <v>5620</v>
      </c>
      <c r="D47" s="33">
        <f>IS_Sorted!L34</f>
        <v>5616</v>
      </c>
      <c r="E47" s="33">
        <f>IS_Sorted!M34</f>
        <v>5632.8</v>
      </c>
      <c r="F47" s="33">
        <f>IS_Sorted!N34</f>
        <v>5641.2880332421755</v>
      </c>
      <c r="G47" s="33">
        <f>IS_Sorted!O34</f>
        <v>5634.6581439566726</v>
      </c>
      <c r="H47" s="33">
        <f>IS_Sorted!P34</f>
        <v>5626.3503316242522</v>
      </c>
      <c r="I47" s="33">
        <f>IS_Sorted!Q34</f>
        <v>5618.0445957258062</v>
      </c>
      <c r="J47" s="33">
        <f>IS_Sorted!R34</f>
        <v>5609.7409357423558</v>
      </c>
      <c r="K47" s="33">
        <f>IS_Sorted!S34</f>
        <v>5601.4393511550525</v>
      </c>
    </row>
    <row r="48" spans="1:33" x14ac:dyDescent="0.25">
      <c r="A48" s="2" t="s">
        <v>43</v>
      </c>
      <c r="C48" s="49">
        <f>IS_Sorted!L35</f>
        <v>1.61</v>
      </c>
      <c r="D48" s="49">
        <f>IS_Sorted!M35</f>
        <v>1.64</v>
      </c>
      <c r="E48" s="49">
        <f>IS_Sorted!N35</f>
        <v>1.6727999999999998</v>
      </c>
      <c r="F48" s="49">
        <f>IS_Sorted!O35</f>
        <v>1.7062559999999998</v>
      </c>
      <c r="G48" s="49">
        <f>IS_Sorted!P35</f>
        <v>1.7403811199999999</v>
      </c>
      <c r="H48" s="49">
        <f>IS_Sorted!Q35</f>
        <v>1.7751887423999999</v>
      </c>
      <c r="I48" s="49">
        <f>IS_Sorted!R35</f>
        <v>1.810692517248</v>
      </c>
      <c r="J48" s="49">
        <f>IS_Sorted!S35</f>
        <v>1.84690636759296</v>
      </c>
      <c r="K48" s="49">
        <f>IS_Sorted!T35</f>
        <v>1.8838444949448192</v>
      </c>
      <c r="L48" s="292"/>
      <c r="M48" s="292"/>
      <c r="N48" s="292"/>
    </row>
    <row r="49" spans="1:15" x14ac:dyDescent="0.25">
      <c r="A49" s="2" t="s">
        <v>44</v>
      </c>
      <c r="C49" s="33">
        <f>C47*C48</f>
        <v>9048.2000000000007</v>
      </c>
      <c r="D49" s="33">
        <f>D47*D48</f>
        <v>9210.24</v>
      </c>
      <c r="E49" s="33">
        <f>E47*E48</f>
        <v>9422.5478399999993</v>
      </c>
      <c r="F49" s="33">
        <f t="shared" ref="F49:K49" si="4">F47*F48</f>
        <v>9625.4815544476605</v>
      </c>
      <c r="G49" s="33">
        <f t="shared" si="4"/>
        <v>9806.4526513964338</v>
      </c>
      <c r="H49" s="33">
        <f t="shared" si="4"/>
        <v>9987.8337694978782</v>
      </c>
      <c r="I49" s="33">
        <f t="shared" si="4"/>
        <v>10172.551311046282</v>
      </c>
      <c r="J49" s="33">
        <f t="shared" si="4"/>
        <v>10360.666254769447</v>
      </c>
      <c r="K49" s="33">
        <f t="shared" si="4"/>
        <v>10552.240685440725</v>
      </c>
    </row>
    <row r="51" spans="1:15" x14ac:dyDescent="0.25">
      <c r="A51" s="3" t="s">
        <v>45</v>
      </c>
    </row>
    <row r="52" spans="1:15" ht="15.75" thickBot="1" x14ac:dyDescent="0.3">
      <c r="A52" s="81"/>
      <c r="B52" s="81"/>
      <c r="C52" s="81">
        <v>2012</v>
      </c>
      <c r="D52" s="81">
        <v>2013</v>
      </c>
      <c r="E52" s="81">
        <v>2014</v>
      </c>
      <c r="F52" s="81">
        <v>2015</v>
      </c>
      <c r="G52" s="81">
        <v>2016</v>
      </c>
      <c r="H52" s="81">
        <v>2017</v>
      </c>
      <c r="I52" s="81">
        <v>2018</v>
      </c>
      <c r="J52" s="81">
        <v>2019</v>
      </c>
      <c r="K52" s="81">
        <v>2020</v>
      </c>
      <c r="L52" s="81">
        <v>2021</v>
      </c>
      <c r="M52" s="81">
        <v>2022</v>
      </c>
      <c r="N52" s="81"/>
    </row>
    <row r="53" spans="1:15" x14ac:dyDescent="0.25">
      <c r="A53" s="1" t="s">
        <v>46</v>
      </c>
    </row>
    <row r="54" spans="1:15" x14ac:dyDescent="0.25">
      <c r="A54" s="2" t="s">
        <v>47</v>
      </c>
      <c r="G54" s="33"/>
      <c r="H54" s="33">
        <f>[2]IS_Sorted!G9</f>
        <v>1511</v>
      </c>
      <c r="I54" s="33">
        <f>[2]IS_Sorted!H9</f>
        <v>1491</v>
      </c>
      <c r="J54" s="33">
        <f>[2]IS_Sorted!I9</f>
        <v>1400</v>
      </c>
      <c r="K54" s="33">
        <f>[2]IS_Sorted!J9</f>
        <v>1341</v>
      </c>
      <c r="L54" s="33">
        <f>[2]IS_Sorted!K9</f>
        <v>1491</v>
      </c>
      <c r="M54" s="33">
        <f>[2]IS_Sorted!L9</f>
        <v>1455</v>
      </c>
    </row>
    <row r="55" spans="1:15" ht="15.75" thickBot="1" x14ac:dyDescent="0.3">
      <c r="A55" s="2" t="s">
        <v>48</v>
      </c>
      <c r="C55" s="36"/>
      <c r="D55" s="36"/>
      <c r="E55" s="36"/>
      <c r="F55" s="36"/>
      <c r="G55" s="36"/>
      <c r="H55" s="222">
        <f>[2]BS_Sorted!F19</f>
        <v>13318</v>
      </c>
      <c r="I55" s="222">
        <f>[2]BS_Sorted!G19</f>
        <v>13865</v>
      </c>
      <c r="J55" s="222">
        <f>[2]BS_Sorted!H19</f>
        <v>13385</v>
      </c>
      <c r="K55" s="222">
        <f>[2]BS_Sorted!I19</f>
        <v>13967</v>
      </c>
      <c r="L55" s="222">
        <f>[2]BS_Sorted!J19</f>
        <v>13900</v>
      </c>
      <c r="M55" s="222">
        <f>[2]BS_Sorted!K19</f>
        <v>14882</v>
      </c>
    </row>
    <row r="56" spans="1:15" ht="15.75" thickBot="1" x14ac:dyDescent="0.3">
      <c r="A56" s="2" t="s">
        <v>49</v>
      </c>
      <c r="C56" s="120"/>
      <c r="D56" s="120"/>
      <c r="E56" s="120"/>
      <c r="F56" s="120"/>
      <c r="G56" s="120"/>
      <c r="H56" s="120">
        <f t="shared" ref="H56:M56" si="5">H54/H55</f>
        <v>0.11345547379486409</v>
      </c>
      <c r="I56" s="120">
        <f t="shared" si="5"/>
        <v>0.10753696357735305</v>
      </c>
      <c r="J56" s="120">
        <f t="shared" si="5"/>
        <v>0.10459469555472543</v>
      </c>
      <c r="K56" s="120">
        <f t="shared" si="5"/>
        <v>9.6012028352545284E-2</v>
      </c>
      <c r="L56" s="120">
        <f t="shared" si="5"/>
        <v>0.10726618705035972</v>
      </c>
      <c r="M56" s="120">
        <f t="shared" si="5"/>
        <v>9.7769117054159388E-2</v>
      </c>
      <c r="N56" s="138">
        <f>AVERAGE(H56:M56)</f>
        <v>0.10443907756400116</v>
      </c>
      <c r="O56" s="2" t="s">
        <v>50</v>
      </c>
    </row>
    <row r="58" spans="1:15" x14ac:dyDescent="0.25">
      <c r="A58" s="1" t="s">
        <v>51</v>
      </c>
    </row>
    <row r="59" spans="1:15" x14ac:dyDescent="0.25">
      <c r="A59" s="2" t="s">
        <v>52</v>
      </c>
      <c r="C59" s="43"/>
      <c r="D59" s="43"/>
      <c r="E59" s="43"/>
      <c r="F59" s="43"/>
      <c r="G59" s="43"/>
      <c r="H59" s="43"/>
      <c r="I59" s="43">
        <v>0.21</v>
      </c>
      <c r="J59" s="43">
        <v>0.21</v>
      </c>
      <c r="K59" s="43">
        <v>0.21</v>
      </c>
      <c r="L59" s="43">
        <v>0.21</v>
      </c>
      <c r="M59" s="43">
        <v>0.21</v>
      </c>
    </row>
    <row r="60" spans="1:15" x14ac:dyDescent="0.25">
      <c r="A60" s="2" t="s">
        <v>53</v>
      </c>
      <c r="I60" s="31" t="s">
        <v>54</v>
      </c>
      <c r="J60" s="31" t="s">
        <v>54</v>
      </c>
      <c r="K60" s="31" t="s">
        <v>54</v>
      </c>
      <c r="L60" s="31" t="s">
        <v>54</v>
      </c>
      <c r="M60" s="31" t="s">
        <v>54</v>
      </c>
    </row>
    <row r="61" spans="1:15" ht="15.75" thickBot="1" x14ac:dyDescent="0.3">
      <c r="A61" s="2" t="s">
        <v>55</v>
      </c>
      <c r="C61" s="36"/>
      <c r="D61" s="36"/>
      <c r="E61" s="36"/>
      <c r="F61" s="36"/>
      <c r="G61" s="36"/>
      <c r="H61" s="36"/>
      <c r="I61" s="125">
        <v>1.2E-2</v>
      </c>
      <c r="J61" s="125">
        <v>-4.4999999999999998E-2</v>
      </c>
      <c r="K61" s="121">
        <v>-9.9000000000000005E-2</v>
      </c>
      <c r="L61" s="121">
        <v>-4.2999999999999997E-2</v>
      </c>
      <c r="M61" s="121">
        <v>-0.05</v>
      </c>
      <c r="N61" s="36"/>
    </row>
    <row r="62" spans="1:15" ht="15.75" thickBot="1" x14ac:dyDescent="0.3">
      <c r="A62" s="2" t="s">
        <v>56</v>
      </c>
      <c r="C62" s="120"/>
      <c r="D62" s="120"/>
      <c r="E62" s="120"/>
      <c r="F62" s="120"/>
      <c r="G62" s="120"/>
      <c r="H62" s="120"/>
      <c r="I62" s="120">
        <f t="shared" ref="I62:M62" si="6">SUM(I59:I61)</f>
        <v>0.222</v>
      </c>
      <c r="J62" s="120">
        <f t="shared" si="6"/>
        <v>0.16499999999999998</v>
      </c>
      <c r="K62" s="120">
        <f t="shared" si="6"/>
        <v>0.11099999999999999</v>
      </c>
      <c r="L62" s="120">
        <f t="shared" si="6"/>
        <v>0.16699999999999998</v>
      </c>
      <c r="M62" s="120">
        <f t="shared" si="6"/>
        <v>0.15999999999999998</v>
      </c>
      <c r="N62" s="138">
        <f>AVERAGE(I62:M62)</f>
        <v>0.16499999999999998</v>
      </c>
      <c r="O62" s="2" t="s">
        <v>50</v>
      </c>
    </row>
    <row r="64" spans="1:15" x14ac:dyDescent="0.25">
      <c r="A64" s="1" t="s">
        <v>57</v>
      </c>
    </row>
    <row r="65" spans="1:15" x14ac:dyDescent="0.25">
      <c r="A65" s="2" t="s">
        <v>58</v>
      </c>
      <c r="G65" s="2">
        <f>BS_Sorted!F6</f>
        <v>2595</v>
      </c>
      <c r="H65" s="2">
        <f>BS_Sorted!G6</f>
        <v>1342</v>
      </c>
      <c r="I65" s="2">
        <f>BS_Sorted!H6</f>
        <v>1139</v>
      </c>
      <c r="J65" s="2">
        <f>BS_Sorted!I6</f>
        <v>1305</v>
      </c>
      <c r="K65" s="2">
        <f>BS_Sorted!J6</f>
        <v>1784</v>
      </c>
      <c r="L65" s="2">
        <f>BS_Sorted!K6</f>
        <v>1944</v>
      </c>
      <c r="M65" s="2">
        <f>BS_Sorted!L6</f>
        <v>416</v>
      </c>
    </row>
    <row r="66" spans="1:15" ht="15.75" thickBot="1" x14ac:dyDescent="0.3">
      <c r="A66" s="2" t="s">
        <v>59</v>
      </c>
      <c r="C66" s="36"/>
      <c r="D66" s="36"/>
      <c r="E66" s="36"/>
      <c r="F66" s="36"/>
      <c r="G66" s="222">
        <f>IS_Sorted!F5</f>
        <v>52824</v>
      </c>
      <c r="H66" s="222">
        <f>IS_Sorted!G5</f>
        <v>52546</v>
      </c>
      <c r="I66" s="222">
        <f>IS_Sorted!H5</f>
        <v>53647</v>
      </c>
      <c r="J66" s="222">
        <f>IS_Sorted!I5</f>
        <v>51750</v>
      </c>
      <c r="K66" s="222">
        <f>IS_Sorted!J5</f>
        <v>41908</v>
      </c>
      <c r="L66" s="222">
        <f>IS_Sorted!K5</f>
        <v>81288</v>
      </c>
      <c r="M66" s="222">
        <f>IS_Sorted!L5</f>
        <v>100330</v>
      </c>
    </row>
    <row r="67" spans="1:15" ht="15.75" thickBot="1" x14ac:dyDescent="0.3">
      <c r="A67" s="2" t="s">
        <v>60</v>
      </c>
      <c r="C67" s="120"/>
      <c r="D67" s="120"/>
      <c r="E67" s="120"/>
      <c r="F67" s="120"/>
      <c r="G67" s="120">
        <f t="shared" ref="G67" si="7">G65/G66</f>
        <v>4.9125397546569742E-2</v>
      </c>
      <c r="H67" s="120">
        <f t="shared" ref="H67" si="8">H65/H66</f>
        <v>2.5539527271343204E-2</v>
      </c>
      <c r="I67" s="120">
        <f t="shared" ref="I67" si="9">I65/I66</f>
        <v>2.123138292914795E-2</v>
      </c>
      <c r="J67" s="120">
        <f t="shared" ref="J67" si="10">J65/J66</f>
        <v>2.5217391304347827E-2</v>
      </c>
      <c r="K67" s="120">
        <f t="shared" ref="K67" si="11">K65/K66</f>
        <v>4.2569437816168752E-2</v>
      </c>
      <c r="L67" s="120">
        <f t="shared" ref="L67" si="12">L65/L66</f>
        <v>2.3914968999114262E-2</v>
      </c>
      <c r="M67" s="120">
        <f t="shared" ref="M67" si="13">M65/M66</f>
        <v>4.1463171533938003E-3</v>
      </c>
      <c r="N67" s="138">
        <f>MIN(G67:M67)</f>
        <v>4.1463171533938003E-3</v>
      </c>
      <c r="O67" s="2" t="s">
        <v>61</v>
      </c>
    </row>
    <row r="69" spans="1:15" x14ac:dyDescent="0.25">
      <c r="A69" s="1" t="s">
        <v>62</v>
      </c>
    </row>
    <row r="70" spans="1:15" x14ac:dyDescent="0.25">
      <c r="A70" s="2" t="s">
        <v>63</v>
      </c>
      <c r="G70" s="33">
        <f>IS_Sorted!F33*IS_Sorted!F35</f>
        <v>7306.8</v>
      </c>
      <c r="H70" s="33">
        <f>IS_Sorted!G33*IS_Sorted!G35</f>
        <v>7641.6</v>
      </c>
      <c r="I70" s="33">
        <f>IS_Sorted!H33*IS_Sorted!H35</f>
        <v>8103.36</v>
      </c>
      <c r="J70" s="33">
        <f>IS_Sorted!I33*IS_Sorted!I35</f>
        <v>8019.36</v>
      </c>
      <c r="K70" s="33">
        <f>IS_Sorted!J33*IS_Sorted!J35</f>
        <v>8499.15</v>
      </c>
      <c r="L70" s="33">
        <f>IS_Sorted!K33*IS_Sorted!K35</f>
        <v>8793.57</v>
      </c>
      <c r="M70" s="33">
        <f>IS_Sorted!L33*IS_Sorted!L35</f>
        <v>9028.880000000001</v>
      </c>
    </row>
    <row r="71" spans="1:15" ht="15.75" thickBot="1" x14ac:dyDescent="0.3">
      <c r="A71" s="2" t="s">
        <v>64</v>
      </c>
      <c r="C71" s="36"/>
      <c r="D71" s="36"/>
      <c r="E71" s="36"/>
      <c r="F71" s="36"/>
      <c r="G71" s="222">
        <f>IS_Sorted!F31</f>
        <v>7214</v>
      </c>
      <c r="H71" s="222">
        <f>IS_Sorted!G31</f>
        <v>21307</v>
      </c>
      <c r="I71" s="222">
        <f>IS_Sorted!H31</f>
        <v>11152</v>
      </c>
      <c r="J71" s="222">
        <f>IS_Sorted!I31</f>
        <v>16272</v>
      </c>
      <c r="K71" s="222">
        <f>IS_Sorted!J31</f>
        <v>9616</v>
      </c>
      <c r="L71" s="222">
        <f>IS_Sorted!K31</f>
        <v>21979</v>
      </c>
      <c r="M71" s="222">
        <f>IS_Sorted!L31</f>
        <v>31372</v>
      </c>
    </row>
    <row r="72" spans="1:15" ht="15.75" thickBot="1" x14ac:dyDescent="0.3">
      <c r="A72" s="2" t="s">
        <v>65</v>
      </c>
      <c r="C72" s="120"/>
      <c r="D72" s="120"/>
      <c r="E72" s="120"/>
      <c r="F72" s="120"/>
      <c r="G72" s="120">
        <f t="shared" ref="G72" si="14">G70/G71</f>
        <v>1.0128638757970614</v>
      </c>
      <c r="H72" s="120">
        <f t="shared" ref="H72" si="15">H70/H71</f>
        <v>0.35864269958229694</v>
      </c>
      <c r="I72" s="120">
        <f t="shared" ref="I72" si="16">I70/I71</f>
        <v>0.72662840746054513</v>
      </c>
      <c r="J72" s="120">
        <f t="shared" ref="J72" si="17">J70/J71</f>
        <v>0.4928318584070796</v>
      </c>
      <c r="K72" s="120">
        <f t="shared" ref="K72" si="18">K70/K71</f>
        <v>0.88385503327787018</v>
      </c>
      <c r="L72" s="120">
        <f t="shared" ref="L72" si="19">L70/L71</f>
        <v>0.40008963101141998</v>
      </c>
      <c r="M72" s="120">
        <f t="shared" ref="M72" si="20">M70/M71</f>
        <v>0.28780058651026397</v>
      </c>
      <c r="N72" s="138">
        <f>AVERAGE(G72:M72)</f>
        <v>0.59467315600664816</v>
      </c>
      <c r="O72" s="2" t="s">
        <v>50</v>
      </c>
    </row>
    <row r="74" spans="1:15" x14ac:dyDescent="0.25">
      <c r="A74" s="1" t="s">
        <v>585</v>
      </c>
      <c r="B74" s="281"/>
      <c r="C74" s="281"/>
      <c r="D74" s="281"/>
      <c r="E74" s="281"/>
      <c r="F74" s="281"/>
      <c r="G74" s="114"/>
      <c r="H74" s="114"/>
    </row>
    <row r="75" spans="1:15" x14ac:dyDescent="0.25">
      <c r="A75" s="2" t="s">
        <v>382</v>
      </c>
      <c r="G75" s="31" cm="1">
        <f t="array" ref="G75:M75">BS_Sorted!$F$32:$L$32</f>
        <v>437</v>
      </c>
      <c r="H75" s="2">
        <v>477</v>
      </c>
      <c r="I75" s="2">
        <v>1265</v>
      </c>
      <c r="J75" s="2">
        <v>980</v>
      </c>
      <c r="K75" s="2">
        <v>1049</v>
      </c>
      <c r="L75" s="2">
        <v>1266</v>
      </c>
      <c r="M75" s="2">
        <v>1587</v>
      </c>
    </row>
    <row r="76" spans="1:15" ht="15.75" thickBot="1" x14ac:dyDescent="0.3">
      <c r="A76" s="2" t="s">
        <v>368</v>
      </c>
      <c r="C76" s="36"/>
      <c r="D76" s="36"/>
      <c r="E76" s="36"/>
      <c r="F76" s="36"/>
      <c r="G76" s="282" cm="1">
        <f t="array" ref="G76:M76">IS_Sorted!$F$22:$L$22</f>
        <v>1123</v>
      </c>
      <c r="H76" s="36">
        <v>-9049</v>
      </c>
      <c r="I76" s="36">
        <v>706</v>
      </c>
      <c r="J76" s="36">
        <v>1384</v>
      </c>
      <c r="K76" s="36">
        <v>477</v>
      </c>
      <c r="L76" s="36">
        <v>1852</v>
      </c>
      <c r="M76" s="36">
        <v>3328</v>
      </c>
    </row>
    <row r="77" spans="1:15" ht="15.75" thickBot="1" x14ac:dyDescent="0.3">
      <c r="G77" s="37">
        <f t="shared" ref="G77:M77" si="21">G75/G76</f>
        <v>0.38913624220837045</v>
      </c>
      <c r="H77" s="37">
        <f t="shared" si="21"/>
        <v>-5.2713006962095257E-2</v>
      </c>
      <c r="I77" s="37">
        <f t="shared" si="21"/>
        <v>1.791784702549575</v>
      </c>
      <c r="J77" s="37">
        <f t="shared" si="21"/>
        <v>0.70809248554913296</v>
      </c>
      <c r="K77" s="37">
        <f t="shared" si="21"/>
        <v>2.1991614255765199</v>
      </c>
      <c r="L77" s="37">
        <f t="shared" si="21"/>
        <v>0.68358531317494597</v>
      </c>
      <c r="M77" s="37">
        <f t="shared" si="21"/>
        <v>0.47686298076923078</v>
      </c>
      <c r="N77" s="138">
        <f>AVERAGE(G77:M77)</f>
        <v>0.88513002040938293</v>
      </c>
      <c r="O77" s="2" t="s">
        <v>50</v>
      </c>
    </row>
    <row r="78" spans="1:15" x14ac:dyDescent="0.25">
      <c r="A78" s="1" t="s">
        <v>586</v>
      </c>
      <c r="B78" s="281">
        <v>2016</v>
      </c>
      <c r="C78" s="281">
        <v>2017</v>
      </c>
      <c r="D78" s="281">
        <v>2018</v>
      </c>
      <c r="E78" s="281">
        <v>2019</v>
      </c>
      <c r="F78" s="281">
        <v>2020</v>
      </c>
      <c r="G78" s="114"/>
      <c r="H78" s="114"/>
    </row>
    <row r="79" spans="1:15" x14ac:dyDescent="0.25">
      <c r="A79" s="2" t="s">
        <v>587</v>
      </c>
      <c r="G79" s="31" cm="1">
        <f t="array" ref="G79:M79">BS_Sorted!$F$38:$L$38</f>
        <v>31398</v>
      </c>
      <c r="H79" s="2">
        <v>33538</v>
      </c>
      <c r="I79" s="2">
        <v>32909</v>
      </c>
      <c r="J79" s="2">
        <v>35955</v>
      </c>
      <c r="K79" s="2">
        <v>37133</v>
      </c>
      <c r="L79" s="2">
        <v>36195</v>
      </c>
      <c r="M79" s="2">
        <v>32884</v>
      </c>
    </row>
    <row r="80" spans="1:15" ht="15.75" thickBot="1" x14ac:dyDescent="0.3">
      <c r="A80" s="2" t="s">
        <v>588</v>
      </c>
      <c r="C80" s="36"/>
      <c r="D80" s="36"/>
      <c r="E80" s="36"/>
      <c r="F80" s="36"/>
      <c r="G80" s="282">
        <f>SUM(BS_Sorted!$F$7:$F$8,BS_Sorted!$F$11:$F$15,BS_Sorted!$F$17:$F$19,BS_Sorted!$F$22:$F$25)</f>
        <v>169020</v>
      </c>
      <c r="H80" s="282">
        <f>SUM(BS_Sorted!$G$7:$G$8,BS_Sorted!$G$11:$G$15,BS_Sorted!$G$17:$G$19,BS_Sorted!$G$22:$G$25)</f>
        <v>170455</v>
      </c>
      <c r="I80" s="282">
        <f>SUM(BS_Sorted!$H$7:$H$8,BS_Sorted!$H$11:$H$15,BS_Sorted!$H$17:$H$19,BS_Sorted!$H$22:$H$25)</f>
        <v>158284</v>
      </c>
      <c r="J80" s="282">
        <f>SUM(BS_Sorted!$I$7:$I$8,BS_Sorted!$I$11:$I$15,BS_Sorted!$I$17:$I$19,BS_Sorted!$I$22:$I$25)</f>
        <v>166183</v>
      </c>
      <c r="K80" s="282">
        <f>SUM(BS_Sorted!$J$7:$J$8,BS_Sorted!$J$11:$J$15,BS_Sorted!$J$17:$J$19,BS_Sorted!$J$22:$J$25)</f>
        <v>152444</v>
      </c>
      <c r="L80" s="282">
        <f>SUM(BS_Sorted!$K$7:$K$8,BS_Sorted!$K$11:$K$15,BS_Sorted!$K$17:$K$19,BS_Sorted!$K$22:$K$25)</f>
        <v>179531</v>
      </c>
      <c r="M80" s="282">
        <f>SUM(BS_Sorted!$L$7:$L$8,BS_Sorted!$L$11:$L$15,BS_Sorted!$L$17:$L$19,BS_Sorted!$L$22:$L$25)</f>
        <v>196787</v>
      </c>
    </row>
    <row r="81" spans="1:15" ht="15.75" thickBot="1" x14ac:dyDescent="0.3">
      <c r="G81" s="37">
        <f t="shared" ref="G81:M81" si="22">G79/G80</f>
        <v>0.18576499822506212</v>
      </c>
      <c r="H81" s="37">
        <f t="shared" si="22"/>
        <v>0.19675574198468804</v>
      </c>
      <c r="I81" s="37">
        <f t="shared" si="22"/>
        <v>0.2079110965100705</v>
      </c>
      <c r="J81" s="37">
        <f t="shared" si="22"/>
        <v>0.21635787054030797</v>
      </c>
      <c r="K81" s="37">
        <f t="shared" si="22"/>
        <v>0.24358452940096034</v>
      </c>
      <c r="L81" s="37">
        <f t="shared" si="22"/>
        <v>0.20160863583447983</v>
      </c>
      <c r="M81" s="37">
        <f t="shared" si="22"/>
        <v>0.16710453434424022</v>
      </c>
      <c r="N81" s="138">
        <f>AVERAGE(G81:M81)</f>
        <v>0.20272677240568701</v>
      </c>
      <c r="O81" s="2" t="s">
        <v>50</v>
      </c>
    </row>
    <row r="82" spans="1:15" x14ac:dyDescent="0.25">
      <c r="A82" s="1" t="s">
        <v>610</v>
      </c>
      <c r="B82" s="281"/>
      <c r="C82" s="281"/>
      <c r="D82" s="281"/>
      <c r="E82" s="281"/>
      <c r="F82" s="281"/>
      <c r="G82" s="114"/>
      <c r="H82" s="114"/>
    </row>
    <row r="83" spans="1:15" x14ac:dyDescent="0.25">
      <c r="A83" s="2" t="s">
        <v>611</v>
      </c>
      <c r="G83" s="253" cm="1">
        <f t="array" ref="G83:M83">IS_Sorted!$F$10:$L$10</f>
        <v>4056</v>
      </c>
      <c r="H83" s="253">
        <v>4758</v>
      </c>
      <c r="I83" s="253">
        <v>4893</v>
      </c>
      <c r="J83" s="253">
        <v>4610</v>
      </c>
      <c r="K83" s="253">
        <v>3436</v>
      </c>
      <c r="L83" s="253">
        <v>3700</v>
      </c>
      <c r="M83" s="253">
        <v>3609</v>
      </c>
    </row>
    <row r="84" spans="1:15" ht="15.75" thickBot="1" x14ac:dyDescent="0.3">
      <c r="A84" s="2" t="s">
        <v>612</v>
      </c>
      <c r="C84" s="36"/>
      <c r="D84" s="36"/>
      <c r="E84" s="36"/>
      <c r="F84" s="36"/>
      <c r="G84" s="283" cm="1">
        <f t="array" ref="G84:M84">BS_Sorted!$F$22:$L$22</f>
        <v>52648</v>
      </c>
      <c r="H84" s="283">
        <v>48741</v>
      </c>
      <c r="I84" s="283">
        <v>35211</v>
      </c>
      <c r="J84" s="283">
        <v>35370</v>
      </c>
      <c r="K84" s="283">
        <v>28471</v>
      </c>
      <c r="L84" s="283">
        <v>25146</v>
      </c>
      <c r="M84" s="283">
        <v>43370</v>
      </c>
    </row>
    <row r="85" spans="1:15" ht="15.75" thickBot="1" x14ac:dyDescent="0.3">
      <c r="G85" s="37">
        <f t="shared" ref="G85:M85" si="23">G83/G84</f>
        <v>7.7039963531378208E-2</v>
      </c>
      <c r="H85" s="37">
        <f t="shared" si="23"/>
        <v>9.7618021788637904E-2</v>
      </c>
      <c r="I85" s="37">
        <f t="shared" si="23"/>
        <v>0.13896225611314647</v>
      </c>
      <c r="J85" s="37">
        <f t="shared" si="23"/>
        <v>0.13033644331354255</v>
      </c>
      <c r="K85" s="37">
        <f t="shared" si="23"/>
        <v>0.12068420498050648</v>
      </c>
      <c r="L85" s="37">
        <f t="shared" si="23"/>
        <v>0.14714069832180068</v>
      </c>
      <c r="M85" s="37">
        <f t="shared" si="23"/>
        <v>8.3214203366382286E-2</v>
      </c>
      <c r="N85" s="138">
        <f>AVERAGE(G85:M85)</f>
        <v>0.11357082734505637</v>
      </c>
      <c r="O85" s="2" t="s">
        <v>50</v>
      </c>
    </row>
    <row r="86" spans="1:15" ht="15.75" thickBot="1" x14ac:dyDescent="0.3">
      <c r="A86" s="1"/>
      <c r="B86" s="281"/>
      <c r="C86" s="281"/>
      <c r="D86" s="281"/>
      <c r="E86" s="281"/>
      <c r="F86" s="281"/>
      <c r="G86" s="114"/>
      <c r="H86" s="114"/>
    </row>
    <row r="87" spans="1:15" ht="15.75" thickBot="1" x14ac:dyDescent="0.3">
      <c r="A87" s="1" t="s">
        <v>654</v>
      </c>
      <c r="G87" s="289">
        <f>'CS_IS (% sales)'!F12</f>
        <v>0.14902317128577919</v>
      </c>
      <c r="H87" s="289">
        <f>'CS_IS (% sales)'!G12</f>
        <v>0.14571994062345373</v>
      </c>
      <c r="I87" s="289">
        <f>'CS_IS (% sales)'!H12</f>
        <v>0.14923481275747014</v>
      </c>
      <c r="J87" s="289">
        <f>'CS_IS (% sales)'!I12</f>
        <v>0.16714975845410629</v>
      </c>
      <c r="K87" s="289">
        <f>'CS_IS (% sales)'!J12</f>
        <v>0.22442015844230218</v>
      </c>
      <c r="L87" s="289">
        <f>'CS_IS (% sales)'!K12</f>
        <v>0.17012351146540694</v>
      </c>
      <c r="M87" s="289">
        <f>'CS_IS (% sales)'!L12</f>
        <v>0.11390411641582777</v>
      </c>
      <c r="N87" s="138">
        <f>AVERAGE(G87:M87)</f>
        <v>0.15993935277776375</v>
      </c>
      <c r="O87" s="2" t="s">
        <v>50</v>
      </c>
    </row>
    <row r="88" spans="1:15" ht="15.75" thickBot="1" x14ac:dyDescent="0.3">
      <c r="A88" s="1"/>
      <c r="B88" s="281"/>
      <c r="C88" s="281"/>
      <c r="D88" s="281"/>
      <c r="E88" s="281"/>
      <c r="F88" s="281"/>
      <c r="G88" s="114"/>
      <c r="H88" s="114"/>
    </row>
    <row r="89" spans="1:15" ht="15.75" thickBot="1" x14ac:dyDescent="0.3">
      <c r="A89" s="1" t="s">
        <v>655</v>
      </c>
      <c r="G89" s="289">
        <f>'CS_IS (% sales)'!F7</f>
        <v>0.12441314553990611</v>
      </c>
      <c r="H89" s="289">
        <f>'CS_IS (% sales)'!G7</f>
        <v>9.460282419213642E-2</v>
      </c>
      <c r="I89" s="289">
        <f>'CS_IS (% sales)'!H7</f>
        <v>9.0666766081980349E-2</v>
      </c>
      <c r="J89" s="289">
        <f>'CS_IS (% sales)'!I7</f>
        <v>8.1333333333333327E-2</v>
      </c>
      <c r="K89" s="289">
        <f>'CS_IS (% sales)'!J7</f>
        <v>9.3418917629092296E-2</v>
      </c>
      <c r="L89" s="289">
        <f>'CS_IS (% sales)'!K7</f>
        <v>0.31529869107371322</v>
      </c>
      <c r="M89" s="289">
        <f>'CS_IS (% sales)'!L7</f>
        <v>0.29183693810425598</v>
      </c>
      <c r="N89" s="138">
        <f>AVERAGE(G89:M89)</f>
        <v>0.15593865942205967</v>
      </c>
      <c r="O89" s="2" t="s">
        <v>50</v>
      </c>
    </row>
    <row r="90" spans="1:15" ht="15.75" thickBot="1" x14ac:dyDescent="0.3">
      <c r="G90" s="33"/>
      <c r="H90" s="33"/>
      <c r="I90" s="33"/>
      <c r="J90" s="33"/>
      <c r="K90" s="33"/>
      <c r="L90" s="33"/>
      <c r="M90" s="33"/>
      <c r="N90" s="14"/>
    </row>
    <row r="91" spans="1:15" ht="15.75" thickBot="1" x14ac:dyDescent="0.3">
      <c r="A91" s="530" t="s">
        <v>726</v>
      </c>
      <c r="B91" s="181"/>
      <c r="C91" s="181"/>
      <c r="D91" s="182"/>
      <c r="E91" s="182"/>
      <c r="G91" s="465">
        <v>14837</v>
      </c>
      <c r="H91" s="465">
        <v>14784</v>
      </c>
      <c r="I91" s="465">
        <v>14455</v>
      </c>
      <c r="J91" s="465">
        <v>14350</v>
      </c>
      <c r="K91" s="465">
        <v>11615</v>
      </c>
      <c r="L91" s="465">
        <v>12703</v>
      </c>
      <c r="M91" s="465">
        <v>13677</v>
      </c>
      <c r="N91" s="138" cm="1">
        <f t="array" ref="N91">AVERAGE(G91:M91/G66:M66)</f>
        <v>0.23981674897486038</v>
      </c>
      <c r="O91" s="2" t="s">
        <v>50</v>
      </c>
    </row>
    <row r="92" spans="1:15" x14ac:dyDescent="0.25">
      <c r="A92" s="1"/>
    </row>
  </sheetData>
  <mergeCells count="12">
    <mergeCell ref="O28:O34"/>
    <mergeCell ref="Q26:W26"/>
    <mergeCell ref="AA26:AG26"/>
    <mergeCell ref="Q4:W4"/>
    <mergeCell ref="O6:O12"/>
    <mergeCell ref="Q15:W15"/>
    <mergeCell ref="O17:O23"/>
    <mergeCell ref="Y28:Y34"/>
    <mergeCell ref="AA4:AG4"/>
    <mergeCell ref="Y6:Y12"/>
    <mergeCell ref="AA15:AG15"/>
    <mergeCell ref="Y17:Y23"/>
  </mergeCells>
  <phoneticPr fontId="0" type="noConversion"/>
  <conditionalFormatting sqref="Q6:W12">
    <cfRule type="colorScale" priority="7">
      <colorScale>
        <cfvo type="min"/>
        <cfvo type="max"/>
        <color rgb="FFFCFCFF"/>
        <color rgb="FF63BE7B"/>
      </colorScale>
    </cfRule>
  </conditionalFormatting>
  <conditionalFormatting sqref="Q17:W23">
    <cfRule type="colorScale" priority="6">
      <colorScale>
        <cfvo type="min"/>
        <cfvo type="max"/>
        <color rgb="FFFCFCFF"/>
        <color rgb="FF63BE7B"/>
      </colorScale>
    </cfRule>
  </conditionalFormatting>
  <conditionalFormatting sqref="Q28:W34">
    <cfRule type="colorScale" priority="4">
      <colorScale>
        <cfvo type="min"/>
        <cfvo type="max"/>
        <color rgb="FFFCFCFF"/>
        <color rgb="FF63BE7B"/>
      </colorScale>
    </cfRule>
  </conditionalFormatting>
  <conditionalFormatting sqref="AA6:AG12">
    <cfRule type="colorScale" priority="3">
      <colorScale>
        <cfvo type="min"/>
        <cfvo type="max"/>
        <color rgb="FFFCFCFF"/>
        <color rgb="FF63BE7B"/>
      </colorScale>
    </cfRule>
  </conditionalFormatting>
  <conditionalFormatting sqref="AA17:AG23">
    <cfRule type="colorScale" priority="2">
      <colorScale>
        <cfvo type="min"/>
        <cfvo type="max"/>
        <color rgb="FFFCFCFF"/>
        <color rgb="FF63BE7B"/>
      </colorScale>
    </cfRule>
  </conditionalFormatting>
  <conditionalFormatting sqref="AA28:AG34">
    <cfRule type="colorScale" priority="1">
      <colorScale>
        <cfvo type="min"/>
        <cfvo type="max"/>
        <color rgb="FFFCFCFF"/>
        <color rgb="FF63BE7B"/>
      </colorScale>
    </cfRule>
  </conditionalFormatting>
  <pageMargins left="0.75" right="0.75" top="1" bottom="1" header="0.5" footer="0.5"/>
  <pageSetup scale="51" orientation="portrait" r:id="rId1"/>
  <headerFooter alignWithMargins="0"/>
  <ignoredErrors>
    <ignoredError sqref="H56:M56 G72:M72 G67:M67" evalError="1"/>
  </ignoredErrors>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886DC-AB35-41F3-A3EB-4522E45A76A8}">
  <sheetPr>
    <tabColor theme="4"/>
    <pageSetUpPr fitToPage="1"/>
  </sheetPr>
  <dimension ref="A1:AZ1085"/>
  <sheetViews>
    <sheetView tabSelected="1" workbookViewId="0">
      <selection activeCell="Y34" sqref="Y34"/>
    </sheetView>
  </sheetViews>
  <sheetFormatPr defaultColWidth="9.140625" defaultRowHeight="15" x14ac:dyDescent="0.25"/>
  <cols>
    <col min="1" max="1" width="40.7109375" style="6" customWidth="1"/>
    <col min="2" max="2" width="29.7109375" style="2" hidden="1" customWidth="1"/>
    <col min="3" max="4" width="10.7109375" style="7" hidden="1" customWidth="1"/>
    <col min="5" max="5" width="10.7109375" style="17" hidden="1" customWidth="1"/>
    <col min="6" max="6" width="10.7109375" style="18" hidden="1" customWidth="1"/>
    <col min="7" max="7" width="10.7109375" style="17" hidden="1" customWidth="1"/>
    <col min="8" max="8" width="4" style="17" hidden="1" customWidth="1"/>
    <col min="9" max="9" width="12" style="17" hidden="1" customWidth="1"/>
    <col min="10" max="10" width="10.7109375" style="17" hidden="1" customWidth="1"/>
    <col min="11" max="14" width="10.7109375" style="17" customWidth="1"/>
    <col min="15" max="23" width="10.7109375" style="7" customWidth="1"/>
    <col min="24" max="52" width="9.140625" style="7"/>
    <col min="53" max="16384" width="9.140625" style="2"/>
  </cols>
  <sheetData>
    <row r="1" spans="1:52" x14ac:dyDescent="0.25">
      <c r="A1" s="4" t="str">
        <f>Inputs!A1</f>
        <v>Pfizer</v>
      </c>
      <c r="B1" s="4"/>
      <c r="C1" s="2"/>
      <c r="D1" s="254"/>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row>
    <row r="2" spans="1:52" x14ac:dyDescent="0.25">
      <c r="A2" s="5" t="s">
        <v>66</v>
      </c>
      <c r="B2" s="5"/>
      <c r="C2" s="2"/>
      <c r="D2" s="254"/>
      <c r="Q2" s="2"/>
      <c r="R2" s="2"/>
      <c r="S2" s="2"/>
      <c r="T2" s="2"/>
      <c r="U2" s="2"/>
      <c r="V2" s="254"/>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spans="1:52" x14ac:dyDescent="0.25">
      <c r="B3" s="6"/>
      <c r="F3" s="20"/>
    </row>
    <row r="4" spans="1:52" s="281" customFormat="1" x14ac:dyDescent="0.25">
      <c r="A4" s="384" t="str">
        <f>CONCATENATE("Fiscal Years Ending ",Inputs!B7)</f>
        <v>Fiscal Years Ending Dec. 31</v>
      </c>
      <c r="B4" s="385" t="s">
        <v>69</v>
      </c>
      <c r="C4" s="386">
        <v>2012</v>
      </c>
      <c r="D4" s="386">
        <v>2013</v>
      </c>
      <c r="E4" s="386">
        <v>2014</v>
      </c>
      <c r="F4" s="386">
        <v>2015</v>
      </c>
      <c r="G4" s="386">
        <v>2016</v>
      </c>
      <c r="H4" s="386">
        <v>2017</v>
      </c>
      <c r="I4" s="386">
        <v>2018</v>
      </c>
      <c r="J4" s="386">
        <v>2019</v>
      </c>
      <c r="K4" s="386">
        <v>2020</v>
      </c>
      <c r="L4" s="386">
        <v>2021</v>
      </c>
      <c r="M4" s="386">
        <v>2022</v>
      </c>
      <c r="N4" s="386" t="s">
        <v>28</v>
      </c>
      <c r="O4" s="386" t="s">
        <v>29</v>
      </c>
      <c r="P4" s="386" t="s">
        <v>30</v>
      </c>
      <c r="Q4" s="386" t="s">
        <v>31</v>
      </c>
      <c r="R4" s="386" t="s">
        <v>32</v>
      </c>
      <c r="S4" s="386" t="s">
        <v>33</v>
      </c>
      <c r="T4" s="386" t="s">
        <v>34</v>
      </c>
      <c r="U4" s="386" t="s">
        <v>35</v>
      </c>
    </row>
    <row r="5" spans="1:52" s="114" customFormat="1" x14ac:dyDescent="0.25">
      <c r="A5" s="362" t="s">
        <v>70</v>
      </c>
      <c r="B5" s="363"/>
      <c r="C5" s="364"/>
      <c r="D5" s="364"/>
      <c r="E5" s="364"/>
      <c r="F5" s="364"/>
      <c r="G5" s="364"/>
      <c r="H5" s="364"/>
      <c r="I5" s="366">
        <f t="shared" ref="I5:U5" si="0">SUM(I6,I19,I38,I58,I59)</f>
        <v>41616</v>
      </c>
      <c r="J5" s="366">
        <f t="shared" si="0"/>
        <v>40344</v>
      </c>
      <c r="K5" s="366">
        <f t="shared" si="0"/>
        <v>41908</v>
      </c>
      <c r="L5" s="366">
        <f t="shared" si="0"/>
        <v>81288</v>
      </c>
      <c r="M5" s="366">
        <f t="shared" si="0"/>
        <v>100330</v>
      </c>
      <c r="N5" s="365">
        <f t="shared" si="0"/>
        <v>56395</v>
      </c>
      <c r="O5" s="365">
        <f t="shared" si="0"/>
        <v>51560</v>
      </c>
      <c r="P5" s="365">
        <f t="shared" si="0"/>
        <v>47910</v>
      </c>
      <c r="Q5" s="365">
        <f t="shared" si="0"/>
        <v>46500</v>
      </c>
      <c r="R5" s="365">
        <f t="shared" si="0"/>
        <v>46100</v>
      </c>
      <c r="S5" s="365">
        <f t="shared" si="0"/>
        <v>44380</v>
      </c>
      <c r="T5" s="365">
        <f t="shared" si="0"/>
        <v>42875</v>
      </c>
      <c r="U5" s="365">
        <f t="shared" si="0"/>
        <v>43070</v>
      </c>
    </row>
    <row r="6" spans="1:52" s="9" customFormat="1" x14ac:dyDescent="0.25">
      <c r="A6" s="371" t="s">
        <v>71</v>
      </c>
      <c r="B6" s="371"/>
      <c r="C6" s="371"/>
      <c r="D6" s="371"/>
      <c r="E6" s="371"/>
      <c r="F6" s="371"/>
      <c r="G6" s="372"/>
      <c r="H6" s="372"/>
      <c r="I6" s="367">
        <f t="shared" ref="I6:U6" si="1">SUM(I8:I18)</f>
        <v>14881</v>
      </c>
      <c r="J6" s="367">
        <f t="shared" si="1"/>
        <v>15119</v>
      </c>
      <c r="K6" s="367">
        <f t="shared" si="1"/>
        <v>15333</v>
      </c>
      <c r="L6" s="367">
        <f t="shared" si="1"/>
        <v>51840</v>
      </c>
      <c r="M6" s="367">
        <f t="shared" si="1"/>
        <v>72903</v>
      </c>
      <c r="N6" s="458">
        <f t="shared" si="1"/>
        <v>29435</v>
      </c>
      <c r="O6" s="458">
        <f t="shared" si="1"/>
        <v>23725</v>
      </c>
      <c r="P6" s="458">
        <f t="shared" si="1"/>
        <v>20475</v>
      </c>
      <c r="Q6" s="458">
        <f t="shared" si="1"/>
        <v>18280</v>
      </c>
      <c r="R6" s="458">
        <f t="shared" si="1"/>
        <v>17235</v>
      </c>
      <c r="S6" s="458">
        <f t="shared" si="1"/>
        <v>15705</v>
      </c>
      <c r="T6" s="458">
        <f t="shared" si="1"/>
        <v>14035</v>
      </c>
      <c r="U6" s="458">
        <f t="shared" si="1"/>
        <v>14005</v>
      </c>
    </row>
    <row r="7" spans="1:52" s="9" customFormat="1" x14ac:dyDescent="0.25">
      <c r="A7" s="368" t="s">
        <v>72</v>
      </c>
      <c r="B7" s="379"/>
      <c r="C7" s="368"/>
      <c r="D7" s="368"/>
      <c r="E7" s="368"/>
      <c r="F7" s="368"/>
      <c r="G7" s="369"/>
      <c r="H7" s="369"/>
      <c r="I7" s="455"/>
      <c r="J7" s="370">
        <f>(J6-I6)/I6</f>
        <v>1.5993548820643775E-2</v>
      </c>
      <c r="K7" s="370">
        <f t="shared" ref="K7:S7" si="2">(K6-J6)/J6</f>
        <v>1.4154375289370991E-2</v>
      </c>
      <c r="L7" s="370">
        <f t="shared" si="2"/>
        <v>2.3809430639796516</v>
      </c>
      <c r="M7" s="370">
        <f t="shared" si="2"/>
        <v>0.40630787037037036</v>
      </c>
      <c r="N7" s="459">
        <f t="shared" si="2"/>
        <v>-0.5962443246505631</v>
      </c>
      <c r="O7" s="459">
        <f t="shared" si="2"/>
        <v>-0.19398675046713096</v>
      </c>
      <c r="P7" s="459">
        <f t="shared" si="2"/>
        <v>-0.13698630136986301</v>
      </c>
      <c r="Q7" s="459">
        <f t="shared" si="2"/>
        <v>-0.1072039072039072</v>
      </c>
      <c r="R7" s="459">
        <f t="shared" si="2"/>
        <v>-5.7166301969365424E-2</v>
      </c>
      <c r="S7" s="459">
        <f t="shared" si="2"/>
        <v>-8.877284595300261E-2</v>
      </c>
      <c r="T7" s="459">
        <f>(T6-S6)/S6</f>
        <v>-0.10633556192295447</v>
      </c>
      <c r="U7" s="459">
        <f>(U6-T6)/T6</f>
        <v>-2.1375133594584966E-3</v>
      </c>
    </row>
    <row r="8" spans="1:52" s="9" customFormat="1" x14ac:dyDescent="0.25">
      <c r="A8" s="450" t="s">
        <v>727</v>
      </c>
      <c r="B8" s="387"/>
      <c r="C8" s="230"/>
      <c r="D8" s="230"/>
      <c r="E8" s="230"/>
      <c r="F8" s="230"/>
      <c r="G8" s="230"/>
      <c r="H8" s="230"/>
      <c r="I8" s="392">
        <v>0</v>
      </c>
      <c r="J8" s="392">
        <v>0</v>
      </c>
      <c r="K8" s="392">
        <v>154</v>
      </c>
      <c r="L8" s="392">
        <v>36781</v>
      </c>
      <c r="M8" s="392">
        <v>37806</v>
      </c>
      <c r="N8" s="460">
        <v>11500</v>
      </c>
      <c r="O8" s="460">
        <v>6000</v>
      </c>
      <c r="P8" s="460">
        <v>3000</v>
      </c>
      <c r="Q8" s="460">
        <v>1000</v>
      </c>
      <c r="R8" s="460">
        <v>350</v>
      </c>
      <c r="S8" s="460">
        <v>300</v>
      </c>
      <c r="T8" s="460">
        <v>150</v>
      </c>
      <c r="U8" s="460">
        <v>50</v>
      </c>
      <c r="V8" s="6"/>
    </row>
    <row r="9" spans="1:52" s="9" customFormat="1" x14ac:dyDescent="0.25">
      <c r="A9" s="230" t="s">
        <v>73</v>
      </c>
      <c r="B9" s="387">
        <v>2041</v>
      </c>
      <c r="C9" s="230"/>
      <c r="D9" s="230"/>
      <c r="E9" s="230"/>
      <c r="F9" s="230"/>
      <c r="G9" s="230"/>
      <c r="H9" s="230"/>
      <c r="I9" s="392">
        <v>0</v>
      </c>
      <c r="J9" s="392">
        <v>0</v>
      </c>
      <c r="K9" s="392">
        <v>0</v>
      </c>
      <c r="L9" s="392">
        <v>76</v>
      </c>
      <c r="M9" s="392">
        <v>18933</v>
      </c>
      <c r="N9" s="460">
        <v>1000</v>
      </c>
      <c r="O9" s="460">
        <v>500</v>
      </c>
      <c r="P9" s="460">
        <v>150</v>
      </c>
      <c r="Q9" s="460">
        <v>75</v>
      </c>
      <c r="R9" s="460">
        <v>50</v>
      </c>
      <c r="S9" s="460">
        <v>25</v>
      </c>
      <c r="T9" s="460">
        <v>10</v>
      </c>
      <c r="U9" s="460">
        <v>5</v>
      </c>
      <c r="V9" s="2"/>
      <c r="W9" s="1"/>
    </row>
    <row r="10" spans="1:52" s="9" customFormat="1" x14ac:dyDescent="0.25">
      <c r="A10" s="450" t="s">
        <v>729</v>
      </c>
      <c r="B10" s="387">
        <v>2026</v>
      </c>
      <c r="C10" s="230"/>
      <c r="D10" s="230"/>
      <c r="E10" s="230"/>
      <c r="F10" s="230"/>
      <c r="G10" s="230"/>
      <c r="H10" s="230"/>
      <c r="I10" s="392">
        <v>3434</v>
      </c>
      <c r="J10" s="392">
        <v>4220</v>
      </c>
      <c r="K10" s="392">
        <v>4949</v>
      </c>
      <c r="L10" s="392">
        <v>5970</v>
      </c>
      <c r="M10" s="392">
        <v>6480</v>
      </c>
      <c r="N10" s="460">
        <v>7250</v>
      </c>
      <c r="O10" s="460">
        <v>7650</v>
      </c>
      <c r="P10" s="460">
        <v>7800</v>
      </c>
      <c r="Q10" s="460">
        <v>7800</v>
      </c>
      <c r="R10" s="460">
        <v>7950</v>
      </c>
      <c r="S10" s="460">
        <v>7750</v>
      </c>
      <c r="T10" s="460">
        <v>7450</v>
      </c>
      <c r="U10" s="460">
        <v>7000</v>
      </c>
      <c r="V10" s="2"/>
      <c r="W10" s="2"/>
    </row>
    <row r="11" spans="1:52" s="9" customFormat="1" x14ac:dyDescent="0.25">
      <c r="A11" s="230" t="s">
        <v>74</v>
      </c>
      <c r="B11" s="387" t="s">
        <v>75</v>
      </c>
      <c r="C11" s="230"/>
      <c r="D11" s="230"/>
      <c r="E11" s="230"/>
      <c r="F11" s="230"/>
      <c r="G11" s="230"/>
      <c r="H11" s="230"/>
      <c r="I11" s="392">
        <v>5802</v>
      </c>
      <c r="J11" s="392">
        <v>5847</v>
      </c>
      <c r="K11" s="392">
        <v>5850</v>
      </c>
      <c r="L11" s="392">
        <v>5272</v>
      </c>
      <c r="M11" s="392">
        <v>6337</v>
      </c>
      <c r="N11" s="460">
        <v>5900</v>
      </c>
      <c r="O11" s="460">
        <v>6050</v>
      </c>
      <c r="P11" s="460">
        <v>6100</v>
      </c>
      <c r="Q11" s="460">
        <v>6000</v>
      </c>
      <c r="R11" s="460">
        <v>5500</v>
      </c>
      <c r="S11" s="460">
        <v>4450</v>
      </c>
      <c r="T11" s="460">
        <v>4300</v>
      </c>
      <c r="U11" s="460">
        <v>3900</v>
      </c>
      <c r="V11" s="2"/>
      <c r="W11" s="2"/>
    </row>
    <row r="12" spans="1:52" s="9" customFormat="1" x14ac:dyDescent="0.25">
      <c r="A12" s="230" t="s">
        <v>76</v>
      </c>
      <c r="B12" s="387"/>
      <c r="C12" s="230"/>
      <c r="D12" s="230"/>
      <c r="E12" s="230"/>
      <c r="F12" s="230"/>
      <c r="G12" s="230"/>
      <c r="H12" s="230"/>
      <c r="I12" s="392">
        <v>832</v>
      </c>
      <c r="J12" s="392">
        <v>734</v>
      </c>
      <c r="K12" s="392">
        <v>680</v>
      </c>
      <c r="L12" s="392">
        <v>563</v>
      </c>
      <c r="M12" s="392">
        <v>455</v>
      </c>
      <c r="N12" s="460">
        <v>420</v>
      </c>
      <c r="O12" s="460">
        <v>350</v>
      </c>
      <c r="P12" s="460">
        <v>275</v>
      </c>
      <c r="Q12" s="460">
        <v>165</v>
      </c>
      <c r="R12" s="460">
        <v>100</v>
      </c>
      <c r="S12" s="460">
        <v>15</v>
      </c>
      <c r="T12" s="460">
        <v>0</v>
      </c>
      <c r="U12" s="460">
        <v>0</v>
      </c>
      <c r="V12" s="2"/>
      <c r="W12" s="2"/>
    </row>
    <row r="13" spans="1:52" x14ac:dyDescent="0.25">
      <c r="A13" s="230" t="s">
        <v>77</v>
      </c>
      <c r="B13" s="387"/>
      <c r="C13" s="230"/>
      <c r="D13" s="230"/>
      <c r="E13" s="230"/>
      <c r="F13" s="230"/>
      <c r="G13" s="230"/>
      <c r="H13" s="230"/>
      <c r="I13" s="392">
        <v>279</v>
      </c>
      <c r="J13" s="392">
        <v>287</v>
      </c>
      <c r="K13" s="392">
        <v>274</v>
      </c>
      <c r="L13" s="392">
        <v>266</v>
      </c>
      <c r="M13" s="392">
        <v>277</v>
      </c>
      <c r="N13" s="460">
        <v>320</v>
      </c>
      <c r="O13" s="460">
        <v>275</v>
      </c>
      <c r="P13" s="460">
        <v>250</v>
      </c>
      <c r="Q13" s="460">
        <v>225</v>
      </c>
      <c r="R13" s="460">
        <v>150</v>
      </c>
      <c r="S13" s="460">
        <v>15</v>
      </c>
      <c r="T13" s="460">
        <v>0</v>
      </c>
      <c r="U13" s="460">
        <v>0</v>
      </c>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2" x14ac:dyDescent="0.25">
      <c r="A14" s="230" t="s">
        <v>78</v>
      </c>
      <c r="B14" s="387"/>
      <c r="C14" s="230"/>
      <c r="D14" s="230"/>
      <c r="E14" s="230"/>
      <c r="F14" s="230"/>
      <c r="G14" s="230"/>
      <c r="H14" s="230"/>
      <c r="I14" s="392">
        <v>184</v>
      </c>
      <c r="J14" s="392">
        <v>230</v>
      </c>
      <c r="K14" s="392">
        <v>221</v>
      </c>
      <c r="L14" s="392">
        <v>193</v>
      </c>
      <c r="M14" s="392">
        <v>268</v>
      </c>
      <c r="N14" s="460">
        <v>160</v>
      </c>
      <c r="O14" s="460">
        <v>135</v>
      </c>
      <c r="P14" s="460">
        <v>100</v>
      </c>
      <c r="Q14" s="460">
        <v>125</v>
      </c>
      <c r="R14" s="460">
        <v>115</v>
      </c>
      <c r="S14" s="460">
        <v>75</v>
      </c>
      <c r="T14" s="460">
        <v>25</v>
      </c>
      <c r="U14" s="460">
        <v>0</v>
      </c>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2" x14ac:dyDescent="0.25">
      <c r="A15" s="230" t="s">
        <v>79</v>
      </c>
      <c r="B15" s="387">
        <v>2030</v>
      </c>
      <c r="C15" s="230"/>
      <c r="D15" s="230"/>
      <c r="E15" s="230"/>
      <c r="F15" s="230"/>
      <c r="G15" s="230"/>
      <c r="H15" s="230"/>
      <c r="I15" s="392">
        <v>0</v>
      </c>
      <c r="J15" s="392">
        <v>0</v>
      </c>
      <c r="K15" s="392">
        <v>0</v>
      </c>
      <c r="L15" s="392">
        <v>0</v>
      </c>
      <c r="M15" s="392">
        <v>213</v>
      </c>
      <c r="N15" s="460">
        <v>750</v>
      </c>
      <c r="O15" s="460">
        <v>650</v>
      </c>
      <c r="P15" s="460">
        <v>675</v>
      </c>
      <c r="Q15" s="460">
        <v>700</v>
      </c>
      <c r="R15" s="460">
        <v>650</v>
      </c>
      <c r="S15" s="460">
        <v>575</v>
      </c>
      <c r="T15" s="460">
        <v>600</v>
      </c>
      <c r="U15" s="460">
        <v>550</v>
      </c>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2" s="1" customFormat="1" x14ac:dyDescent="0.25">
      <c r="A16" s="230" t="s">
        <v>80</v>
      </c>
      <c r="B16" s="387"/>
      <c r="C16" s="230"/>
      <c r="D16" s="230"/>
      <c r="E16" s="230"/>
      <c r="F16" s="230"/>
      <c r="G16" s="230"/>
      <c r="H16" s="230"/>
      <c r="I16" s="392">
        <v>140</v>
      </c>
      <c r="J16" s="392">
        <v>220</v>
      </c>
      <c r="K16" s="392">
        <v>196</v>
      </c>
      <c r="L16" s="392">
        <v>185</v>
      </c>
      <c r="M16" s="392">
        <v>200</v>
      </c>
      <c r="N16" s="460">
        <v>285</v>
      </c>
      <c r="O16" s="460">
        <v>250</v>
      </c>
      <c r="P16" s="460">
        <v>225</v>
      </c>
      <c r="Q16" s="460">
        <v>175</v>
      </c>
      <c r="R16" s="460">
        <v>170</v>
      </c>
      <c r="S16" s="460">
        <v>150</v>
      </c>
      <c r="T16" s="460">
        <v>100</v>
      </c>
      <c r="U16" s="460">
        <v>50</v>
      </c>
      <c r="V16" s="2"/>
      <c r="W16" s="2"/>
    </row>
    <row r="17" spans="1:52" s="1" customFormat="1" x14ac:dyDescent="0.25">
      <c r="A17" s="230" t="s">
        <v>81</v>
      </c>
      <c r="B17" s="387"/>
      <c r="C17" s="230"/>
      <c r="D17" s="230"/>
      <c r="E17" s="230"/>
      <c r="F17" s="230"/>
      <c r="G17" s="230"/>
      <c r="H17" s="230"/>
      <c r="I17" s="392">
        <v>271</v>
      </c>
      <c r="J17" s="392">
        <v>250</v>
      </c>
      <c r="K17" s="392">
        <v>252</v>
      </c>
      <c r="L17" s="392">
        <v>238</v>
      </c>
      <c r="M17" s="392">
        <v>146</v>
      </c>
      <c r="N17" s="460">
        <v>100</v>
      </c>
      <c r="O17" s="460">
        <v>65</v>
      </c>
      <c r="P17" s="460">
        <v>50</v>
      </c>
      <c r="Q17" s="460">
        <v>15</v>
      </c>
      <c r="R17" s="460">
        <v>0</v>
      </c>
      <c r="S17" s="460">
        <v>0</v>
      </c>
      <c r="T17" s="460">
        <v>0</v>
      </c>
      <c r="U17" s="460">
        <v>0</v>
      </c>
      <c r="V17" s="2"/>
      <c r="W17" s="2"/>
    </row>
    <row r="18" spans="1:52" s="1" customFormat="1" x14ac:dyDescent="0.25">
      <c r="A18" s="230" t="s">
        <v>82</v>
      </c>
      <c r="B18" s="387"/>
      <c r="C18" s="230"/>
      <c r="D18" s="230"/>
      <c r="E18" s="230"/>
      <c r="F18" s="230"/>
      <c r="G18" s="230"/>
      <c r="H18" s="230"/>
      <c r="I18" s="392">
        <f>2648+1291</f>
        <v>3939</v>
      </c>
      <c r="J18" s="392">
        <f>2016+1315</f>
        <v>3331</v>
      </c>
      <c r="K18" s="392">
        <f>1758+999</f>
        <v>2757</v>
      </c>
      <c r="L18" s="392">
        <f>1706+590</f>
        <v>2296</v>
      </c>
      <c r="M18" s="392">
        <f>1778+10</f>
        <v>1788</v>
      </c>
      <c r="N18" s="460">
        <v>1750</v>
      </c>
      <c r="O18" s="460">
        <v>1800</v>
      </c>
      <c r="P18" s="460">
        <v>1850</v>
      </c>
      <c r="Q18" s="460">
        <v>2000</v>
      </c>
      <c r="R18" s="460">
        <v>2200</v>
      </c>
      <c r="S18" s="460">
        <v>2350</v>
      </c>
      <c r="T18" s="460">
        <v>1400</v>
      </c>
      <c r="U18" s="460">
        <v>2450</v>
      </c>
      <c r="V18" s="2"/>
      <c r="W18" s="2"/>
    </row>
    <row r="19" spans="1:52" s="1" customFormat="1" x14ac:dyDescent="0.25">
      <c r="A19" s="371" t="s">
        <v>83</v>
      </c>
      <c r="B19" s="388"/>
      <c r="C19" s="371"/>
      <c r="D19" s="371"/>
      <c r="E19" s="371"/>
      <c r="F19" s="371"/>
      <c r="G19" s="372"/>
      <c r="H19" s="372"/>
      <c r="I19" s="367">
        <f t="shared" ref="I19:U19" si="3">SUM(I21:I37)</f>
        <v>12977</v>
      </c>
      <c r="J19" s="367">
        <f t="shared" si="3"/>
        <v>12532</v>
      </c>
      <c r="K19" s="367">
        <f t="shared" si="3"/>
        <v>13507</v>
      </c>
      <c r="L19" s="367">
        <f t="shared" si="3"/>
        <v>14377</v>
      </c>
      <c r="M19" s="367">
        <f t="shared" si="3"/>
        <v>13760</v>
      </c>
      <c r="N19" s="458">
        <f t="shared" si="3"/>
        <v>13705</v>
      </c>
      <c r="O19" s="458">
        <f t="shared" si="3"/>
        <v>13975</v>
      </c>
      <c r="P19" s="458">
        <f t="shared" si="3"/>
        <v>12955</v>
      </c>
      <c r="Q19" s="458">
        <f t="shared" si="3"/>
        <v>13330</v>
      </c>
      <c r="R19" s="458">
        <f t="shared" si="3"/>
        <v>13425</v>
      </c>
      <c r="S19" s="458">
        <f t="shared" si="3"/>
        <v>13535</v>
      </c>
      <c r="T19" s="458">
        <f t="shared" si="3"/>
        <v>13825</v>
      </c>
      <c r="U19" s="458">
        <f t="shared" si="3"/>
        <v>14185</v>
      </c>
      <c r="V19" s="9"/>
      <c r="W19" s="9"/>
      <c r="X19" s="254"/>
    </row>
    <row r="20" spans="1:52" s="1" customFormat="1" x14ac:dyDescent="0.25">
      <c r="A20" s="368" t="s">
        <v>72</v>
      </c>
      <c r="B20" s="389"/>
      <c r="C20" s="373"/>
      <c r="D20" s="373"/>
      <c r="E20" s="373"/>
      <c r="F20" s="373"/>
      <c r="G20" s="374"/>
      <c r="H20" s="374"/>
      <c r="I20" s="456"/>
      <c r="J20" s="370">
        <f>(J19-I19)/I19</f>
        <v>-3.4291438699237113E-2</v>
      </c>
      <c r="K20" s="370">
        <f t="shared" ref="K20:S20" si="4">(K19-J19)/J19</f>
        <v>7.7800829875518673E-2</v>
      </c>
      <c r="L20" s="370">
        <f t="shared" si="4"/>
        <v>6.4411046124231874E-2</v>
      </c>
      <c r="M20" s="370">
        <f t="shared" si="4"/>
        <v>-4.2915768240940393E-2</v>
      </c>
      <c r="N20" s="459">
        <f t="shared" si="4"/>
        <v>-3.9970930232558141E-3</v>
      </c>
      <c r="O20" s="459">
        <f t="shared" si="4"/>
        <v>1.9700839109813937E-2</v>
      </c>
      <c r="P20" s="459">
        <f t="shared" si="4"/>
        <v>-7.2987477638640427E-2</v>
      </c>
      <c r="Q20" s="459">
        <f>(Q19-P19)/P19</f>
        <v>2.8946352759552298E-2</v>
      </c>
      <c r="R20" s="459">
        <f t="shared" si="4"/>
        <v>7.1267816954238561E-3</v>
      </c>
      <c r="S20" s="459">
        <f t="shared" si="4"/>
        <v>8.1936685288640596E-3</v>
      </c>
      <c r="T20" s="459">
        <f>(T19-S19)/S19</f>
        <v>2.1425932766900628E-2</v>
      </c>
      <c r="U20" s="459">
        <f>(U19-T19)/T19</f>
        <v>2.6039783001808318E-2</v>
      </c>
      <c r="V20" s="9"/>
      <c r="W20" s="9"/>
    </row>
    <row r="21" spans="1:52" x14ac:dyDescent="0.25">
      <c r="A21" s="230" t="s">
        <v>84</v>
      </c>
      <c r="B21" s="390" t="s">
        <v>85</v>
      </c>
      <c r="C21" s="230"/>
      <c r="D21" s="230"/>
      <c r="E21" s="375"/>
      <c r="F21" s="375"/>
      <c r="G21" s="375"/>
      <c r="H21" s="375"/>
      <c r="I21" s="377">
        <v>148</v>
      </c>
      <c r="J21" s="377">
        <v>473</v>
      </c>
      <c r="K21" s="377">
        <v>1288</v>
      </c>
      <c r="L21" s="377">
        <v>2015</v>
      </c>
      <c r="M21" s="377">
        <v>2447</v>
      </c>
      <c r="N21" s="382">
        <v>2900</v>
      </c>
      <c r="O21" s="382">
        <v>3200</v>
      </c>
      <c r="P21" s="382">
        <v>3350</v>
      </c>
      <c r="Q21" s="382">
        <v>3400</v>
      </c>
      <c r="R21" s="382">
        <v>3450</v>
      </c>
      <c r="S21" s="382">
        <v>3500</v>
      </c>
      <c r="T21" s="382">
        <v>3550</v>
      </c>
      <c r="U21" s="382">
        <v>3600</v>
      </c>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spans="1:52" hidden="1" x14ac:dyDescent="0.25">
      <c r="A22" s="230" t="s">
        <v>86</v>
      </c>
      <c r="B22" s="387" t="s">
        <v>87</v>
      </c>
      <c r="C22" s="375"/>
      <c r="D22" s="375"/>
      <c r="E22" s="375"/>
      <c r="F22" s="375"/>
      <c r="G22" s="375"/>
      <c r="H22" s="375"/>
      <c r="I22" s="377">
        <v>1774</v>
      </c>
      <c r="J22" s="377">
        <v>2242</v>
      </c>
      <c r="K22" s="377">
        <v>2437</v>
      </c>
      <c r="L22" s="377">
        <v>2455</v>
      </c>
      <c r="M22" s="377">
        <v>1796</v>
      </c>
      <c r="N22" s="382">
        <v>1450</v>
      </c>
      <c r="O22" s="382">
        <v>1350</v>
      </c>
      <c r="P22" s="382"/>
      <c r="Q22" s="382"/>
      <c r="R22" s="382"/>
      <c r="S22" s="382"/>
      <c r="T22" s="382"/>
      <c r="U22" s="38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spans="1:52" ht="15" customHeight="1" x14ac:dyDescent="0.25">
      <c r="A23" s="450" t="s">
        <v>728</v>
      </c>
      <c r="B23" s="387" t="s">
        <v>88</v>
      </c>
      <c r="C23" s="375"/>
      <c r="D23" s="375"/>
      <c r="E23" s="375"/>
      <c r="F23" s="375"/>
      <c r="G23" s="375"/>
      <c r="H23" s="375"/>
      <c r="I23" s="377">
        <v>2112</v>
      </c>
      <c r="J23" s="377">
        <v>1699</v>
      </c>
      <c r="K23" s="377">
        <v>1350</v>
      </c>
      <c r="L23" s="377">
        <v>1185</v>
      </c>
      <c r="M23" s="377">
        <v>1003</v>
      </c>
      <c r="N23" s="382">
        <v>830</v>
      </c>
      <c r="O23" s="382">
        <v>750</v>
      </c>
      <c r="P23" s="382">
        <v>700</v>
      </c>
      <c r="Q23" s="382">
        <v>750</v>
      </c>
      <c r="R23" s="382">
        <v>800</v>
      </c>
      <c r="S23" s="382">
        <v>675</v>
      </c>
      <c r="T23" s="382">
        <v>600</v>
      </c>
      <c r="U23" s="382">
        <v>525</v>
      </c>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spans="1:52" x14ac:dyDescent="0.25">
      <c r="A24" s="230" t="s">
        <v>89</v>
      </c>
      <c r="B24" s="387">
        <v>2032</v>
      </c>
      <c r="C24" s="230"/>
      <c r="D24" s="230"/>
      <c r="E24" s="230"/>
      <c r="F24" s="230"/>
      <c r="G24" s="230"/>
      <c r="H24" s="230"/>
      <c r="I24" s="377">
        <v>613</v>
      </c>
      <c r="J24" s="377">
        <v>684</v>
      </c>
      <c r="K24" s="377">
        <v>618</v>
      </c>
      <c r="L24" s="377">
        <v>683</v>
      </c>
      <c r="M24" s="377">
        <v>786</v>
      </c>
      <c r="N24" s="382">
        <v>950</v>
      </c>
      <c r="O24" s="382">
        <v>1000</v>
      </c>
      <c r="P24" s="382">
        <v>1100</v>
      </c>
      <c r="Q24" s="382">
        <v>1200</v>
      </c>
      <c r="R24" s="382">
        <v>1250</v>
      </c>
      <c r="S24" s="382">
        <v>1300</v>
      </c>
      <c r="T24" s="382">
        <v>1350</v>
      </c>
      <c r="U24" s="382">
        <v>1400</v>
      </c>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spans="1:52" s="1" customFormat="1" x14ac:dyDescent="0.25">
      <c r="A25" s="230" t="s">
        <v>90</v>
      </c>
      <c r="B25" s="387"/>
      <c r="C25" s="230"/>
      <c r="D25" s="230"/>
      <c r="E25" s="230"/>
      <c r="F25" s="230"/>
      <c r="G25" s="230"/>
      <c r="H25" s="230"/>
      <c r="I25" s="377">
        <v>642</v>
      </c>
      <c r="J25" s="377">
        <v>625</v>
      </c>
      <c r="K25" s="377">
        <v>659</v>
      </c>
      <c r="L25" s="377">
        <v>657</v>
      </c>
      <c r="M25" s="377">
        <v>532</v>
      </c>
      <c r="N25" s="382">
        <v>490</v>
      </c>
      <c r="O25" s="382">
        <v>475</v>
      </c>
      <c r="P25" s="382">
        <v>400</v>
      </c>
      <c r="Q25" s="382">
        <v>375</v>
      </c>
      <c r="R25" s="382">
        <v>350</v>
      </c>
      <c r="S25" s="382">
        <v>250</v>
      </c>
      <c r="T25" s="382">
        <v>175</v>
      </c>
      <c r="U25" s="382">
        <v>125</v>
      </c>
      <c r="V25" s="2"/>
      <c r="W25" s="2"/>
    </row>
    <row r="26" spans="1:52" x14ac:dyDescent="0.25">
      <c r="A26" s="230" t="s">
        <v>91</v>
      </c>
      <c r="B26" s="387"/>
      <c r="C26" s="230"/>
      <c r="D26" s="230"/>
      <c r="E26" s="230"/>
      <c r="F26" s="230"/>
      <c r="G26" s="230"/>
      <c r="H26" s="230"/>
      <c r="I26" s="377">
        <v>0</v>
      </c>
      <c r="J26" s="377">
        <v>0</v>
      </c>
      <c r="K26" s="377">
        <v>376</v>
      </c>
      <c r="L26" s="377">
        <v>430</v>
      </c>
      <c r="M26" s="377">
        <v>491</v>
      </c>
      <c r="N26" s="382">
        <v>565</v>
      </c>
      <c r="O26" s="382">
        <v>650</v>
      </c>
      <c r="P26" s="382">
        <v>725</v>
      </c>
      <c r="Q26" s="382">
        <v>775</v>
      </c>
      <c r="R26" s="382">
        <v>825</v>
      </c>
      <c r="S26" s="382">
        <v>870</v>
      </c>
      <c r="T26" s="382">
        <v>900</v>
      </c>
      <c r="U26" s="382">
        <v>925</v>
      </c>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spans="1:52" x14ac:dyDescent="0.25">
      <c r="A27" s="230" t="s">
        <v>92</v>
      </c>
      <c r="B27" s="387"/>
      <c r="C27" s="230"/>
      <c r="D27" s="230"/>
      <c r="E27" s="230"/>
      <c r="F27" s="230"/>
      <c r="G27" s="230"/>
      <c r="H27" s="230"/>
      <c r="I27" s="377">
        <v>554</v>
      </c>
      <c r="J27" s="377">
        <v>488</v>
      </c>
      <c r="K27" s="377">
        <v>454</v>
      </c>
      <c r="L27" s="377">
        <v>438</v>
      </c>
      <c r="M27" s="377">
        <v>425</v>
      </c>
      <c r="N27" s="382">
        <v>420</v>
      </c>
      <c r="O27" s="382">
        <v>400</v>
      </c>
      <c r="P27" s="382">
        <v>390</v>
      </c>
      <c r="Q27" s="382">
        <v>350</v>
      </c>
      <c r="R27" s="382">
        <v>200</v>
      </c>
      <c r="S27" s="382">
        <v>175</v>
      </c>
      <c r="T27" s="382">
        <v>150</v>
      </c>
      <c r="U27" s="382">
        <v>125</v>
      </c>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spans="1:52" x14ac:dyDescent="0.25">
      <c r="A28" s="230" t="s">
        <v>93</v>
      </c>
      <c r="B28" s="387"/>
      <c r="C28" s="230"/>
      <c r="D28" s="230"/>
      <c r="E28" s="230"/>
      <c r="F28" s="230"/>
      <c r="G28" s="230"/>
      <c r="H28" s="230"/>
      <c r="I28" s="377">
        <v>46</v>
      </c>
      <c r="J28" s="377">
        <v>108</v>
      </c>
      <c r="K28" s="377">
        <v>212</v>
      </c>
      <c r="L28" s="377">
        <v>413</v>
      </c>
      <c r="M28" s="377">
        <v>412</v>
      </c>
      <c r="N28" s="382">
        <v>470</v>
      </c>
      <c r="O28" s="382">
        <v>500</v>
      </c>
      <c r="P28" s="382">
        <v>550</v>
      </c>
      <c r="Q28" s="382">
        <v>575</v>
      </c>
      <c r="R28" s="382">
        <v>600</v>
      </c>
      <c r="S28" s="382">
        <v>625</v>
      </c>
      <c r="T28" s="382">
        <v>650</v>
      </c>
      <c r="U28" s="382">
        <v>675</v>
      </c>
      <c r="V28" s="2"/>
      <c r="W28" s="2"/>
      <c r="X28" s="2"/>
      <c r="Y28" s="2"/>
      <c r="Z28" s="2"/>
      <c r="AA28" s="2"/>
      <c r="AN28" s="2"/>
      <c r="AO28" s="2"/>
      <c r="AP28" s="2"/>
      <c r="AQ28" s="2"/>
      <c r="AR28" s="2"/>
      <c r="AS28" s="2"/>
      <c r="AT28" s="2"/>
      <c r="AU28" s="2"/>
      <c r="AV28" s="2"/>
      <c r="AW28" s="2"/>
      <c r="AX28" s="2"/>
      <c r="AY28" s="2"/>
      <c r="AZ28" s="2"/>
    </row>
    <row r="29" spans="1:52" s="1" customFormat="1" x14ac:dyDescent="0.25">
      <c r="A29" s="230" t="s">
        <v>94</v>
      </c>
      <c r="B29" s="387"/>
      <c r="C29" s="230"/>
      <c r="D29" s="230"/>
      <c r="E29" s="230"/>
      <c r="F29" s="230"/>
      <c r="G29" s="230"/>
      <c r="H29" s="230"/>
      <c r="I29" s="377">
        <v>558</v>
      </c>
      <c r="J29" s="377">
        <v>498</v>
      </c>
      <c r="K29" s="377">
        <v>427</v>
      </c>
      <c r="L29" s="377">
        <v>389</v>
      </c>
      <c r="M29" s="377">
        <v>360</v>
      </c>
      <c r="N29" s="382">
        <v>425</v>
      </c>
      <c r="O29" s="382">
        <v>375</v>
      </c>
      <c r="P29" s="382">
        <v>350</v>
      </c>
      <c r="Q29" s="382">
        <v>325</v>
      </c>
      <c r="R29" s="382">
        <v>275</v>
      </c>
      <c r="S29" s="382">
        <v>200</v>
      </c>
      <c r="T29" s="382">
        <v>175</v>
      </c>
      <c r="U29" s="382">
        <v>150</v>
      </c>
      <c r="V29" s="2"/>
      <c r="W29" s="2"/>
    </row>
    <row r="30" spans="1:52" x14ac:dyDescent="0.25">
      <c r="A30" s="230" t="s">
        <v>95</v>
      </c>
      <c r="B30" s="387"/>
      <c r="C30" s="230"/>
      <c r="D30" s="230"/>
      <c r="E30" s="230"/>
      <c r="F30" s="230"/>
      <c r="G30" s="230"/>
      <c r="H30" s="230"/>
      <c r="I30" s="377">
        <v>326</v>
      </c>
      <c r="J30" s="377">
        <v>336</v>
      </c>
      <c r="K30" s="377">
        <v>276</v>
      </c>
      <c r="L30" s="377">
        <v>278</v>
      </c>
      <c r="M30" s="377">
        <v>331</v>
      </c>
      <c r="N30" s="382">
        <v>375</v>
      </c>
      <c r="O30" s="382">
        <v>325</v>
      </c>
      <c r="P30" s="382">
        <v>350</v>
      </c>
      <c r="Q30" s="382">
        <v>300</v>
      </c>
      <c r="R30" s="382">
        <v>275</v>
      </c>
      <c r="S30" s="382">
        <v>315</v>
      </c>
      <c r="T30" s="382">
        <v>335</v>
      </c>
      <c r="U30" s="382">
        <v>365</v>
      </c>
      <c r="V30" s="2"/>
      <c r="W30" s="2"/>
      <c r="X30" s="2"/>
      <c r="Y30" s="2"/>
      <c r="Z30" s="2"/>
      <c r="AA30" s="2"/>
      <c r="AN30" s="2"/>
      <c r="AO30" s="2"/>
      <c r="AP30" s="2"/>
      <c r="AQ30" s="2"/>
      <c r="AR30" s="2"/>
      <c r="AS30" s="2"/>
      <c r="AT30" s="2"/>
      <c r="AU30" s="2"/>
      <c r="AV30" s="2"/>
      <c r="AW30" s="2"/>
      <c r="AX30" s="2"/>
      <c r="AY30" s="2"/>
      <c r="AZ30" s="2"/>
    </row>
    <row r="31" spans="1:52" s="1" customFormat="1" x14ac:dyDescent="0.25">
      <c r="A31" s="230" t="s">
        <v>96</v>
      </c>
      <c r="B31" s="387"/>
      <c r="C31" s="230"/>
      <c r="D31" s="230"/>
      <c r="E31" s="230"/>
      <c r="F31" s="230"/>
      <c r="G31" s="230"/>
      <c r="H31" s="230"/>
      <c r="I31" s="377">
        <v>493</v>
      </c>
      <c r="J31" s="377">
        <v>469</v>
      </c>
      <c r="K31" s="377">
        <v>402</v>
      </c>
      <c r="L31" s="377">
        <v>432</v>
      </c>
      <c r="M31" s="377">
        <v>328</v>
      </c>
      <c r="N31" s="382">
        <v>330</v>
      </c>
      <c r="O31" s="382">
        <v>305</v>
      </c>
      <c r="P31" s="382">
        <v>275</v>
      </c>
      <c r="Q31" s="382">
        <v>255</v>
      </c>
      <c r="R31" s="382">
        <v>235</v>
      </c>
      <c r="S31" s="382">
        <v>200</v>
      </c>
      <c r="T31" s="382">
        <v>165</v>
      </c>
      <c r="U31" s="382">
        <v>145</v>
      </c>
      <c r="V31" s="9"/>
      <c r="W31" s="9"/>
    </row>
    <row r="32" spans="1:52" x14ac:dyDescent="0.25">
      <c r="A32" s="230" t="s">
        <v>97</v>
      </c>
      <c r="B32" s="387"/>
      <c r="C32" s="230"/>
      <c r="D32" s="230"/>
      <c r="E32" s="230"/>
      <c r="F32" s="230"/>
      <c r="G32" s="230"/>
      <c r="H32" s="230"/>
      <c r="I32" s="377">
        <v>293</v>
      </c>
      <c r="J32" s="377">
        <v>253</v>
      </c>
      <c r="K32" s="377">
        <v>252</v>
      </c>
      <c r="L32" s="377">
        <v>305</v>
      </c>
      <c r="M32" s="377">
        <v>269</v>
      </c>
      <c r="N32" s="382">
        <v>240</v>
      </c>
      <c r="O32" s="382">
        <v>250</v>
      </c>
      <c r="P32" s="382">
        <v>265</v>
      </c>
      <c r="Q32" s="382">
        <v>285</v>
      </c>
      <c r="R32" s="382">
        <v>290</v>
      </c>
      <c r="S32" s="382">
        <v>285</v>
      </c>
      <c r="T32" s="382">
        <v>305</v>
      </c>
      <c r="U32" s="382">
        <v>295</v>
      </c>
      <c r="V32" s="2"/>
      <c r="W32" s="2"/>
      <c r="X32" s="2"/>
      <c r="Y32" s="2"/>
      <c r="Z32" s="2"/>
      <c r="AA32" s="2"/>
      <c r="AN32" s="2"/>
      <c r="AO32" s="2"/>
      <c r="AP32" s="2"/>
      <c r="AQ32" s="2"/>
      <c r="AR32" s="2"/>
      <c r="AS32" s="2"/>
      <c r="AT32" s="2"/>
      <c r="AU32" s="2"/>
      <c r="AV32" s="2"/>
      <c r="AW32" s="2"/>
      <c r="AX32" s="2"/>
      <c r="AY32" s="2"/>
      <c r="AZ32" s="2"/>
    </row>
    <row r="33" spans="1:52" x14ac:dyDescent="0.25">
      <c r="A33" s="230" t="s">
        <v>98</v>
      </c>
      <c r="B33" s="387"/>
      <c r="C33" s="230"/>
      <c r="D33" s="230"/>
      <c r="E33" s="230"/>
      <c r="F33" s="230"/>
      <c r="G33" s="230"/>
      <c r="H33" s="230"/>
      <c r="I33" s="377">
        <v>267</v>
      </c>
      <c r="J33" s="377">
        <v>264</v>
      </c>
      <c r="K33" s="377">
        <v>277</v>
      </c>
      <c r="L33" s="377">
        <v>277</v>
      </c>
      <c r="M33" s="377">
        <v>268</v>
      </c>
      <c r="N33" s="382">
        <v>260</v>
      </c>
      <c r="O33" s="382">
        <v>275</v>
      </c>
      <c r="P33" s="382">
        <v>275</v>
      </c>
      <c r="Q33" s="382">
        <v>275</v>
      </c>
      <c r="R33" s="382">
        <v>275</v>
      </c>
      <c r="S33" s="382">
        <v>275</v>
      </c>
      <c r="T33" s="382">
        <v>285</v>
      </c>
      <c r="U33" s="382">
        <v>290</v>
      </c>
      <c r="V33" s="1"/>
      <c r="W33" s="1"/>
      <c r="X33" s="2"/>
      <c r="Y33" s="2"/>
      <c r="Z33" s="2"/>
      <c r="AA33" s="2"/>
      <c r="AN33" s="2"/>
      <c r="AO33" s="2"/>
      <c r="AP33" s="2"/>
      <c r="AQ33" s="2"/>
      <c r="AR33" s="2"/>
      <c r="AS33" s="2"/>
      <c r="AT33" s="2"/>
      <c r="AU33" s="2"/>
      <c r="AV33" s="2"/>
      <c r="AW33" s="2"/>
      <c r="AX33" s="2"/>
      <c r="AY33" s="2"/>
      <c r="AZ33" s="2"/>
    </row>
    <row r="34" spans="1:52" x14ac:dyDescent="0.25">
      <c r="A34" s="230" t="s">
        <v>99</v>
      </c>
      <c r="B34" s="387"/>
      <c r="C34" s="230"/>
      <c r="D34" s="230"/>
      <c r="E34" s="230"/>
      <c r="F34" s="230"/>
      <c r="G34" s="230"/>
      <c r="H34" s="230"/>
      <c r="I34" s="377">
        <v>514</v>
      </c>
      <c r="J34" s="377">
        <v>426</v>
      </c>
      <c r="K34" s="377">
        <v>370</v>
      </c>
      <c r="L34" s="377">
        <v>304</v>
      </c>
      <c r="M34" s="377">
        <v>239</v>
      </c>
      <c r="N34" s="382">
        <v>220</v>
      </c>
      <c r="O34" s="382">
        <v>185</v>
      </c>
      <c r="P34" s="382">
        <v>150</v>
      </c>
      <c r="Q34" s="382">
        <v>100</v>
      </c>
      <c r="R34" s="382">
        <v>50</v>
      </c>
      <c r="S34" s="382">
        <v>0</v>
      </c>
      <c r="T34" s="382">
        <v>0</v>
      </c>
      <c r="U34" s="382">
        <v>0</v>
      </c>
      <c r="V34" s="2"/>
      <c r="W34" s="2"/>
      <c r="X34" s="2"/>
      <c r="Y34" s="2"/>
      <c r="Z34" s="2"/>
      <c r="AA34" s="2"/>
      <c r="AN34" s="2"/>
      <c r="AO34" s="2"/>
      <c r="AP34" s="2"/>
      <c r="AQ34" s="2"/>
      <c r="AR34" s="2"/>
      <c r="AS34" s="2"/>
      <c r="AT34" s="2"/>
      <c r="AU34" s="2"/>
      <c r="AV34" s="2"/>
      <c r="AW34" s="2"/>
      <c r="AX34" s="2"/>
      <c r="AY34" s="2"/>
      <c r="AZ34" s="2"/>
    </row>
    <row r="35" spans="1:52" x14ac:dyDescent="0.25">
      <c r="A35" s="230" t="s">
        <v>100</v>
      </c>
      <c r="B35" s="387"/>
      <c r="C35" s="230"/>
      <c r="D35" s="230"/>
      <c r="E35" s="230"/>
      <c r="F35" s="230"/>
      <c r="G35" s="230"/>
      <c r="H35" s="230"/>
      <c r="I35" s="377">
        <v>392</v>
      </c>
      <c r="J35" s="377">
        <v>346</v>
      </c>
      <c r="K35" s="377">
        <v>270</v>
      </c>
      <c r="L35" s="377">
        <v>267</v>
      </c>
      <c r="M35" s="377">
        <v>225</v>
      </c>
      <c r="N35" s="382">
        <v>210</v>
      </c>
      <c r="O35" s="382">
        <v>185</v>
      </c>
      <c r="P35" s="382">
        <v>175</v>
      </c>
      <c r="Q35" s="382">
        <v>165</v>
      </c>
      <c r="R35" s="382">
        <v>150</v>
      </c>
      <c r="S35" s="382">
        <v>115</v>
      </c>
      <c r="T35" s="382">
        <v>85</v>
      </c>
      <c r="U35" s="382">
        <v>65</v>
      </c>
      <c r="V35" s="2"/>
      <c r="W35" s="2"/>
      <c r="X35" s="2"/>
      <c r="Y35" s="2"/>
      <c r="Z35" s="2"/>
      <c r="AA35" s="2"/>
      <c r="AN35" s="2"/>
      <c r="AO35" s="2"/>
      <c r="AP35" s="2"/>
      <c r="AQ35" s="2"/>
      <c r="AR35" s="2"/>
      <c r="AS35" s="2"/>
      <c r="AT35" s="2"/>
      <c r="AU35" s="2"/>
      <c r="AV35" s="2"/>
      <c r="AW35" s="2"/>
      <c r="AX35" s="2"/>
      <c r="AY35" s="2"/>
      <c r="AZ35" s="2"/>
    </row>
    <row r="36" spans="1:52" x14ac:dyDescent="0.25">
      <c r="A36" s="230" t="s">
        <v>101</v>
      </c>
      <c r="B36" s="387"/>
      <c r="C36" s="230"/>
      <c r="D36" s="230"/>
      <c r="E36" s="230"/>
      <c r="F36" s="230"/>
      <c r="G36" s="375"/>
      <c r="H36" s="375"/>
      <c r="I36" s="377">
        <v>2584</v>
      </c>
      <c r="J36" s="377">
        <v>2225</v>
      </c>
      <c r="K36" s="377">
        <v>2435</v>
      </c>
      <c r="L36" s="377">
        <v>2412</v>
      </c>
      <c r="M36" s="377">
        <v>2377</v>
      </c>
      <c r="N36" s="382">
        <v>2320</v>
      </c>
      <c r="O36" s="382">
        <v>2400</v>
      </c>
      <c r="P36" s="382">
        <v>2500</v>
      </c>
      <c r="Q36" s="382">
        <v>2650</v>
      </c>
      <c r="R36" s="382">
        <v>2750</v>
      </c>
      <c r="S36" s="382">
        <v>3000</v>
      </c>
      <c r="T36" s="382">
        <v>3250</v>
      </c>
      <c r="U36" s="382">
        <v>3500</v>
      </c>
      <c r="V36" s="2"/>
      <c r="W36" s="2"/>
      <c r="X36" s="2"/>
      <c r="Y36" s="2"/>
      <c r="Z36" s="2"/>
      <c r="AA36" s="2"/>
      <c r="AN36" s="2"/>
      <c r="AO36" s="2"/>
      <c r="AP36" s="2"/>
      <c r="AQ36" s="2"/>
      <c r="AR36" s="2"/>
      <c r="AS36" s="2"/>
      <c r="AT36" s="2"/>
      <c r="AU36" s="2"/>
      <c r="AV36" s="2"/>
      <c r="AW36" s="2"/>
      <c r="AX36" s="2"/>
      <c r="AY36" s="2"/>
      <c r="AZ36" s="2"/>
    </row>
    <row r="37" spans="1:52" x14ac:dyDescent="0.25">
      <c r="A37" s="230" t="s">
        <v>102</v>
      </c>
      <c r="B37" s="387"/>
      <c r="C37" s="375"/>
      <c r="D37" s="375"/>
      <c r="E37" s="375"/>
      <c r="F37" s="375"/>
      <c r="G37" s="375"/>
      <c r="H37" s="375"/>
      <c r="I37" s="377">
        <v>1661</v>
      </c>
      <c r="J37" s="377">
        <v>1396</v>
      </c>
      <c r="K37" s="377">
        <v>1404</v>
      </c>
      <c r="L37" s="377">
        <v>1437</v>
      </c>
      <c r="M37" s="377">
        <v>1471</v>
      </c>
      <c r="N37" s="382">
        <v>1250</v>
      </c>
      <c r="O37" s="382">
        <v>1350</v>
      </c>
      <c r="P37" s="382">
        <v>1400</v>
      </c>
      <c r="Q37" s="382">
        <v>1550</v>
      </c>
      <c r="R37" s="382">
        <v>1650</v>
      </c>
      <c r="S37" s="382">
        <v>1750</v>
      </c>
      <c r="T37" s="382">
        <v>1850</v>
      </c>
      <c r="U37" s="382">
        <v>2000</v>
      </c>
      <c r="V37" s="2"/>
      <c r="W37" s="2"/>
      <c r="X37" s="2"/>
      <c r="Y37" s="2"/>
      <c r="Z37" s="2"/>
      <c r="AA37" s="2"/>
      <c r="AN37" s="2"/>
      <c r="AO37" s="2"/>
      <c r="AP37" s="2"/>
      <c r="AQ37" s="2"/>
      <c r="AR37" s="2"/>
      <c r="AS37" s="2"/>
      <c r="AT37" s="2"/>
      <c r="AU37" s="2"/>
      <c r="AV37" s="2"/>
      <c r="AW37" s="2"/>
      <c r="AX37" s="2"/>
      <c r="AY37" s="2"/>
      <c r="AZ37" s="2"/>
    </row>
    <row r="38" spans="1:52" x14ac:dyDescent="0.25">
      <c r="A38" s="371" t="s">
        <v>103</v>
      </c>
      <c r="B38" s="388"/>
      <c r="C38" s="378"/>
      <c r="D38" s="378"/>
      <c r="E38" s="372"/>
      <c r="F38" s="372"/>
      <c r="G38" s="372"/>
      <c r="H38" s="372"/>
      <c r="I38" s="367">
        <f t="shared" ref="I38:U38" si="5">SUM(I40:I56)</f>
        <v>7472</v>
      </c>
      <c r="J38" s="367">
        <f t="shared" si="5"/>
        <v>8668</v>
      </c>
      <c r="K38" s="367">
        <f t="shared" si="5"/>
        <v>10866</v>
      </c>
      <c r="L38" s="367">
        <f t="shared" si="5"/>
        <v>12333</v>
      </c>
      <c r="M38" s="367">
        <f t="shared" si="5"/>
        <v>12133</v>
      </c>
      <c r="N38" s="458">
        <f t="shared" si="5"/>
        <v>11980</v>
      </c>
      <c r="O38" s="458">
        <f t="shared" si="5"/>
        <v>12510</v>
      </c>
      <c r="P38" s="458">
        <f t="shared" si="5"/>
        <v>13065</v>
      </c>
      <c r="Q38" s="458">
        <f t="shared" si="5"/>
        <v>13620</v>
      </c>
      <c r="R38" s="458">
        <f t="shared" si="5"/>
        <v>13865</v>
      </c>
      <c r="S38" s="458">
        <f t="shared" si="5"/>
        <v>13605</v>
      </c>
      <c r="T38" s="458">
        <f t="shared" si="5"/>
        <v>13375</v>
      </c>
      <c r="U38" s="458">
        <f t="shared" si="5"/>
        <v>13185</v>
      </c>
      <c r="V38" s="2"/>
      <c r="W38" s="2"/>
      <c r="X38" s="2"/>
      <c r="Y38" s="2"/>
      <c r="Z38" s="2"/>
      <c r="AA38" s="2"/>
      <c r="AN38" s="2"/>
      <c r="AO38" s="2"/>
      <c r="AP38" s="2"/>
      <c r="AQ38" s="2"/>
      <c r="AR38" s="2"/>
      <c r="AS38" s="2"/>
      <c r="AT38" s="2"/>
      <c r="AU38" s="2"/>
      <c r="AV38" s="2"/>
      <c r="AW38" s="2"/>
      <c r="AX38" s="2"/>
      <c r="AY38" s="2"/>
      <c r="AZ38" s="2"/>
    </row>
    <row r="39" spans="1:52" x14ac:dyDescent="0.25">
      <c r="A39" s="368" t="s">
        <v>72</v>
      </c>
      <c r="B39" s="391"/>
      <c r="C39" s="380"/>
      <c r="D39" s="380"/>
      <c r="E39" s="369"/>
      <c r="F39" s="369"/>
      <c r="G39" s="369"/>
      <c r="H39" s="369"/>
      <c r="I39" s="456"/>
      <c r="J39" s="370">
        <f>(J38-I38)/I38</f>
        <v>0.16006423982869378</v>
      </c>
      <c r="K39" s="370">
        <f t="shared" ref="K39:S39" si="6">(K38-J38)/J38</f>
        <v>0.25357637286571294</v>
      </c>
      <c r="L39" s="370">
        <f t="shared" si="6"/>
        <v>0.1350082827167311</v>
      </c>
      <c r="M39" s="370">
        <f t="shared" si="6"/>
        <v>-1.6216654504175788E-2</v>
      </c>
      <c r="N39" s="459">
        <f t="shared" si="6"/>
        <v>-1.2610236544960027E-2</v>
      </c>
      <c r="O39" s="459">
        <f t="shared" si="6"/>
        <v>4.4240400667779629E-2</v>
      </c>
      <c r="P39" s="459">
        <f t="shared" si="6"/>
        <v>4.4364508393285373E-2</v>
      </c>
      <c r="Q39" s="459">
        <f t="shared" si="6"/>
        <v>4.2479908151549943E-2</v>
      </c>
      <c r="R39" s="459">
        <f t="shared" si="6"/>
        <v>1.7988252569750368E-2</v>
      </c>
      <c r="S39" s="459">
        <f t="shared" si="6"/>
        <v>-1.875225387666787E-2</v>
      </c>
      <c r="T39" s="459">
        <f>(T38-S38)/S38</f>
        <v>-1.6905549430356485E-2</v>
      </c>
      <c r="U39" s="459">
        <f>(U38-T38)/T38</f>
        <v>-1.4205607476635514E-2</v>
      </c>
      <c r="V39" s="2"/>
      <c r="W39" s="2"/>
      <c r="X39" s="2"/>
      <c r="Y39" s="2"/>
      <c r="Z39" s="2"/>
      <c r="AA39" s="2"/>
      <c r="AN39" s="2"/>
      <c r="AO39" s="2"/>
      <c r="AP39" s="2"/>
      <c r="AQ39" s="2"/>
      <c r="AR39" s="2"/>
      <c r="AS39" s="2"/>
      <c r="AT39" s="2"/>
      <c r="AU39" s="2"/>
      <c r="AV39" s="2"/>
      <c r="AW39" s="2"/>
      <c r="AX39" s="2"/>
      <c r="AY39" s="2"/>
      <c r="AZ39" s="2"/>
    </row>
    <row r="40" spans="1:52" x14ac:dyDescent="0.25">
      <c r="A40" s="230" t="s">
        <v>104</v>
      </c>
      <c r="B40" s="387" t="s">
        <v>105</v>
      </c>
      <c r="C40" s="375"/>
      <c r="D40" s="375"/>
      <c r="E40" s="375"/>
      <c r="F40" s="375"/>
      <c r="G40" s="375"/>
      <c r="H40" s="375"/>
      <c r="I40" s="377">
        <v>4118</v>
      </c>
      <c r="J40" s="377">
        <v>4961</v>
      </c>
      <c r="K40" s="377">
        <v>5392</v>
      </c>
      <c r="L40" s="377">
        <v>5437</v>
      </c>
      <c r="M40" s="377">
        <v>5120</v>
      </c>
      <c r="N40" s="382">
        <v>4900</v>
      </c>
      <c r="O40" s="382">
        <v>5000</v>
      </c>
      <c r="P40" s="382">
        <v>5150</v>
      </c>
      <c r="Q40" s="382">
        <v>5250</v>
      </c>
      <c r="R40" s="382">
        <v>5300</v>
      </c>
      <c r="S40" s="382">
        <v>5000</v>
      </c>
      <c r="T40" s="382">
        <v>4700</v>
      </c>
      <c r="U40" s="382">
        <v>4550</v>
      </c>
      <c r="V40" s="16"/>
      <c r="W40" s="16"/>
      <c r="X40" s="2"/>
      <c r="Y40" s="2"/>
      <c r="Z40" s="2"/>
      <c r="AA40" s="2"/>
      <c r="AN40" s="2"/>
      <c r="AO40" s="2"/>
      <c r="AP40" s="2"/>
      <c r="AQ40" s="2"/>
      <c r="AR40" s="2"/>
      <c r="AS40" s="2"/>
      <c r="AT40" s="2"/>
      <c r="AU40" s="2"/>
      <c r="AV40" s="2"/>
      <c r="AW40" s="2"/>
      <c r="AX40" s="2"/>
      <c r="AY40" s="2"/>
      <c r="AZ40" s="2"/>
    </row>
    <row r="41" spans="1:52" x14ac:dyDescent="0.25">
      <c r="A41" s="230" t="s">
        <v>730</v>
      </c>
      <c r="B41" s="387" t="s">
        <v>106</v>
      </c>
      <c r="C41" s="230"/>
      <c r="D41" s="230"/>
      <c r="E41" s="375"/>
      <c r="F41" s="375"/>
      <c r="G41" s="375"/>
      <c r="H41" s="375"/>
      <c r="I41" s="377">
        <v>699</v>
      </c>
      <c r="J41" s="377">
        <v>838</v>
      </c>
      <c r="K41" s="377">
        <v>1024</v>
      </c>
      <c r="L41" s="377">
        <v>1185</v>
      </c>
      <c r="M41" s="377">
        <v>1198</v>
      </c>
      <c r="N41" s="382">
        <v>1175</v>
      </c>
      <c r="O41" s="382">
        <v>1200</v>
      </c>
      <c r="P41" s="382">
        <v>1250</v>
      </c>
      <c r="Q41" s="382">
        <v>1300</v>
      </c>
      <c r="R41" s="382">
        <v>1350</v>
      </c>
      <c r="S41" s="382">
        <v>1300</v>
      </c>
      <c r="T41" s="382">
        <v>1200</v>
      </c>
      <c r="U41" s="382">
        <v>1050</v>
      </c>
      <c r="V41" s="2"/>
      <c r="W41" s="2"/>
      <c r="X41" s="2"/>
      <c r="Y41" s="2"/>
      <c r="Z41" s="2"/>
      <c r="AA41" s="2"/>
      <c r="AN41" s="2"/>
      <c r="AO41" s="2"/>
      <c r="AP41" s="2"/>
      <c r="AQ41" s="2"/>
      <c r="AR41" s="2"/>
      <c r="AS41" s="2"/>
      <c r="AT41" s="2"/>
      <c r="AU41" s="2"/>
      <c r="AV41" s="2"/>
      <c r="AW41" s="2"/>
      <c r="AX41" s="2"/>
      <c r="AY41" s="2"/>
      <c r="AZ41" s="2"/>
    </row>
    <row r="42" spans="1:52" ht="15" customHeight="1" x14ac:dyDescent="0.25">
      <c r="A42" s="230" t="s">
        <v>107</v>
      </c>
      <c r="B42" s="387">
        <v>2025</v>
      </c>
      <c r="C42" s="230"/>
      <c r="D42" s="230"/>
      <c r="E42" s="230"/>
      <c r="F42" s="375"/>
      <c r="G42" s="375"/>
      <c r="H42" s="375"/>
      <c r="I42" s="377">
        <v>298</v>
      </c>
      <c r="J42" s="377">
        <v>477</v>
      </c>
      <c r="K42" s="377">
        <v>787</v>
      </c>
      <c r="L42" s="377">
        <v>1002</v>
      </c>
      <c r="M42" s="377">
        <v>1003</v>
      </c>
      <c r="N42" s="382">
        <v>1075</v>
      </c>
      <c r="O42" s="382">
        <v>1100</v>
      </c>
      <c r="P42" s="382">
        <v>1150</v>
      </c>
      <c r="Q42" s="382">
        <v>1100</v>
      </c>
      <c r="R42" s="382">
        <v>975</v>
      </c>
      <c r="S42" s="382">
        <v>900</v>
      </c>
      <c r="T42" s="382">
        <v>850</v>
      </c>
      <c r="U42" s="382">
        <v>750</v>
      </c>
      <c r="V42" s="2"/>
      <c r="W42" s="2"/>
      <c r="X42" s="2"/>
      <c r="Y42" s="2"/>
      <c r="Z42" s="2"/>
      <c r="AA42" s="2"/>
      <c r="AN42" s="2"/>
      <c r="AO42" s="2"/>
      <c r="AP42" s="2"/>
      <c r="AQ42" s="2"/>
      <c r="AR42" s="2"/>
      <c r="AS42" s="2"/>
      <c r="AT42" s="2"/>
      <c r="AU42" s="2"/>
      <c r="AV42" s="2"/>
      <c r="AW42" s="2"/>
      <c r="AX42" s="2"/>
      <c r="AY42" s="2"/>
      <c r="AZ42" s="2"/>
    </row>
    <row r="43" spans="1:52" s="9" customFormat="1" ht="15" customHeight="1" x14ac:dyDescent="0.25">
      <c r="A43" s="230" t="s">
        <v>108</v>
      </c>
      <c r="B43" s="387">
        <v>2025</v>
      </c>
      <c r="C43" s="230"/>
      <c r="D43" s="230"/>
      <c r="E43" s="230"/>
      <c r="F43" s="230"/>
      <c r="G43" s="230"/>
      <c r="H43" s="230"/>
      <c r="I43" s="377">
        <v>296</v>
      </c>
      <c r="J43" s="377">
        <v>365</v>
      </c>
      <c r="K43" s="377">
        <v>450</v>
      </c>
      <c r="L43" s="377">
        <v>540</v>
      </c>
      <c r="M43" s="377">
        <v>575</v>
      </c>
      <c r="N43" s="382">
        <v>610</v>
      </c>
      <c r="O43" s="382">
        <v>625</v>
      </c>
      <c r="P43" s="382">
        <v>650</v>
      </c>
      <c r="Q43" s="382">
        <v>700</v>
      </c>
      <c r="R43" s="382">
        <v>675</v>
      </c>
      <c r="S43" s="382">
        <v>615</v>
      </c>
      <c r="T43" s="382">
        <v>575</v>
      </c>
      <c r="U43" s="382">
        <v>550</v>
      </c>
    </row>
    <row r="44" spans="1:52" s="9" customFormat="1" x14ac:dyDescent="0.25">
      <c r="A44" s="230" t="s">
        <v>109</v>
      </c>
      <c r="B44" s="387"/>
      <c r="C44" s="230"/>
      <c r="D44" s="230"/>
      <c r="E44" s="230"/>
      <c r="F44" s="230"/>
      <c r="G44" s="230"/>
      <c r="H44" s="230"/>
      <c r="I44" s="377">
        <v>0</v>
      </c>
      <c r="J44" s="377">
        <v>1</v>
      </c>
      <c r="K44" s="377">
        <v>143</v>
      </c>
      <c r="L44" s="377">
        <v>444</v>
      </c>
      <c r="M44" s="377">
        <v>562</v>
      </c>
      <c r="N44" s="382">
        <v>475</v>
      </c>
      <c r="O44" s="382">
        <v>475</v>
      </c>
      <c r="P44" s="382">
        <v>500</v>
      </c>
      <c r="Q44" s="382">
        <v>525</v>
      </c>
      <c r="R44" s="382">
        <v>550</v>
      </c>
      <c r="S44" s="382">
        <v>575</v>
      </c>
      <c r="T44" s="382">
        <v>600</v>
      </c>
      <c r="U44" s="382">
        <v>625</v>
      </c>
      <c r="V44" s="2"/>
      <c r="W44" s="2"/>
    </row>
    <row r="45" spans="1:52" s="9" customFormat="1" x14ac:dyDescent="0.25">
      <c r="A45" s="230" t="s">
        <v>110</v>
      </c>
      <c r="B45" s="387" t="s">
        <v>111</v>
      </c>
      <c r="C45" s="230"/>
      <c r="D45" s="230"/>
      <c r="E45" s="230"/>
      <c r="F45" s="230"/>
      <c r="G45" s="230"/>
      <c r="H45" s="230"/>
      <c r="I45" s="377">
        <v>524</v>
      </c>
      <c r="J45" s="377">
        <v>530</v>
      </c>
      <c r="K45" s="377">
        <v>544</v>
      </c>
      <c r="L45" s="377">
        <v>493</v>
      </c>
      <c r="M45" s="377">
        <v>465</v>
      </c>
      <c r="N45" s="382">
        <v>400</v>
      </c>
      <c r="O45" s="382">
        <v>350</v>
      </c>
      <c r="P45" s="382">
        <v>300</v>
      </c>
      <c r="Q45" s="382">
        <v>265</v>
      </c>
      <c r="R45" s="382">
        <v>215</v>
      </c>
      <c r="S45" s="382">
        <v>175</v>
      </c>
      <c r="T45" s="382">
        <v>100</v>
      </c>
      <c r="U45" s="382">
        <v>50</v>
      </c>
      <c r="V45" s="2"/>
      <c r="W45" s="2"/>
    </row>
    <row r="46" spans="1:52" s="9" customFormat="1" x14ac:dyDescent="0.25">
      <c r="A46" s="230" t="s">
        <v>112</v>
      </c>
      <c r="B46" s="387"/>
      <c r="C46" s="230"/>
      <c r="D46" s="381"/>
      <c r="E46" s="230"/>
      <c r="F46" s="230"/>
      <c r="G46" s="230"/>
      <c r="H46" s="230"/>
      <c r="I46" s="377">
        <v>0</v>
      </c>
      <c r="J46" s="377">
        <v>1</v>
      </c>
      <c r="K46" s="377">
        <v>170</v>
      </c>
      <c r="L46" s="377">
        <v>491</v>
      </c>
      <c r="M46" s="377">
        <v>458</v>
      </c>
      <c r="N46" s="382">
        <v>430</v>
      </c>
      <c r="O46" s="382">
        <v>475</v>
      </c>
      <c r="P46" s="382">
        <v>550</v>
      </c>
      <c r="Q46" s="382">
        <v>615</v>
      </c>
      <c r="R46" s="382">
        <v>675</v>
      </c>
      <c r="S46" s="382">
        <v>700</v>
      </c>
      <c r="T46" s="382">
        <v>725</v>
      </c>
      <c r="U46" s="382">
        <v>750</v>
      </c>
      <c r="V46" s="1"/>
      <c r="W46" s="1"/>
    </row>
    <row r="47" spans="1:52" s="16" customFormat="1" x14ac:dyDescent="0.25">
      <c r="A47" s="230" t="s">
        <v>113</v>
      </c>
      <c r="B47" s="387"/>
      <c r="C47" s="230"/>
      <c r="D47" s="230"/>
      <c r="E47" s="230"/>
      <c r="F47" s="230"/>
      <c r="G47" s="230"/>
      <c r="H47" s="230"/>
      <c r="I47" s="377">
        <v>82</v>
      </c>
      <c r="J47" s="377">
        <v>225</v>
      </c>
      <c r="K47" s="377">
        <v>386</v>
      </c>
      <c r="L47" s="377">
        <v>444</v>
      </c>
      <c r="M47" s="377">
        <v>394</v>
      </c>
      <c r="N47" s="382">
        <v>360</v>
      </c>
      <c r="O47" s="382">
        <v>375</v>
      </c>
      <c r="P47" s="382">
        <v>400</v>
      </c>
      <c r="Q47" s="382">
        <v>425</v>
      </c>
      <c r="R47" s="382">
        <v>450</v>
      </c>
      <c r="S47" s="382">
        <v>500</v>
      </c>
      <c r="T47" s="382">
        <v>525</v>
      </c>
      <c r="U47" s="382">
        <v>550</v>
      </c>
      <c r="V47" s="2"/>
      <c r="W47" s="2"/>
    </row>
    <row r="48" spans="1:52" x14ac:dyDescent="0.25">
      <c r="A48" s="230" t="s">
        <v>114</v>
      </c>
      <c r="B48" s="387"/>
      <c r="C48" s="375"/>
      <c r="D48" s="230"/>
      <c r="E48" s="230"/>
      <c r="F48" s="230"/>
      <c r="G48" s="230"/>
      <c r="H48" s="230"/>
      <c r="I48" s="377">
        <v>1049</v>
      </c>
      <c r="J48" s="377">
        <v>936</v>
      </c>
      <c r="K48" s="377">
        <v>819</v>
      </c>
      <c r="L48" s="377">
        <v>673</v>
      </c>
      <c r="M48" s="377">
        <v>347</v>
      </c>
      <c r="N48" s="382">
        <v>195</v>
      </c>
      <c r="O48" s="382">
        <v>150</v>
      </c>
      <c r="P48" s="382">
        <v>100</v>
      </c>
      <c r="Q48" s="382">
        <v>75</v>
      </c>
      <c r="R48" s="382">
        <v>50</v>
      </c>
      <c r="S48" s="382">
        <v>0</v>
      </c>
      <c r="T48" s="382">
        <v>0</v>
      </c>
      <c r="U48" s="382">
        <v>0</v>
      </c>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spans="1:52" x14ac:dyDescent="0.25">
      <c r="A49" s="230" t="s">
        <v>115</v>
      </c>
      <c r="B49" s="387" t="s">
        <v>116</v>
      </c>
      <c r="C49" s="230"/>
      <c r="D49" s="230"/>
      <c r="E49" s="230"/>
      <c r="F49" s="230"/>
      <c r="G49" s="230"/>
      <c r="H49" s="230"/>
      <c r="I49" s="377">
        <v>11</v>
      </c>
      <c r="J49" s="377">
        <v>115</v>
      </c>
      <c r="K49" s="377">
        <v>204</v>
      </c>
      <c r="L49" s="377">
        <v>266</v>
      </c>
      <c r="M49" s="377">
        <v>343</v>
      </c>
      <c r="N49" s="382">
        <v>475</v>
      </c>
      <c r="O49" s="382">
        <v>500</v>
      </c>
      <c r="P49" s="382">
        <v>520</v>
      </c>
      <c r="Q49" s="382">
        <v>540</v>
      </c>
      <c r="R49" s="382">
        <v>565</v>
      </c>
      <c r="S49" s="382">
        <v>575</v>
      </c>
      <c r="T49" s="382">
        <v>625</v>
      </c>
      <c r="U49" s="382">
        <v>650</v>
      </c>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spans="1:52" x14ac:dyDescent="0.25">
      <c r="A50" s="230" t="s">
        <v>731</v>
      </c>
      <c r="B50" s="387"/>
      <c r="C50" s="230"/>
      <c r="D50" s="230"/>
      <c r="E50" s="230"/>
      <c r="F50" s="230"/>
      <c r="G50" s="230"/>
      <c r="H50" s="230"/>
      <c r="I50" s="377">
        <v>0</v>
      </c>
      <c r="J50" s="377">
        <v>0</v>
      </c>
      <c r="K50" s="377">
        <v>80</v>
      </c>
      <c r="L50" s="377">
        <v>178</v>
      </c>
      <c r="M50" s="377">
        <v>271</v>
      </c>
      <c r="N50" s="382">
        <v>350</v>
      </c>
      <c r="O50" s="382">
        <v>385</v>
      </c>
      <c r="P50" s="382">
        <v>400</v>
      </c>
      <c r="Q50" s="382">
        <v>425</v>
      </c>
      <c r="R50" s="382">
        <v>450</v>
      </c>
      <c r="S50" s="382">
        <v>475</v>
      </c>
      <c r="T50" s="382">
        <v>500</v>
      </c>
      <c r="U50" s="382">
        <v>525</v>
      </c>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spans="1:52" x14ac:dyDescent="0.25">
      <c r="A51" s="230" t="s">
        <v>117</v>
      </c>
      <c r="B51" s="387"/>
      <c r="C51" s="230"/>
      <c r="D51" s="230"/>
      <c r="E51" s="230"/>
      <c r="F51" s="230"/>
      <c r="G51" s="230"/>
      <c r="H51" s="230"/>
      <c r="I51" s="377">
        <v>0</v>
      </c>
      <c r="J51" s="377">
        <v>0</v>
      </c>
      <c r="K51" s="377">
        <v>148</v>
      </c>
      <c r="L51" s="377">
        <v>211</v>
      </c>
      <c r="M51" s="377">
        <v>248</v>
      </c>
      <c r="N51" s="382">
        <v>305</v>
      </c>
      <c r="O51" s="382">
        <v>320</v>
      </c>
      <c r="P51" s="382">
        <v>350</v>
      </c>
      <c r="Q51" s="382">
        <v>365</v>
      </c>
      <c r="R51" s="382">
        <v>375</v>
      </c>
      <c r="S51" s="382">
        <v>400</v>
      </c>
      <c r="T51" s="382">
        <v>425</v>
      </c>
      <c r="U51" s="382">
        <v>450</v>
      </c>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spans="1:52" x14ac:dyDescent="0.25">
      <c r="A52" s="230" t="s">
        <v>118</v>
      </c>
      <c r="B52" s="387"/>
      <c r="C52" s="230"/>
      <c r="D52" s="230"/>
      <c r="E52" s="230"/>
      <c r="F52" s="230"/>
      <c r="G52" s="230"/>
      <c r="H52" s="230"/>
      <c r="I52" s="377">
        <v>0</v>
      </c>
      <c r="J52" s="377">
        <v>0</v>
      </c>
      <c r="K52" s="377">
        <v>182</v>
      </c>
      <c r="L52" s="377">
        <v>192</v>
      </c>
      <c r="M52" s="377">
        <v>219</v>
      </c>
      <c r="N52" s="382">
        <v>245</v>
      </c>
      <c r="O52" s="382">
        <v>265</v>
      </c>
      <c r="P52" s="382">
        <v>275</v>
      </c>
      <c r="Q52" s="382">
        <v>285</v>
      </c>
      <c r="R52" s="382">
        <v>300</v>
      </c>
      <c r="S52" s="382">
        <v>315</v>
      </c>
      <c r="T52" s="382">
        <v>330</v>
      </c>
      <c r="U52" s="382">
        <v>345</v>
      </c>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spans="1:52" x14ac:dyDescent="0.25">
      <c r="A53" s="230" t="s">
        <v>119</v>
      </c>
      <c r="B53" s="387"/>
      <c r="C53" s="230"/>
      <c r="D53" s="230"/>
      <c r="E53" s="230"/>
      <c r="F53" s="230"/>
      <c r="G53" s="230"/>
      <c r="H53" s="230"/>
      <c r="I53" s="377">
        <v>0</v>
      </c>
      <c r="J53" s="377">
        <v>0</v>
      </c>
      <c r="K53" s="377">
        <v>98</v>
      </c>
      <c r="L53" s="377">
        <v>197</v>
      </c>
      <c r="M53" s="377">
        <v>203</v>
      </c>
      <c r="N53" s="382">
        <v>140</v>
      </c>
      <c r="O53" s="382">
        <v>150</v>
      </c>
      <c r="P53" s="382">
        <v>155</v>
      </c>
      <c r="Q53" s="382">
        <v>160</v>
      </c>
      <c r="R53" s="382">
        <v>175</v>
      </c>
      <c r="S53" s="382">
        <v>150</v>
      </c>
      <c r="T53" s="382">
        <v>135</v>
      </c>
      <c r="U53" s="382">
        <v>100</v>
      </c>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spans="1:52" x14ac:dyDescent="0.25">
      <c r="A54" s="230" t="s">
        <v>120</v>
      </c>
      <c r="B54" s="387" t="s">
        <v>121</v>
      </c>
      <c r="C54" s="230"/>
      <c r="D54" s="230"/>
      <c r="E54" s="230"/>
      <c r="F54" s="230"/>
      <c r="G54" s="230"/>
      <c r="H54" s="230"/>
      <c r="I54" s="377">
        <v>0</v>
      </c>
      <c r="J54" s="377">
        <v>48</v>
      </c>
      <c r="K54" s="377">
        <v>160</v>
      </c>
      <c r="L54" s="377">
        <v>187</v>
      </c>
      <c r="M54" s="377">
        <v>194</v>
      </c>
      <c r="N54" s="382">
        <v>200</v>
      </c>
      <c r="O54" s="382">
        <v>210</v>
      </c>
      <c r="P54" s="382">
        <v>230</v>
      </c>
      <c r="Q54" s="382">
        <v>250</v>
      </c>
      <c r="R54" s="382">
        <v>265</v>
      </c>
      <c r="S54" s="382">
        <v>275</v>
      </c>
      <c r="T54" s="382">
        <v>280</v>
      </c>
      <c r="U54" s="382">
        <v>285</v>
      </c>
      <c r="V54" s="1"/>
      <c r="W54" s="1"/>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spans="1:52" x14ac:dyDescent="0.25">
      <c r="A55" s="230" t="s">
        <v>122</v>
      </c>
      <c r="B55" s="387" t="s">
        <v>123</v>
      </c>
      <c r="C55" s="230"/>
      <c r="D55" s="230"/>
      <c r="E55" s="230"/>
      <c r="F55" s="230"/>
      <c r="G55" s="230"/>
      <c r="H55" s="230"/>
      <c r="I55" s="377">
        <v>0</v>
      </c>
      <c r="J55" s="377">
        <v>49</v>
      </c>
      <c r="K55" s="377">
        <v>142</v>
      </c>
      <c r="L55" s="377">
        <v>155</v>
      </c>
      <c r="M55" s="377">
        <v>176</v>
      </c>
      <c r="N55" s="382">
        <v>175</v>
      </c>
      <c r="O55" s="382">
        <v>180</v>
      </c>
      <c r="P55" s="382">
        <v>185</v>
      </c>
      <c r="Q55" s="382">
        <v>190</v>
      </c>
      <c r="R55" s="382">
        <v>195</v>
      </c>
      <c r="S55" s="382">
        <v>200</v>
      </c>
      <c r="T55" s="382">
        <v>205</v>
      </c>
      <c r="U55" s="382">
        <v>205</v>
      </c>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spans="1:52" x14ac:dyDescent="0.25">
      <c r="A56" s="230" t="s">
        <v>124</v>
      </c>
      <c r="B56" s="230"/>
      <c r="C56" s="230"/>
      <c r="D56" s="230"/>
      <c r="E56" s="230"/>
      <c r="F56" s="230"/>
      <c r="G56" s="230"/>
      <c r="H56" s="230"/>
      <c r="I56" s="377">
        <v>395</v>
      </c>
      <c r="J56" s="377">
        <v>122</v>
      </c>
      <c r="K56" s="377">
        <v>137</v>
      </c>
      <c r="L56" s="377">
        <v>238</v>
      </c>
      <c r="M56" s="377">
        <v>357</v>
      </c>
      <c r="N56" s="382">
        <v>470</v>
      </c>
      <c r="O56" s="382">
        <v>750</v>
      </c>
      <c r="P56" s="382">
        <v>900</v>
      </c>
      <c r="Q56" s="382">
        <v>1150</v>
      </c>
      <c r="R56" s="382">
        <v>1300</v>
      </c>
      <c r="S56" s="382">
        <v>1450</v>
      </c>
      <c r="T56" s="382">
        <v>1600</v>
      </c>
      <c r="U56" s="382">
        <v>1750</v>
      </c>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spans="1:52" x14ac:dyDescent="0.25">
      <c r="A57" s="525" t="s">
        <v>710</v>
      </c>
      <c r="B57" s="525"/>
      <c r="C57" s="525"/>
      <c r="D57" s="525"/>
      <c r="E57" s="525"/>
      <c r="F57" s="525"/>
      <c r="G57" s="525"/>
      <c r="H57" s="525"/>
      <c r="I57" s="526">
        <v>0</v>
      </c>
      <c r="J57" s="526">
        <v>0</v>
      </c>
      <c r="K57" s="526">
        <v>0</v>
      </c>
      <c r="L57" s="526">
        <v>0</v>
      </c>
      <c r="M57" s="526">
        <v>0</v>
      </c>
      <c r="N57" s="527">
        <v>0</v>
      </c>
      <c r="O57" s="527">
        <v>2250</v>
      </c>
      <c r="P57" s="527">
        <f>(O57+50)*(1+$B$78)</f>
        <v>2645</v>
      </c>
      <c r="Q57" s="527">
        <f t="shared" ref="Q57:U57" si="7">(P57+50)*(1+$B$78)</f>
        <v>3099.2499999999995</v>
      </c>
      <c r="R57" s="527">
        <f t="shared" si="7"/>
        <v>3621.6374999999994</v>
      </c>
      <c r="S57" s="527">
        <f t="shared" si="7"/>
        <v>4222.3831249999994</v>
      </c>
      <c r="T57" s="527">
        <f t="shared" si="7"/>
        <v>4913.2405937499989</v>
      </c>
      <c r="U57" s="527">
        <f t="shared" si="7"/>
        <v>5707.7266828124984</v>
      </c>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spans="1:52" x14ac:dyDescent="0.25">
      <c r="A58" s="431" t="s">
        <v>125</v>
      </c>
      <c r="B58" s="371"/>
      <c r="C58" s="378"/>
      <c r="D58" s="378"/>
      <c r="E58" s="378"/>
      <c r="F58" s="378"/>
      <c r="G58" s="371"/>
      <c r="H58" s="371"/>
      <c r="I58" s="367">
        <v>791</v>
      </c>
      <c r="J58" s="367">
        <v>406</v>
      </c>
      <c r="K58" s="367">
        <v>482</v>
      </c>
      <c r="L58" s="367">
        <v>350</v>
      </c>
      <c r="M58" s="367">
        <v>0</v>
      </c>
      <c r="N58" s="458">
        <v>0</v>
      </c>
      <c r="O58" s="458">
        <v>0</v>
      </c>
      <c r="P58" s="458">
        <v>0</v>
      </c>
      <c r="Q58" s="458">
        <v>0</v>
      </c>
      <c r="R58" s="458">
        <v>0</v>
      </c>
      <c r="S58" s="458">
        <v>0</v>
      </c>
      <c r="T58" s="458">
        <v>0</v>
      </c>
      <c r="U58" s="458">
        <v>0</v>
      </c>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spans="1:52" x14ac:dyDescent="0.25">
      <c r="A59" s="431" t="s">
        <v>671</v>
      </c>
      <c r="B59" s="371"/>
      <c r="C59" s="372"/>
      <c r="D59" s="372"/>
      <c r="E59" s="372"/>
      <c r="F59" s="372"/>
      <c r="G59" s="372"/>
      <c r="H59" s="372"/>
      <c r="I59" s="367">
        <f>I61+I62+3587+170+192+791</f>
        <v>5495</v>
      </c>
      <c r="J59" s="367">
        <f>J61+J62+2082+129+192+406</f>
        <v>3619</v>
      </c>
      <c r="K59" s="367">
        <f>K61+K62+120+192+482</f>
        <v>1720</v>
      </c>
      <c r="L59" s="367">
        <f>L61+L62+115+192+350</f>
        <v>2388</v>
      </c>
      <c r="M59" s="367">
        <f>M61+M62+192</f>
        <v>1534</v>
      </c>
      <c r="N59" s="458">
        <f>SUM(N61:N62)</f>
        <v>1275</v>
      </c>
      <c r="O59" s="458">
        <f t="shared" ref="O59:U59" si="8">SUM(O61:O62)</f>
        <v>1350</v>
      </c>
      <c r="P59" s="458">
        <f t="shared" si="8"/>
        <v>1415</v>
      </c>
      <c r="Q59" s="458">
        <f t="shared" si="8"/>
        <v>1270</v>
      </c>
      <c r="R59" s="458">
        <f t="shared" si="8"/>
        <v>1575</v>
      </c>
      <c r="S59" s="458">
        <f t="shared" si="8"/>
        <v>1535</v>
      </c>
      <c r="T59" s="458">
        <f t="shared" si="8"/>
        <v>1640</v>
      </c>
      <c r="U59" s="458">
        <f t="shared" si="8"/>
        <v>1695</v>
      </c>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spans="1:52" x14ac:dyDescent="0.25">
      <c r="A60" s="383" t="s">
        <v>72</v>
      </c>
      <c r="B60" s="373"/>
      <c r="C60" s="374"/>
      <c r="D60" s="374"/>
      <c r="E60" s="374"/>
      <c r="F60" s="374"/>
      <c r="G60" s="374"/>
      <c r="H60" s="374"/>
      <c r="I60" s="457"/>
      <c r="J60" s="370">
        <f>(J59-I59)/I59</f>
        <v>-0.3414012738853503</v>
      </c>
      <c r="K60" s="370">
        <f t="shared" ref="K60:S60" si="9">(K59-J59)/J59</f>
        <v>-0.5247305885603758</v>
      </c>
      <c r="L60" s="370">
        <f t="shared" si="9"/>
        <v>0.38837209302325582</v>
      </c>
      <c r="M60" s="370">
        <f t="shared" si="9"/>
        <v>-0.35762144053601341</v>
      </c>
      <c r="N60" s="459">
        <f t="shared" si="9"/>
        <v>-0.16883963494132986</v>
      </c>
      <c r="O60" s="459">
        <f t="shared" si="9"/>
        <v>5.8823529411764705E-2</v>
      </c>
      <c r="P60" s="459">
        <f t="shared" si="9"/>
        <v>4.8148148148148148E-2</v>
      </c>
      <c r="Q60" s="459">
        <f t="shared" si="9"/>
        <v>-0.10247349823321555</v>
      </c>
      <c r="R60" s="459">
        <f t="shared" si="9"/>
        <v>0.24015748031496062</v>
      </c>
      <c r="S60" s="459">
        <f t="shared" si="9"/>
        <v>-2.5396825396825397E-2</v>
      </c>
      <c r="T60" s="459">
        <f>(T59-S59)/S59</f>
        <v>6.8403908794788276E-2</v>
      </c>
      <c r="U60" s="459">
        <f>(U59-T59)/T59</f>
        <v>3.3536585365853661E-2</v>
      </c>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spans="1:52" x14ac:dyDescent="0.25">
      <c r="A61" s="230" t="s">
        <v>126</v>
      </c>
      <c r="B61" s="230"/>
      <c r="C61" s="230"/>
      <c r="D61" s="230"/>
      <c r="E61" s="230"/>
      <c r="F61" s="375"/>
      <c r="G61" s="375"/>
      <c r="H61" s="375"/>
      <c r="I61" s="377">
        <v>755</v>
      </c>
      <c r="J61" s="377">
        <v>810</v>
      </c>
      <c r="K61" s="377">
        <v>926</v>
      </c>
      <c r="L61" s="377">
        <v>1731</v>
      </c>
      <c r="M61" s="377">
        <v>1342</v>
      </c>
      <c r="N61" s="382">
        <v>1250</v>
      </c>
      <c r="O61" s="382">
        <v>1300</v>
      </c>
      <c r="P61" s="382">
        <v>1350</v>
      </c>
      <c r="Q61" s="382">
        <v>1200</v>
      </c>
      <c r="R61" s="382">
        <v>1500</v>
      </c>
      <c r="S61" s="382">
        <v>1450</v>
      </c>
      <c r="T61" s="382">
        <v>1550</v>
      </c>
      <c r="U61" s="382">
        <v>1600</v>
      </c>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spans="1:52" x14ac:dyDescent="0.25">
      <c r="A62" s="230" t="s">
        <v>127</v>
      </c>
      <c r="B62" s="230"/>
      <c r="C62" s="230"/>
      <c r="D62" s="230"/>
      <c r="E62" s="230"/>
      <c r="F62" s="375"/>
      <c r="G62" s="375"/>
      <c r="H62" s="375"/>
      <c r="I62" s="377">
        <v>0</v>
      </c>
      <c r="J62" s="377">
        <v>0</v>
      </c>
      <c r="K62" s="377">
        <v>0</v>
      </c>
      <c r="L62" s="377">
        <v>0</v>
      </c>
      <c r="M62" s="377">
        <v>0</v>
      </c>
      <c r="N62" s="382">
        <v>25</v>
      </c>
      <c r="O62" s="382">
        <v>50</v>
      </c>
      <c r="P62" s="382">
        <v>65</v>
      </c>
      <c r="Q62" s="382">
        <v>70</v>
      </c>
      <c r="R62" s="382">
        <v>75</v>
      </c>
      <c r="S62" s="382">
        <v>85</v>
      </c>
      <c r="T62" s="382">
        <v>90</v>
      </c>
      <c r="U62" s="382">
        <v>95</v>
      </c>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spans="1:52" x14ac:dyDescent="0.25">
      <c r="A63" s="230"/>
      <c r="B63" s="230"/>
      <c r="C63" s="230"/>
      <c r="D63" s="230"/>
      <c r="E63" s="230"/>
      <c r="F63" s="375"/>
      <c r="G63" s="375"/>
      <c r="H63" s="375"/>
      <c r="I63" s="376"/>
      <c r="J63" s="376"/>
      <c r="K63" s="376"/>
      <c r="L63" s="376"/>
      <c r="M63" s="376"/>
      <c r="N63" s="377"/>
      <c r="O63" s="377"/>
      <c r="P63" s="377"/>
      <c r="Q63" s="377"/>
      <c r="R63" s="377"/>
      <c r="S63" s="377"/>
      <c r="T63" s="377"/>
      <c r="U63" s="377"/>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spans="1:52" x14ac:dyDescent="0.25">
      <c r="A64" s="230"/>
      <c r="B64" s="230"/>
      <c r="C64" s="230"/>
      <c r="D64" s="230"/>
      <c r="E64" s="230"/>
      <c r="F64" s="230"/>
      <c r="G64" s="230"/>
      <c r="H64" s="230"/>
      <c r="I64" s="376"/>
      <c r="J64" s="376"/>
      <c r="K64" s="376"/>
      <c r="L64" s="376"/>
      <c r="M64" s="376"/>
      <c r="N64" s="377"/>
      <c r="O64" s="377"/>
      <c r="P64" s="377"/>
      <c r="Q64" s="377"/>
      <c r="R64" s="377"/>
      <c r="S64" s="377"/>
      <c r="T64" s="377"/>
      <c r="U64" s="377"/>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spans="1:52" x14ac:dyDescent="0.25">
      <c r="A65" s="384" t="s">
        <v>750</v>
      </c>
      <c r="B65" s="385" t="s">
        <v>69</v>
      </c>
      <c r="C65" s="386">
        <v>2012</v>
      </c>
      <c r="D65" s="386">
        <v>2013</v>
      </c>
      <c r="E65" s="386">
        <v>2014</v>
      </c>
      <c r="F65" s="386">
        <v>2015</v>
      </c>
      <c r="G65" s="386">
        <v>2016</v>
      </c>
      <c r="H65" s="386">
        <v>2017</v>
      </c>
      <c r="I65" s="386">
        <v>2018</v>
      </c>
      <c r="J65" s="386">
        <v>2019</v>
      </c>
      <c r="K65" s="386">
        <v>2020</v>
      </c>
      <c r="L65" s="386">
        <v>2021</v>
      </c>
      <c r="M65" s="386">
        <v>2022</v>
      </c>
      <c r="N65" s="386" t="s">
        <v>28</v>
      </c>
      <c r="O65" s="386" t="s">
        <v>29</v>
      </c>
      <c r="P65" s="386" t="s">
        <v>30</v>
      </c>
      <c r="Q65" s="386" t="s">
        <v>31</v>
      </c>
      <c r="R65" s="386" t="s">
        <v>32</v>
      </c>
      <c r="S65" s="386" t="s">
        <v>33</v>
      </c>
      <c r="T65" s="386" t="s">
        <v>34</v>
      </c>
      <c r="U65" s="386" t="s">
        <v>35</v>
      </c>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spans="1:52" x14ac:dyDescent="0.25">
      <c r="A66" s="362" t="s">
        <v>70</v>
      </c>
      <c r="B66" s="363"/>
      <c r="C66" s="364"/>
      <c r="D66" s="364"/>
      <c r="E66" s="364"/>
      <c r="F66" s="364"/>
      <c r="G66" s="364"/>
      <c r="H66" s="364"/>
      <c r="I66" s="366">
        <v>41616</v>
      </c>
      <c r="J66" s="366">
        <v>40344</v>
      </c>
      <c r="K66" s="366">
        <v>41908</v>
      </c>
      <c r="L66" s="366">
        <v>81288</v>
      </c>
      <c r="M66" s="366">
        <v>100330</v>
      </c>
      <c r="N66" s="365">
        <v>56395</v>
      </c>
      <c r="O66" s="365">
        <v>51560</v>
      </c>
      <c r="P66" s="365">
        <v>47910</v>
      </c>
      <c r="Q66" s="365">
        <v>46500</v>
      </c>
      <c r="R66" s="365">
        <v>46100</v>
      </c>
      <c r="S66" s="365">
        <v>44380</v>
      </c>
      <c r="T66" s="365">
        <v>42875</v>
      </c>
      <c r="U66" s="365">
        <v>43070</v>
      </c>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spans="1:52" x14ac:dyDescent="0.25">
      <c r="A67" s="371" t="s">
        <v>71</v>
      </c>
      <c r="B67" s="371"/>
      <c r="C67" s="371"/>
      <c r="D67" s="371"/>
      <c r="E67" s="371"/>
      <c r="F67" s="371"/>
      <c r="G67" s="372"/>
      <c r="H67" s="372"/>
      <c r="I67" s="367">
        <v>14881</v>
      </c>
      <c r="J67" s="367">
        <v>15119</v>
      </c>
      <c r="K67" s="367">
        <v>15333</v>
      </c>
      <c r="L67" s="367">
        <v>51840</v>
      </c>
      <c r="M67" s="367">
        <v>72903</v>
      </c>
      <c r="N67" s="458">
        <v>29435</v>
      </c>
      <c r="O67" s="458">
        <v>23725</v>
      </c>
      <c r="P67" s="458">
        <v>20475</v>
      </c>
      <c r="Q67" s="458">
        <v>18280</v>
      </c>
      <c r="R67" s="458">
        <v>17235</v>
      </c>
      <c r="S67" s="458">
        <v>15705</v>
      </c>
      <c r="T67" s="458">
        <v>14035</v>
      </c>
      <c r="U67" s="458">
        <v>14005</v>
      </c>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spans="1:52" x14ac:dyDescent="0.25">
      <c r="A68" s="371" t="s">
        <v>83</v>
      </c>
      <c r="B68" s="388"/>
      <c r="C68" s="371"/>
      <c r="D68" s="371"/>
      <c r="E68" s="371"/>
      <c r="F68" s="371"/>
      <c r="G68" s="372"/>
      <c r="H68" s="372"/>
      <c r="I68" s="367">
        <v>12977</v>
      </c>
      <c r="J68" s="367">
        <v>12532</v>
      </c>
      <c r="K68" s="367">
        <v>13507</v>
      </c>
      <c r="L68" s="367">
        <v>14377</v>
      </c>
      <c r="M68" s="367">
        <v>13760</v>
      </c>
      <c r="N68" s="458">
        <v>13705</v>
      </c>
      <c r="O68" s="458">
        <v>13975</v>
      </c>
      <c r="P68" s="458">
        <v>12955</v>
      </c>
      <c r="Q68" s="458">
        <v>13330</v>
      </c>
      <c r="R68" s="458">
        <v>13425</v>
      </c>
      <c r="S68" s="458">
        <v>13535</v>
      </c>
      <c r="T68" s="458">
        <v>13825</v>
      </c>
      <c r="U68" s="458">
        <v>14185</v>
      </c>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spans="1:52" x14ac:dyDescent="0.25">
      <c r="A69" s="371" t="s">
        <v>103</v>
      </c>
      <c r="B69" s="388"/>
      <c r="C69" s="378"/>
      <c r="D69" s="378"/>
      <c r="E69" s="372"/>
      <c r="F69" s="372"/>
      <c r="G69" s="372"/>
      <c r="H69" s="372"/>
      <c r="I69" s="367">
        <v>7472</v>
      </c>
      <c r="J69" s="367">
        <v>8668</v>
      </c>
      <c r="K69" s="367">
        <v>10866</v>
      </c>
      <c r="L69" s="367">
        <v>12333</v>
      </c>
      <c r="M69" s="367">
        <v>12133</v>
      </c>
      <c r="N69" s="458">
        <v>11980</v>
      </c>
      <c r="O69" s="458">
        <v>12510</v>
      </c>
      <c r="P69" s="458">
        <v>13065</v>
      </c>
      <c r="Q69" s="458">
        <v>13620</v>
      </c>
      <c r="R69" s="458">
        <v>13865</v>
      </c>
      <c r="S69" s="458">
        <v>13605</v>
      </c>
      <c r="T69" s="458">
        <v>13375</v>
      </c>
      <c r="U69" s="458">
        <v>13185</v>
      </c>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spans="1:52" x14ac:dyDescent="0.25">
      <c r="A70" s="525" t="s">
        <v>710</v>
      </c>
      <c r="B70" s="525"/>
      <c r="C70" s="525"/>
      <c r="D70" s="525"/>
      <c r="E70" s="525"/>
      <c r="F70" s="525"/>
      <c r="G70" s="525"/>
      <c r="H70" s="525"/>
      <c r="I70" s="526">
        <v>0</v>
      </c>
      <c r="J70" s="526">
        <v>0</v>
      </c>
      <c r="K70" s="526">
        <v>0</v>
      </c>
      <c r="L70" s="526">
        <v>0</v>
      </c>
      <c r="M70" s="526">
        <v>0</v>
      </c>
      <c r="N70" s="527">
        <v>0</v>
      </c>
      <c r="O70" s="527">
        <v>2250</v>
      </c>
      <c r="P70" s="527">
        <v>2645</v>
      </c>
      <c r="Q70" s="527">
        <v>3099.2499999999995</v>
      </c>
      <c r="R70" s="527">
        <v>3621.6374999999994</v>
      </c>
      <c r="S70" s="527">
        <v>4222.3831249999994</v>
      </c>
      <c r="T70" s="527">
        <v>4913.2405937499989</v>
      </c>
      <c r="U70" s="527">
        <v>5707.7266828124984</v>
      </c>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spans="1:52" x14ac:dyDescent="0.25">
      <c r="U71" s="2"/>
      <c r="V71" s="1"/>
      <c r="W71" s="1"/>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spans="1:52" x14ac:dyDescent="0.25">
      <c r="U72" s="2"/>
      <c r="V72" s="1"/>
      <c r="W72" s="1"/>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spans="1:52" x14ac:dyDescent="0.25">
      <c r="U73" s="2"/>
      <c r="V73" s="9"/>
      <c r="W73" s="9"/>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spans="1:52" x14ac:dyDescent="0.25">
      <c r="U74" s="2"/>
      <c r="V74" s="9"/>
      <c r="W74" s="9"/>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spans="1:52" x14ac:dyDescent="0.25">
      <c r="U75" s="1"/>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spans="1:52" x14ac:dyDescent="0.25">
      <c r="U76" s="1"/>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spans="1:52" x14ac:dyDescent="0.25">
      <c r="A77" s="230" t="s">
        <v>711</v>
      </c>
      <c r="B77" s="537" t="s">
        <v>712</v>
      </c>
      <c r="C77" s="230"/>
      <c r="D77" s="230"/>
      <c r="E77" s="230"/>
      <c r="F77" s="287"/>
      <c r="G77" s="287"/>
      <c r="H77" s="230"/>
      <c r="I77" s="230"/>
      <c r="J77" s="230"/>
      <c r="K77" s="230"/>
      <c r="L77" s="230"/>
      <c r="M77" s="230"/>
      <c r="N77" s="133"/>
      <c r="O77" s="2"/>
      <c r="P77" s="2"/>
      <c r="Q77" s="2"/>
      <c r="R77" s="2"/>
      <c r="S77" s="2"/>
      <c r="T77" s="2"/>
      <c r="U77" s="9"/>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spans="1:52" x14ac:dyDescent="0.25">
      <c r="A78" s="88" t="s">
        <v>713</v>
      </c>
      <c r="B78" s="538">
        <v>0.15</v>
      </c>
      <c r="C78" s="2"/>
      <c r="D78" s="2"/>
      <c r="E78" s="2"/>
      <c r="F78" s="31"/>
      <c r="G78" s="539"/>
      <c r="H78" s="33"/>
      <c r="I78" s="33" t="s">
        <v>714</v>
      </c>
      <c r="J78" s="33"/>
      <c r="K78" s="133"/>
      <c r="L78" s="133"/>
      <c r="M78" s="133"/>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spans="1:52" x14ac:dyDescent="0.25">
      <c r="A79" s="17"/>
      <c r="B79" s="17"/>
      <c r="C79" s="11"/>
      <c r="D79" s="11"/>
      <c r="G79" s="287"/>
      <c r="H79" s="33"/>
      <c r="I79" s="33"/>
      <c r="J79" s="33"/>
      <c r="K79" s="33"/>
      <c r="L79" s="33"/>
      <c r="M79" s="33"/>
      <c r="N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spans="1:52" x14ac:dyDescent="0.25">
      <c r="A80" s="17" t="s">
        <v>715</v>
      </c>
      <c r="B80" s="17" t="s">
        <v>716</v>
      </c>
      <c r="C80" s="2"/>
      <c r="D80" s="2"/>
      <c r="G80" s="288" t="s">
        <v>657</v>
      </c>
      <c r="H80" s="33"/>
      <c r="J80" s="33"/>
      <c r="K80" s="33"/>
      <c r="L80" s="33"/>
      <c r="M80" s="33"/>
      <c r="N80" s="33"/>
      <c r="O80" s="2"/>
      <c r="P80" s="2" t="s">
        <v>652</v>
      </c>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spans="1:52" x14ac:dyDescent="0.25">
      <c r="A81" s="88" t="s">
        <v>717</v>
      </c>
      <c r="B81" s="538">
        <f>B78</f>
        <v>0.15</v>
      </c>
      <c r="G81" s="287">
        <v>52824</v>
      </c>
      <c r="H81" s="286">
        <v>52546</v>
      </c>
      <c r="J81" s="286">
        <v>53647</v>
      </c>
      <c r="K81" s="286">
        <v>51750</v>
      </c>
      <c r="L81" s="286">
        <v>41908</v>
      </c>
      <c r="M81" s="286">
        <v>81288</v>
      </c>
      <c r="N81" s="286">
        <v>100330</v>
      </c>
      <c r="O81" s="1"/>
      <c r="P81" s="2" t="s">
        <v>67</v>
      </c>
      <c r="Q81" s="2"/>
      <c r="R81" s="2"/>
      <c r="S81" s="2"/>
      <c r="T81" s="1"/>
      <c r="U81" s="1"/>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spans="1:52" x14ac:dyDescent="0.25">
      <c r="A82" s="88" t="s">
        <v>718</v>
      </c>
      <c r="G82" s="287"/>
      <c r="H82" s="2"/>
      <c r="J82" s="2" t="b">
        <f>J81=I5</f>
        <v>0</v>
      </c>
      <c r="K82" s="2" t="b">
        <f>K81=J5</f>
        <v>0</v>
      </c>
      <c r="L82" s="2" t="b">
        <f>L81=K5</f>
        <v>1</v>
      </c>
      <c r="M82" s="2" t="b">
        <f>M81=L5</f>
        <v>1</v>
      </c>
      <c r="N82" s="2" t="b">
        <f>N81=M5</f>
        <v>1</v>
      </c>
      <c r="O82" s="1"/>
      <c r="P82" s="2" t="s">
        <v>68</v>
      </c>
      <c r="Q82" s="2"/>
      <c r="R82" s="2" t="s">
        <v>621</v>
      </c>
      <c r="S82" s="1"/>
      <c r="T82" s="1"/>
      <c r="U82" s="1">
        <f>(110-61)/110</f>
        <v>0.44545454545454544</v>
      </c>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spans="1:52" x14ac:dyDescent="0.25">
      <c r="G83" s="287"/>
      <c r="H83" s="2"/>
      <c r="J83" s="2" t="s">
        <v>651</v>
      </c>
      <c r="K83" s="2"/>
      <c r="L83" s="2"/>
      <c r="M83" s="2"/>
      <c r="N83" s="2"/>
      <c r="O83" s="9"/>
      <c r="P83" s="2" t="s">
        <v>653</v>
      </c>
      <c r="Q83" s="1"/>
      <c r="R83" s="1"/>
      <c r="S83" s="1"/>
      <c r="T83" s="9"/>
      <c r="U83" s="9"/>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spans="1:52" x14ac:dyDescent="0.25">
      <c r="G84" s="287"/>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spans="1:52" x14ac:dyDescent="0.25">
      <c r="G85" s="287"/>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spans="1:52" x14ac:dyDescent="0.25">
      <c r="A86" s="17"/>
      <c r="B86" s="17"/>
      <c r="C86" s="11"/>
      <c r="D86" s="11"/>
      <c r="G86" s="287"/>
      <c r="H86" s="133"/>
      <c r="I86" s="133"/>
      <c r="J86" s="133"/>
      <c r="K86" s="133"/>
      <c r="L86" s="133"/>
      <c r="M86" s="133"/>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spans="1:52" x14ac:dyDescent="0.25">
      <c r="A87" s="17"/>
      <c r="B87" s="17"/>
      <c r="C87" s="2"/>
      <c r="D87" s="2"/>
      <c r="G87" s="287"/>
      <c r="H87" s="133"/>
      <c r="I87" s="133"/>
      <c r="J87" s="133"/>
      <c r="K87" s="133"/>
      <c r="L87" s="133"/>
      <c r="M87" s="133"/>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spans="1:52" x14ac:dyDescent="0.25">
      <c r="A88" s="17"/>
      <c r="B88" s="17"/>
      <c r="C88" s="11"/>
      <c r="D88" s="11"/>
      <c r="G88" s="287"/>
      <c r="H88" s="133"/>
      <c r="I88" s="133"/>
      <c r="J88" s="133"/>
      <c r="K88" s="133"/>
      <c r="L88" s="133"/>
      <c r="M88" s="133"/>
      <c r="N88" s="20"/>
      <c r="O88" s="1"/>
      <c r="P88" s="1"/>
      <c r="Q88" s="1"/>
      <c r="R88" s="1"/>
      <c r="S88" s="1"/>
      <c r="T88" s="1"/>
      <c r="U88" s="1"/>
      <c r="V88" s="1"/>
      <c r="W88" s="1"/>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spans="1:52" x14ac:dyDescent="0.25">
      <c r="A89" s="20"/>
      <c r="B89" s="20"/>
      <c r="C89" s="12"/>
      <c r="D89" s="12"/>
      <c r="E89" s="20"/>
      <c r="F89" s="21"/>
      <c r="G89" s="287"/>
      <c r="H89" s="133"/>
      <c r="I89" s="133"/>
      <c r="J89" s="133"/>
      <c r="K89" s="133"/>
      <c r="L89" s="133"/>
      <c r="M89" s="133"/>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spans="1:52" x14ac:dyDescent="0.25">
      <c r="A90" s="17"/>
      <c r="B90" s="17"/>
      <c r="C90" s="2"/>
      <c r="D90" s="2"/>
      <c r="G90" s="287"/>
      <c r="H90" s="133"/>
      <c r="I90" s="133"/>
      <c r="J90" s="133"/>
      <c r="K90" s="133"/>
      <c r="L90" s="133"/>
      <c r="M90" s="133"/>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spans="1:52" x14ac:dyDescent="0.25">
      <c r="A91" s="17"/>
      <c r="B91" s="17"/>
      <c r="C91" s="11"/>
      <c r="D91" s="11"/>
      <c r="G91" s="287"/>
      <c r="H91" s="133"/>
      <c r="I91" s="133"/>
      <c r="J91" s="133"/>
      <c r="K91" s="133"/>
      <c r="L91" s="133"/>
      <c r="M91" s="133"/>
      <c r="N91" s="20"/>
      <c r="O91" s="1"/>
      <c r="P91" s="1"/>
      <c r="Q91" s="1"/>
      <c r="R91" s="1"/>
      <c r="S91" s="1"/>
      <c r="T91" s="1"/>
      <c r="U91" s="1"/>
      <c r="V91" s="1"/>
      <c r="W91" s="1"/>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spans="1:52" x14ac:dyDescent="0.25">
      <c r="G92" s="287"/>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spans="1:52" x14ac:dyDescent="0.25">
      <c r="G93" s="287"/>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spans="1:52" x14ac:dyDescent="0.25">
      <c r="A94" s="17"/>
      <c r="B94" s="17"/>
      <c r="C94" s="2"/>
      <c r="D94" s="2"/>
      <c r="G94" s="287"/>
      <c r="H94" s="133"/>
      <c r="I94" s="133"/>
      <c r="J94" s="133"/>
      <c r="K94" s="133"/>
      <c r="L94" s="133"/>
      <c r="M94" s="133"/>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spans="1:52" x14ac:dyDescent="0.25">
      <c r="A95" s="17"/>
      <c r="B95" s="17"/>
      <c r="C95" s="2"/>
      <c r="D95" s="2"/>
      <c r="G95" s="287"/>
      <c r="H95" s="133"/>
      <c r="I95" s="133"/>
      <c r="J95" s="133"/>
      <c r="K95" s="133"/>
      <c r="L95" s="133"/>
      <c r="M95" s="133"/>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spans="1:52" x14ac:dyDescent="0.25">
      <c r="A96" s="17"/>
      <c r="B96" s="17"/>
      <c r="C96" s="2"/>
      <c r="D96" s="2"/>
      <c r="G96" s="287"/>
      <c r="H96" s="133"/>
      <c r="I96" s="133"/>
      <c r="J96" s="133"/>
      <c r="K96" s="133"/>
      <c r="L96" s="133"/>
      <c r="M96" s="133"/>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spans="1:52" x14ac:dyDescent="0.25">
      <c r="A97" s="17"/>
      <c r="B97" s="17"/>
      <c r="C97" s="2"/>
      <c r="D97" s="2"/>
      <c r="G97" s="287"/>
      <c r="H97" s="133"/>
      <c r="I97" s="133"/>
      <c r="J97" s="133"/>
      <c r="K97" s="133"/>
      <c r="L97" s="133"/>
      <c r="M97" s="133"/>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spans="1:52" x14ac:dyDescent="0.25">
      <c r="C98" s="2"/>
      <c r="D98" s="2"/>
      <c r="G98" s="287"/>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spans="1:52" x14ac:dyDescent="0.25">
      <c r="C99" s="2"/>
      <c r="D99" s="2"/>
      <c r="G99" s="287"/>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spans="1:52" x14ac:dyDescent="0.25">
      <c r="C100" s="2"/>
      <c r="D100" s="2"/>
      <c r="G100" s="287"/>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spans="1:52" x14ac:dyDescent="0.25">
      <c r="C101" s="2"/>
      <c r="D101" s="2"/>
      <c r="G101" s="287"/>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spans="1:52" x14ac:dyDescent="0.25">
      <c r="C102" s="2"/>
      <c r="D102" s="2"/>
      <c r="G102" s="287"/>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spans="1:52" x14ac:dyDescent="0.25">
      <c r="C103" s="2"/>
      <c r="D103" s="2"/>
      <c r="G103" s="287"/>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spans="1:52" x14ac:dyDescent="0.25">
      <c r="C104" s="2"/>
      <c r="D104" s="2"/>
      <c r="G104" s="287"/>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spans="1:52" x14ac:dyDescent="0.25">
      <c r="C105" s="2"/>
      <c r="D105" s="2"/>
      <c r="G105" s="287"/>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spans="1:52" x14ac:dyDescent="0.25">
      <c r="C106" s="2"/>
      <c r="D106" s="2"/>
      <c r="G106" s="287"/>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spans="1:52" x14ac:dyDescent="0.25">
      <c r="C107" s="2"/>
      <c r="D107" s="2"/>
      <c r="G107" s="287"/>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spans="1:52" x14ac:dyDescent="0.25">
      <c r="C108" s="2"/>
      <c r="D108" s="2"/>
      <c r="G108" s="287"/>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spans="1:52" x14ac:dyDescent="0.25">
      <c r="C109" s="2"/>
      <c r="D109" s="2"/>
      <c r="G109" s="287"/>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spans="1:52" x14ac:dyDescent="0.25">
      <c r="C110" s="2"/>
      <c r="D110" s="2"/>
      <c r="G110" s="287"/>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spans="1:52" x14ac:dyDescent="0.25">
      <c r="C111" s="2"/>
      <c r="D111" s="2"/>
      <c r="G111" s="287"/>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spans="1:52" x14ac:dyDescent="0.25">
      <c r="C112" s="2"/>
      <c r="D112" s="2"/>
      <c r="G112" s="287"/>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spans="3:52" x14ac:dyDescent="0.25">
      <c r="C113" s="2"/>
      <c r="D113" s="2"/>
      <c r="G113" s="287"/>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spans="3:52" x14ac:dyDescent="0.25">
      <c r="C114" s="2"/>
      <c r="D114" s="2"/>
      <c r="G114" s="287"/>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spans="3:52" x14ac:dyDescent="0.25">
      <c r="C115" s="2"/>
      <c r="D115" s="2"/>
      <c r="G115" s="287"/>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spans="3:52" x14ac:dyDescent="0.25">
      <c r="C116" s="2"/>
      <c r="D116" s="2"/>
      <c r="G116" s="287"/>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spans="3:52" x14ac:dyDescent="0.25">
      <c r="C117" s="2"/>
      <c r="D117" s="2"/>
      <c r="G117" s="287"/>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spans="3:52" x14ac:dyDescent="0.25">
      <c r="C118" s="2"/>
      <c r="D118" s="2"/>
      <c r="G118" s="287"/>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spans="3:52" x14ac:dyDescent="0.25">
      <c r="C119" s="2"/>
      <c r="D119" s="2"/>
      <c r="G119" s="287"/>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spans="3:52" x14ac:dyDescent="0.25">
      <c r="C120" s="2"/>
      <c r="D120" s="2"/>
      <c r="G120" s="287"/>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spans="3:52" x14ac:dyDescent="0.25">
      <c r="C121" s="2"/>
      <c r="D121" s="2"/>
      <c r="G121" s="287"/>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spans="3:52" x14ac:dyDescent="0.25">
      <c r="C122" s="2"/>
      <c r="D122" s="2"/>
      <c r="G122" s="287"/>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spans="3:52" x14ac:dyDescent="0.25">
      <c r="C123" s="2"/>
      <c r="D123" s="2"/>
      <c r="G123" s="287"/>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spans="3:52" x14ac:dyDescent="0.25">
      <c r="C124" s="2"/>
      <c r="D124" s="2"/>
      <c r="G124" s="287"/>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spans="3:52" x14ac:dyDescent="0.25">
      <c r="C125" s="2"/>
      <c r="D125" s="2"/>
      <c r="G125" s="287"/>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spans="3:52" x14ac:dyDescent="0.25">
      <c r="C126" s="2"/>
      <c r="D126" s="2"/>
      <c r="G126" s="287"/>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spans="3:52" x14ac:dyDescent="0.25">
      <c r="C127" s="2"/>
      <c r="D127" s="2"/>
      <c r="G127" s="287"/>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spans="3:52" x14ac:dyDescent="0.25">
      <c r="C128" s="2"/>
      <c r="D128" s="2"/>
      <c r="G128" s="287"/>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spans="3:52" x14ac:dyDescent="0.25">
      <c r="C129" s="2"/>
      <c r="D129" s="2"/>
      <c r="G129" s="287"/>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spans="3:52" x14ac:dyDescent="0.25">
      <c r="C130" s="2"/>
      <c r="D130" s="2"/>
      <c r="G130" s="287"/>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spans="3:52" x14ac:dyDescent="0.25">
      <c r="C131" s="2"/>
      <c r="D131" s="2"/>
      <c r="G131" s="287"/>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spans="3:52" x14ac:dyDescent="0.25">
      <c r="C132" s="2"/>
      <c r="D132" s="2"/>
      <c r="G132" s="287"/>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spans="3:52" x14ac:dyDescent="0.25">
      <c r="C133" s="2"/>
      <c r="D133" s="2"/>
      <c r="G133" s="287"/>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spans="3:52" x14ac:dyDescent="0.25">
      <c r="C134" s="2"/>
      <c r="D134" s="2"/>
      <c r="G134" s="287"/>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spans="3:52" x14ac:dyDescent="0.25">
      <c r="C135" s="2"/>
      <c r="D135" s="2"/>
      <c r="G135" s="287"/>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spans="3:52" x14ac:dyDescent="0.25">
      <c r="C136" s="2"/>
      <c r="D136" s="2"/>
      <c r="G136" s="287"/>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spans="3:52" x14ac:dyDescent="0.25">
      <c r="C137" s="2"/>
      <c r="D137" s="2"/>
      <c r="G137" s="287"/>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spans="3:52" x14ac:dyDescent="0.25">
      <c r="C138" s="2"/>
      <c r="D138" s="2"/>
      <c r="G138" s="287"/>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spans="3:52" x14ac:dyDescent="0.25">
      <c r="C139" s="2"/>
      <c r="D139" s="2"/>
      <c r="G139" s="193"/>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spans="3:52" x14ac:dyDescent="0.25">
      <c r="C140" s="2"/>
      <c r="D140" s="2"/>
      <c r="G140" s="193"/>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spans="3:52" x14ac:dyDescent="0.25">
      <c r="C141" s="2"/>
      <c r="D141" s="2"/>
      <c r="G141" s="193"/>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spans="3:52" x14ac:dyDescent="0.25">
      <c r="C142" s="2"/>
      <c r="D142" s="2"/>
      <c r="G142" s="193"/>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spans="3:52" x14ac:dyDescent="0.25">
      <c r="C143" s="2"/>
      <c r="D143" s="2"/>
      <c r="G143" s="193"/>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spans="3:52" x14ac:dyDescent="0.25">
      <c r="C144" s="2"/>
      <c r="D144" s="2"/>
      <c r="G144" s="193"/>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spans="3:52" x14ac:dyDescent="0.25">
      <c r="C145" s="2"/>
      <c r="D145" s="2"/>
      <c r="G145" s="193"/>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spans="3:52" x14ac:dyDescent="0.25">
      <c r="C146" s="2"/>
      <c r="D146" s="2"/>
      <c r="G146" s="193"/>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spans="3:52" x14ac:dyDescent="0.25">
      <c r="C147" s="2"/>
      <c r="D147" s="2"/>
      <c r="G147" s="193"/>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spans="3:52" x14ac:dyDescent="0.25">
      <c r="C148" s="2"/>
      <c r="D148" s="2"/>
      <c r="G148" s="193"/>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spans="3:52" x14ac:dyDescent="0.25">
      <c r="C149" s="2"/>
      <c r="D149" s="2"/>
      <c r="G149" s="193"/>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spans="3:52" x14ac:dyDescent="0.25">
      <c r="C150" s="2"/>
      <c r="D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spans="3:52" x14ac:dyDescent="0.25">
      <c r="C151" s="2"/>
      <c r="D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spans="3:52" x14ac:dyDescent="0.25">
      <c r="C152" s="2"/>
      <c r="D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spans="3:52" x14ac:dyDescent="0.25">
      <c r="C153" s="2"/>
      <c r="D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spans="3:52" x14ac:dyDescent="0.25">
      <c r="C154" s="2"/>
      <c r="D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spans="3:52" x14ac:dyDescent="0.25">
      <c r="C155" s="2"/>
      <c r="D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spans="3:52" x14ac:dyDescent="0.25">
      <c r="C156" s="2"/>
      <c r="D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spans="3:52" x14ac:dyDescent="0.25">
      <c r="C157" s="2"/>
      <c r="D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spans="3:52" x14ac:dyDescent="0.25">
      <c r="C158" s="2"/>
      <c r="D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spans="3:52" x14ac:dyDescent="0.25">
      <c r="C159" s="2"/>
      <c r="D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spans="3:52" x14ac:dyDescent="0.25">
      <c r="C160" s="2"/>
      <c r="D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spans="3:52" x14ac:dyDescent="0.25">
      <c r="C161" s="2"/>
      <c r="D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spans="3:52" x14ac:dyDescent="0.25">
      <c r="C162" s="2"/>
      <c r="D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spans="3:52" x14ac:dyDescent="0.25">
      <c r="C163" s="2"/>
      <c r="D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spans="3:52" x14ac:dyDescent="0.25">
      <c r="C164" s="2"/>
      <c r="D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spans="3:52" x14ac:dyDescent="0.25">
      <c r="C165" s="2"/>
      <c r="D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spans="3:52" x14ac:dyDescent="0.25">
      <c r="C166" s="2"/>
      <c r="D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spans="3:52" x14ac:dyDescent="0.25">
      <c r="C167" s="2"/>
      <c r="D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spans="3:52" x14ac:dyDescent="0.25">
      <c r="C168" s="2"/>
      <c r="D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spans="3:52" x14ac:dyDescent="0.25">
      <c r="C169" s="2"/>
      <c r="D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spans="3:52" x14ac:dyDescent="0.25">
      <c r="C170" s="2"/>
      <c r="D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spans="3:52" x14ac:dyDescent="0.25">
      <c r="C171" s="2"/>
      <c r="D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spans="3:52" x14ac:dyDescent="0.25">
      <c r="C172" s="2"/>
      <c r="D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spans="3:52" x14ac:dyDescent="0.25">
      <c r="C173" s="2"/>
      <c r="D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spans="3:52" x14ac:dyDescent="0.25">
      <c r="C174" s="2"/>
      <c r="D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spans="3:52" x14ac:dyDescent="0.25">
      <c r="C175" s="2"/>
      <c r="D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spans="3:52" x14ac:dyDescent="0.25">
      <c r="C176" s="2"/>
      <c r="D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spans="3:52" x14ac:dyDescent="0.25">
      <c r="C177" s="2"/>
      <c r="D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spans="3:52" x14ac:dyDescent="0.25">
      <c r="C178" s="2"/>
      <c r="D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spans="3:52" x14ac:dyDescent="0.25">
      <c r="C179" s="2"/>
      <c r="D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spans="3:52" x14ac:dyDescent="0.25">
      <c r="C180" s="2"/>
      <c r="D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spans="3:52" x14ac:dyDescent="0.25">
      <c r="C181" s="2"/>
      <c r="D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spans="3:52" x14ac:dyDescent="0.25">
      <c r="C182" s="2"/>
      <c r="D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spans="3:52" x14ac:dyDescent="0.25">
      <c r="C183" s="2"/>
      <c r="D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spans="3:52" x14ac:dyDescent="0.25">
      <c r="C184" s="2"/>
      <c r="D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spans="3:52" x14ac:dyDescent="0.25">
      <c r="C185" s="2"/>
      <c r="D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spans="3:52" x14ac:dyDescent="0.25">
      <c r="C186" s="2"/>
      <c r="D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spans="3:52" x14ac:dyDescent="0.25">
      <c r="C187" s="2"/>
      <c r="D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spans="3:52" x14ac:dyDescent="0.25">
      <c r="C188" s="2"/>
      <c r="D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spans="3:52" x14ac:dyDescent="0.25">
      <c r="C189" s="2"/>
      <c r="D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spans="3:52" x14ac:dyDescent="0.25">
      <c r="C190" s="2"/>
      <c r="D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spans="3:52" x14ac:dyDescent="0.25">
      <c r="C191" s="2"/>
      <c r="D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row r="192" spans="3:52" x14ac:dyDescent="0.25">
      <c r="C192" s="2"/>
      <c r="D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row>
    <row r="193" spans="3:52" x14ac:dyDescent="0.25">
      <c r="C193" s="2"/>
      <c r="D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row>
    <row r="194" spans="3:52" x14ac:dyDescent="0.25">
      <c r="C194" s="2"/>
      <c r="D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row>
    <row r="195" spans="3:52" x14ac:dyDescent="0.25">
      <c r="C195" s="2"/>
      <c r="D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row>
    <row r="196" spans="3:52" x14ac:dyDescent="0.25">
      <c r="C196" s="2"/>
      <c r="D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row>
    <row r="197" spans="3:52" x14ac:dyDescent="0.25">
      <c r="C197" s="2"/>
      <c r="D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row>
    <row r="198" spans="3:52" x14ac:dyDescent="0.25">
      <c r="C198" s="2"/>
      <c r="D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row>
    <row r="199" spans="3:52" x14ac:dyDescent="0.25">
      <c r="C199" s="2"/>
      <c r="D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row>
    <row r="200" spans="3:52" x14ac:dyDescent="0.25">
      <c r="C200" s="2"/>
      <c r="D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row>
    <row r="201" spans="3:52" x14ac:dyDescent="0.25">
      <c r="C201" s="2"/>
      <c r="D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row>
    <row r="202" spans="3:52" x14ac:dyDescent="0.25">
      <c r="C202" s="2"/>
      <c r="D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row>
    <row r="203" spans="3:52" x14ac:dyDescent="0.25">
      <c r="C203" s="2"/>
      <c r="D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row>
    <row r="204" spans="3:52" x14ac:dyDescent="0.25">
      <c r="C204" s="2"/>
      <c r="D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row>
    <row r="205" spans="3:52" x14ac:dyDescent="0.25">
      <c r="C205" s="2"/>
      <c r="D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row>
    <row r="206" spans="3:52" x14ac:dyDescent="0.25">
      <c r="C206" s="2"/>
      <c r="D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row>
    <row r="207" spans="3:52" x14ac:dyDescent="0.25">
      <c r="C207" s="2"/>
      <c r="D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row>
    <row r="208" spans="3:52" x14ac:dyDescent="0.25">
      <c r="C208" s="2"/>
      <c r="D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row>
    <row r="209" spans="3:52" x14ac:dyDescent="0.25">
      <c r="C209" s="2"/>
      <c r="D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row>
    <row r="210" spans="3:52" x14ac:dyDescent="0.25">
      <c r="C210" s="2"/>
      <c r="D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row>
    <row r="211" spans="3:52" x14ac:dyDescent="0.25">
      <c r="C211" s="2"/>
      <c r="D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row>
    <row r="212" spans="3:52" x14ac:dyDescent="0.25">
      <c r="C212" s="2"/>
      <c r="D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row>
    <row r="213" spans="3:52" x14ac:dyDescent="0.25">
      <c r="C213" s="2"/>
      <c r="D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row>
    <row r="214" spans="3:52" x14ac:dyDescent="0.25">
      <c r="C214" s="2"/>
      <c r="D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row>
    <row r="215" spans="3:52" x14ac:dyDescent="0.25">
      <c r="C215" s="2"/>
      <c r="D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row>
    <row r="216" spans="3:52" x14ac:dyDescent="0.25">
      <c r="C216" s="2"/>
      <c r="D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row>
    <row r="217" spans="3:52" x14ac:dyDescent="0.25">
      <c r="C217" s="2"/>
      <c r="D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row>
    <row r="218" spans="3:52" x14ac:dyDescent="0.25">
      <c r="C218" s="2"/>
      <c r="D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row>
    <row r="219" spans="3:52" x14ac:dyDescent="0.25">
      <c r="C219" s="2"/>
      <c r="D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row>
    <row r="220" spans="3:52" x14ac:dyDescent="0.25">
      <c r="C220" s="2"/>
      <c r="D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row>
    <row r="221" spans="3:52" x14ac:dyDescent="0.25">
      <c r="C221" s="2"/>
      <c r="D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row>
    <row r="222" spans="3:52" x14ac:dyDescent="0.25">
      <c r="C222" s="2"/>
      <c r="D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row>
    <row r="223" spans="3:52" x14ac:dyDescent="0.25">
      <c r="C223" s="2"/>
      <c r="D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row>
    <row r="224" spans="3:52" x14ac:dyDescent="0.25">
      <c r="C224" s="2"/>
      <c r="D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row>
    <row r="225" spans="3:52" x14ac:dyDescent="0.25">
      <c r="C225" s="2"/>
      <c r="D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row>
    <row r="226" spans="3:52" x14ac:dyDescent="0.25">
      <c r="C226" s="2"/>
      <c r="D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row>
    <row r="227" spans="3:52" x14ac:dyDescent="0.25">
      <c r="C227" s="2"/>
      <c r="D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row>
    <row r="228" spans="3:52" x14ac:dyDescent="0.25">
      <c r="C228" s="2"/>
      <c r="D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row>
    <row r="229" spans="3:52" x14ac:dyDescent="0.25">
      <c r="C229" s="2"/>
      <c r="D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row>
    <row r="230" spans="3:52" x14ac:dyDescent="0.25">
      <c r="C230" s="2"/>
      <c r="D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row>
    <row r="231" spans="3:52" x14ac:dyDescent="0.25">
      <c r="C231" s="2"/>
      <c r="D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row>
    <row r="232" spans="3:52" x14ac:dyDescent="0.25">
      <c r="C232" s="2"/>
      <c r="D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row>
    <row r="233" spans="3:52" x14ac:dyDescent="0.25">
      <c r="C233" s="2"/>
      <c r="D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row>
    <row r="234" spans="3:52" x14ac:dyDescent="0.25">
      <c r="C234" s="2"/>
      <c r="D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row>
    <row r="235" spans="3:52" x14ac:dyDescent="0.25">
      <c r="C235" s="2"/>
      <c r="D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row>
    <row r="236" spans="3:52" x14ac:dyDescent="0.25">
      <c r="C236" s="2"/>
      <c r="D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row>
    <row r="237" spans="3:52" x14ac:dyDescent="0.25">
      <c r="C237" s="2"/>
      <c r="D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row>
    <row r="238" spans="3:52" x14ac:dyDescent="0.25">
      <c r="C238" s="2"/>
      <c r="D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row>
    <row r="239" spans="3:52" x14ac:dyDescent="0.25">
      <c r="C239" s="2"/>
      <c r="D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row>
    <row r="240" spans="3:52" x14ac:dyDescent="0.25">
      <c r="C240" s="2"/>
      <c r="D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row>
    <row r="241" spans="3:52" x14ac:dyDescent="0.25">
      <c r="C241" s="2"/>
      <c r="D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row>
    <row r="242" spans="3:52" x14ac:dyDescent="0.25">
      <c r="C242" s="2"/>
      <c r="D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row>
    <row r="243" spans="3:52" x14ac:dyDescent="0.25">
      <c r="C243" s="2"/>
      <c r="D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row>
    <row r="244" spans="3:52" x14ac:dyDescent="0.25">
      <c r="C244" s="2"/>
      <c r="D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row>
    <row r="245" spans="3:52" x14ac:dyDescent="0.25">
      <c r="C245" s="2"/>
      <c r="D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row>
    <row r="246" spans="3:52" x14ac:dyDescent="0.25">
      <c r="C246" s="2"/>
      <c r="D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row>
    <row r="247" spans="3:52" x14ac:dyDescent="0.25">
      <c r="C247" s="2"/>
      <c r="D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row>
    <row r="248" spans="3:52" x14ac:dyDescent="0.25">
      <c r="C248" s="2"/>
      <c r="D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row>
    <row r="249" spans="3:52" x14ac:dyDescent="0.25">
      <c r="C249" s="2"/>
      <c r="D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row>
    <row r="250" spans="3:52" x14ac:dyDescent="0.25">
      <c r="C250" s="2"/>
      <c r="D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row>
    <row r="251" spans="3:52" x14ac:dyDescent="0.25">
      <c r="C251" s="2"/>
      <c r="D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row>
    <row r="252" spans="3:52" x14ac:dyDescent="0.25">
      <c r="C252" s="2"/>
      <c r="D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row>
    <row r="253" spans="3:52" x14ac:dyDescent="0.25">
      <c r="C253" s="2"/>
      <c r="D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row>
    <row r="254" spans="3:52" x14ac:dyDescent="0.25">
      <c r="C254" s="2"/>
      <c r="D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row>
    <row r="255" spans="3:52" x14ac:dyDescent="0.25">
      <c r="C255" s="2"/>
      <c r="D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row>
    <row r="256" spans="3:52" x14ac:dyDescent="0.25">
      <c r="C256" s="2"/>
      <c r="D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row>
    <row r="257" spans="3:52" x14ac:dyDescent="0.25">
      <c r="C257" s="2"/>
      <c r="D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row>
    <row r="258" spans="3:52" x14ac:dyDescent="0.25">
      <c r="C258" s="2"/>
      <c r="D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row>
    <row r="259" spans="3:52" x14ac:dyDescent="0.25">
      <c r="C259" s="2"/>
      <c r="D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row>
    <row r="260" spans="3:52" x14ac:dyDescent="0.25">
      <c r="C260" s="2"/>
      <c r="D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row>
    <row r="261" spans="3:52" x14ac:dyDescent="0.25">
      <c r="C261" s="2"/>
      <c r="D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row>
    <row r="262" spans="3:52" x14ac:dyDescent="0.25">
      <c r="C262" s="2"/>
      <c r="D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row>
    <row r="263" spans="3:52" x14ac:dyDescent="0.25">
      <c r="C263" s="2"/>
      <c r="D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row>
    <row r="264" spans="3:52" x14ac:dyDescent="0.25">
      <c r="C264" s="2"/>
      <c r="D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row>
    <row r="265" spans="3:52" x14ac:dyDescent="0.25">
      <c r="C265" s="2"/>
      <c r="D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row>
    <row r="266" spans="3:52" x14ac:dyDescent="0.25">
      <c r="C266" s="2"/>
      <c r="D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row>
    <row r="267" spans="3:52" x14ac:dyDescent="0.25">
      <c r="C267" s="2"/>
      <c r="D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row>
    <row r="268" spans="3:52" x14ac:dyDescent="0.25">
      <c r="C268" s="2"/>
      <c r="D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row>
    <row r="269" spans="3:52" x14ac:dyDescent="0.25">
      <c r="C269" s="2"/>
      <c r="D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row>
    <row r="270" spans="3:52" x14ac:dyDescent="0.25">
      <c r="C270" s="2"/>
      <c r="D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row>
    <row r="271" spans="3:52" x14ac:dyDescent="0.25">
      <c r="C271" s="2"/>
      <c r="D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row>
    <row r="272" spans="3:52" x14ac:dyDescent="0.25">
      <c r="C272" s="2"/>
      <c r="D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row>
    <row r="273" spans="3:52" x14ac:dyDescent="0.25">
      <c r="C273" s="2"/>
      <c r="D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row>
    <row r="274" spans="3:52" x14ac:dyDescent="0.25">
      <c r="C274" s="2"/>
      <c r="D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row>
    <row r="275" spans="3:52" x14ac:dyDescent="0.25">
      <c r="C275" s="2"/>
      <c r="D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row>
    <row r="276" spans="3:52" x14ac:dyDescent="0.25">
      <c r="C276" s="2"/>
      <c r="D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row>
    <row r="277" spans="3:52" x14ac:dyDescent="0.25">
      <c r="C277" s="2"/>
      <c r="D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row>
    <row r="278" spans="3:52" x14ac:dyDescent="0.25">
      <c r="C278" s="2"/>
      <c r="D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row>
    <row r="279" spans="3:52" x14ac:dyDescent="0.25">
      <c r="C279" s="2"/>
      <c r="D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row>
    <row r="280" spans="3:52" x14ac:dyDescent="0.25">
      <c r="C280" s="2"/>
      <c r="D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row>
    <row r="281" spans="3:52" x14ac:dyDescent="0.25">
      <c r="C281" s="2"/>
      <c r="D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row>
    <row r="282" spans="3:52" x14ac:dyDescent="0.25">
      <c r="C282" s="2"/>
      <c r="D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row>
    <row r="283" spans="3:52" x14ac:dyDescent="0.25">
      <c r="C283" s="2"/>
      <c r="D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row>
    <row r="284" spans="3:52" x14ac:dyDescent="0.25">
      <c r="C284" s="2"/>
      <c r="D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row>
    <row r="285" spans="3:52" x14ac:dyDescent="0.25">
      <c r="C285" s="2"/>
      <c r="D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row>
    <row r="286" spans="3:52" x14ac:dyDescent="0.25">
      <c r="C286" s="2"/>
      <c r="D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row>
    <row r="287" spans="3:52" x14ac:dyDescent="0.25">
      <c r="C287" s="2"/>
      <c r="D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row>
    <row r="288" spans="3:52" x14ac:dyDescent="0.25">
      <c r="C288" s="2"/>
      <c r="D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row>
    <row r="289" spans="3:52" x14ac:dyDescent="0.25">
      <c r="C289" s="2"/>
      <c r="D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row>
    <row r="290" spans="3:52" x14ac:dyDescent="0.25">
      <c r="C290" s="2"/>
      <c r="D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row>
    <row r="291" spans="3:52" x14ac:dyDescent="0.25">
      <c r="C291" s="2"/>
      <c r="D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row>
    <row r="292" spans="3:52" x14ac:dyDescent="0.25">
      <c r="C292" s="2"/>
      <c r="D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row>
    <row r="293" spans="3:52" x14ac:dyDescent="0.25">
      <c r="C293" s="2"/>
      <c r="D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row>
    <row r="294" spans="3:52" x14ac:dyDescent="0.25">
      <c r="C294" s="2"/>
      <c r="D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row>
    <row r="295" spans="3:52" x14ac:dyDescent="0.25">
      <c r="C295" s="2"/>
      <c r="D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row>
    <row r="296" spans="3:52" x14ac:dyDescent="0.25">
      <c r="C296" s="2"/>
      <c r="D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row>
    <row r="297" spans="3:52" x14ac:dyDescent="0.25">
      <c r="C297" s="2"/>
      <c r="D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row>
    <row r="298" spans="3:52" x14ac:dyDescent="0.25">
      <c r="C298" s="2"/>
      <c r="D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row>
    <row r="299" spans="3:52" x14ac:dyDescent="0.25">
      <c r="C299" s="2"/>
      <c r="D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row>
    <row r="300" spans="3:52" x14ac:dyDescent="0.25">
      <c r="C300" s="2"/>
      <c r="D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row>
    <row r="301" spans="3:52" x14ac:dyDescent="0.25">
      <c r="C301" s="2"/>
      <c r="D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row>
    <row r="302" spans="3:52" x14ac:dyDescent="0.25">
      <c r="C302" s="2"/>
      <c r="D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row>
    <row r="303" spans="3:52" x14ac:dyDescent="0.25">
      <c r="C303" s="2"/>
      <c r="D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row>
    <row r="304" spans="3:52" x14ac:dyDescent="0.25">
      <c r="C304" s="2"/>
      <c r="D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row>
    <row r="305" spans="3:52" x14ac:dyDescent="0.25">
      <c r="C305" s="2"/>
      <c r="D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row>
    <row r="306" spans="3:52" x14ac:dyDescent="0.25">
      <c r="C306" s="2"/>
      <c r="D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row>
    <row r="307" spans="3:52" x14ac:dyDescent="0.25">
      <c r="C307" s="2"/>
      <c r="D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row>
    <row r="308" spans="3:52" x14ac:dyDescent="0.25">
      <c r="C308" s="2"/>
      <c r="D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row>
    <row r="309" spans="3:52" x14ac:dyDescent="0.25">
      <c r="C309" s="2"/>
      <c r="D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row>
    <row r="310" spans="3:52" x14ac:dyDescent="0.25">
      <c r="C310" s="2"/>
      <c r="D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row>
    <row r="311" spans="3:52" x14ac:dyDescent="0.25">
      <c r="C311" s="2"/>
      <c r="D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row>
    <row r="312" spans="3:52" x14ac:dyDescent="0.25">
      <c r="C312" s="2"/>
      <c r="D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row>
    <row r="313" spans="3:52" x14ac:dyDescent="0.25">
      <c r="C313" s="2"/>
      <c r="D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row>
    <row r="314" spans="3:52" x14ac:dyDescent="0.25">
      <c r="C314" s="2"/>
      <c r="D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row>
    <row r="315" spans="3:52" x14ac:dyDescent="0.25">
      <c r="C315" s="2"/>
      <c r="D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row>
    <row r="316" spans="3:52" x14ac:dyDescent="0.25">
      <c r="C316" s="2"/>
      <c r="D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row>
    <row r="317" spans="3:52" x14ac:dyDescent="0.25">
      <c r="C317" s="2"/>
      <c r="D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row>
    <row r="318" spans="3:52" x14ac:dyDescent="0.25">
      <c r="C318" s="2"/>
      <c r="D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row>
    <row r="319" spans="3:52" x14ac:dyDescent="0.25">
      <c r="C319" s="2"/>
      <c r="D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row>
    <row r="320" spans="3:52" x14ac:dyDescent="0.25">
      <c r="C320" s="2"/>
      <c r="D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row>
    <row r="321" spans="3:52" x14ac:dyDescent="0.25">
      <c r="C321" s="2"/>
      <c r="D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row>
    <row r="322" spans="3:52" x14ac:dyDescent="0.25">
      <c r="C322" s="2"/>
      <c r="D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row>
    <row r="323" spans="3:52" x14ac:dyDescent="0.25">
      <c r="C323" s="2"/>
      <c r="D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row>
    <row r="324" spans="3:52" x14ac:dyDescent="0.25">
      <c r="C324" s="2"/>
      <c r="D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row>
    <row r="325" spans="3:52" x14ac:dyDescent="0.25">
      <c r="C325" s="2"/>
      <c r="D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row>
    <row r="326" spans="3:52" x14ac:dyDescent="0.25">
      <c r="C326" s="2"/>
      <c r="D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row>
    <row r="327" spans="3:52" x14ac:dyDescent="0.25">
      <c r="C327" s="2"/>
      <c r="D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row>
    <row r="328" spans="3:52" x14ac:dyDescent="0.25">
      <c r="C328" s="2"/>
      <c r="D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row>
    <row r="329" spans="3:52" x14ac:dyDescent="0.25">
      <c r="C329" s="2"/>
      <c r="D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row>
    <row r="330" spans="3:52" x14ac:dyDescent="0.25">
      <c r="C330" s="2"/>
      <c r="D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row>
    <row r="331" spans="3:52" x14ac:dyDescent="0.25">
      <c r="C331" s="2"/>
      <c r="D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row>
    <row r="332" spans="3:52" x14ac:dyDescent="0.25">
      <c r="C332" s="2"/>
      <c r="D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row>
    <row r="333" spans="3:52" x14ac:dyDescent="0.25">
      <c r="C333" s="2"/>
      <c r="D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row>
    <row r="334" spans="3:52" x14ac:dyDescent="0.25">
      <c r="C334" s="2"/>
      <c r="D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row>
    <row r="335" spans="3:52" x14ac:dyDescent="0.25">
      <c r="C335" s="2"/>
      <c r="D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row>
    <row r="336" spans="3:52" x14ac:dyDescent="0.25">
      <c r="C336" s="2"/>
      <c r="D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row>
    <row r="337" spans="3:52" x14ac:dyDescent="0.25">
      <c r="C337" s="2"/>
      <c r="D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row>
    <row r="338" spans="3:52" x14ac:dyDescent="0.25">
      <c r="C338" s="2"/>
      <c r="D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row>
    <row r="339" spans="3:52" x14ac:dyDescent="0.25">
      <c r="C339" s="2"/>
      <c r="D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row>
    <row r="340" spans="3:52" x14ac:dyDescent="0.25">
      <c r="C340" s="2"/>
      <c r="D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row>
    <row r="341" spans="3:52" x14ac:dyDescent="0.25">
      <c r="C341" s="2"/>
      <c r="D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row>
    <row r="342" spans="3:52" x14ac:dyDescent="0.25">
      <c r="C342" s="2"/>
      <c r="D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row>
    <row r="343" spans="3:52" x14ac:dyDescent="0.25">
      <c r="C343" s="2"/>
      <c r="D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row>
    <row r="344" spans="3:52" x14ac:dyDescent="0.25">
      <c r="C344" s="2"/>
      <c r="D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row>
    <row r="345" spans="3:52" x14ac:dyDescent="0.25">
      <c r="C345" s="2"/>
      <c r="D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row>
    <row r="346" spans="3:52" x14ac:dyDescent="0.25">
      <c r="C346" s="2"/>
      <c r="D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row>
    <row r="347" spans="3:52" x14ac:dyDescent="0.25">
      <c r="C347" s="2"/>
      <c r="D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row>
    <row r="348" spans="3:52" x14ac:dyDescent="0.25">
      <c r="C348" s="2"/>
      <c r="D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row>
    <row r="349" spans="3:52" x14ac:dyDescent="0.25">
      <c r="C349" s="2"/>
      <c r="D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row>
    <row r="350" spans="3:52" x14ac:dyDescent="0.25">
      <c r="C350" s="2"/>
      <c r="D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row>
    <row r="351" spans="3:52" x14ac:dyDescent="0.25">
      <c r="C351" s="2"/>
      <c r="D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row>
    <row r="352" spans="3:52" x14ac:dyDescent="0.25">
      <c r="C352" s="2"/>
      <c r="D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row>
    <row r="353" spans="3:52" x14ac:dyDescent="0.25">
      <c r="C353" s="2"/>
      <c r="D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row>
    <row r="354" spans="3:52" x14ac:dyDescent="0.25">
      <c r="C354" s="2"/>
      <c r="D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row>
    <row r="355" spans="3:52" x14ac:dyDescent="0.25">
      <c r="C355" s="2"/>
      <c r="D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row>
    <row r="356" spans="3:52" x14ac:dyDescent="0.25">
      <c r="C356" s="2"/>
      <c r="D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row>
    <row r="357" spans="3:52" x14ac:dyDescent="0.25">
      <c r="C357" s="2"/>
      <c r="D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row>
    <row r="358" spans="3:52" x14ac:dyDescent="0.25">
      <c r="C358" s="2"/>
      <c r="D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row>
    <row r="359" spans="3:52" x14ac:dyDescent="0.25">
      <c r="C359" s="2"/>
      <c r="D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row>
    <row r="360" spans="3:52" x14ac:dyDescent="0.25">
      <c r="C360" s="2"/>
      <c r="D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row>
    <row r="361" spans="3:52" x14ac:dyDescent="0.25">
      <c r="C361" s="2"/>
      <c r="D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row>
    <row r="362" spans="3:52" x14ac:dyDescent="0.25">
      <c r="C362" s="2"/>
      <c r="D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row>
    <row r="363" spans="3:52" x14ac:dyDescent="0.25">
      <c r="C363" s="2"/>
      <c r="D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row>
    <row r="364" spans="3:52" x14ac:dyDescent="0.25">
      <c r="C364" s="2"/>
      <c r="D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row>
    <row r="365" spans="3:52" x14ac:dyDescent="0.25">
      <c r="C365" s="2"/>
      <c r="D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row>
    <row r="366" spans="3:52" x14ac:dyDescent="0.25">
      <c r="C366" s="2"/>
      <c r="D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row>
    <row r="367" spans="3:52" x14ac:dyDescent="0.25">
      <c r="C367" s="2"/>
      <c r="D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row>
    <row r="368" spans="3:52" x14ac:dyDescent="0.25">
      <c r="C368" s="2"/>
      <c r="D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row>
    <row r="369" spans="3:52" x14ac:dyDescent="0.25">
      <c r="C369" s="2"/>
      <c r="D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row>
    <row r="370" spans="3:52" x14ac:dyDescent="0.25">
      <c r="C370" s="2"/>
      <c r="D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row>
    <row r="371" spans="3:52" x14ac:dyDescent="0.25">
      <c r="C371" s="2"/>
      <c r="D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row>
    <row r="372" spans="3:52" x14ac:dyDescent="0.25">
      <c r="C372" s="2"/>
      <c r="D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row>
    <row r="373" spans="3:52" x14ac:dyDescent="0.25">
      <c r="C373" s="2"/>
      <c r="D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row>
    <row r="374" spans="3:52" x14ac:dyDescent="0.25">
      <c r="C374" s="2"/>
      <c r="D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row>
    <row r="375" spans="3:52" x14ac:dyDescent="0.25">
      <c r="C375" s="2"/>
      <c r="D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row>
    <row r="376" spans="3:52" x14ac:dyDescent="0.25">
      <c r="C376" s="2"/>
      <c r="D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row>
    <row r="377" spans="3:52" x14ac:dyDescent="0.25">
      <c r="C377" s="2"/>
      <c r="D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row>
    <row r="378" spans="3:52" x14ac:dyDescent="0.25">
      <c r="C378" s="2"/>
      <c r="D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row>
    <row r="379" spans="3:52" x14ac:dyDescent="0.25">
      <c r="C379" s="2"/>
      <c r="D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row>
    <row r="380" spans="3:52" x14ac:dyDescent="0.25">
      <c r="C380" s="2"/>
      <c r="D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row>
    <row r="381" spans="3:52" x14ac:dyDescent="0.25">
      <c r="C381" s="2"/>
      <c r="D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row>
    <row r="382" spans="3:52" x14ac:dyDescent="0.25">
      <c r="C382" s="2"/>
      <c r="D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row>
    <row r="383" spans="3:52" x14ac:dyDescent="0.25">
      <c r="C383" s="2"/>
      <c r="D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row>
    <row r="384" spans="3:52" x14ac:dyDescent="0.25">
      <c r="C384" s="2"/>
      <c r="D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row>
    <row r="385" spans="3:52" x14ac:dyDescent="0.25">
      <c r="C385" s="2"/>
      <c r="D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row>
    <row r="386" spans="3:52" x14ac:dyDescent="0.25">
      <c r="C386" s="2"/>
      <c r="D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row>
    <row r="387" spans="3:52" x14ac:dyDescent="0.25">
      <c r="C387" s="2"/>
      <c r="D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row>
    <row r="388" spans="3:52" x14ac:dyDescent="0.25">
      <c r="C388" s="2"/>
      <c r="D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row>
    <row r="389" spans="3:52" x14ac:dyDescent="0.25">
      <c r="C389" s="2"/>
      <c r="D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row>
    <row r="390" spans="3:52" x14ac:dyDescent="0.25">
      <c r="C390" s="2"/>
      <c r="D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row>
    <row r="391" spans="3:52" x14ac:dyDescent="0.25">
      <c r="C391" s="2"/>
      <c r="D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row>
    <row r="392" spans="3:52" x14ac:dyDescent="0.25">
      <c r="C392" s="2"/>
      <c r="D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row>
    <row r="393" spans="3:52" x14ac:dyDescent="0.25">
      <c r="C393" s="2"/>
      <c r="D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row>
    <row r="394" spans="3:52" x14ac:dyDescent="0.25">
      <c r="C394" s="2"/>
      <c r="D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row>
    <row r="395" spans="3:52" x14ac:dyDescent="0.25">
      <c r="C395" s="2"/>
      <c r="D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row>
    <row r="396" spans="3:52" x14ac:dyDescent="0.25">
      <c r="C396" s="2"/>
      <c r="D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row>
    <row r="397" spans="3:52" x14ac:dyDescent="0.25">
      <c r="C397" s="2"/>
      <c r="D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row>
    <row r="398" spans="3:52" x14ac:dyDescent="0.25">
      <c r="C398" s="2"/>
      <c r="D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row>
    <row r="399" spans="3:52" x14ac:dyDescent="0.25">
      <c r="C399" s="2"/>
      <c r="D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row>
    <row r="400" spans="3:52" x14ac:dyDescent="0.25">
      <c r="C400" s="2"/>
      <c r="D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row>
    <row r="401" spans="3:52" x14ac:dyDescent="0.25">
      <c r="C401" s="2"/>
      <c r="D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row>
    <row r="402" spans="3:52" x14ac:dyDescent="0.25">
      <c r="C402" s="2"/>
      <c r="D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row>
    <row r="403" spans="3:52" x14ac:dyDescent="0.25">
      <c r="C403" s="2"/>
      <c r="D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row>
    <row r="404" spans="3:52" x14ac:dyDescent="0.25">
      <c r="C404" s="2"/>
      <c r="D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row>
    <row r="405" spans="3:52" x14ac:dyDescent="0.25">
      <c r="C405" s="2"/>
      <c r="D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row>
    <row r="406" spans="3:52" x14ac:dyDescent="0.25">
      <c r="C406" s="2"/>
      <c r="D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row>
    <row r="407" spans="3:52" x14ac:dyDescent="0.25">
      <c r="C407" s="2"/>
      <c r="D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row>
    <row r="408" spans="3:52" x14ac:dyDescent="0.25">
      <c r="C408" s="2"/>
      <c r="D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row>
    <row r="409" spans="3:52" x14ac:dyDescent="0.25">
      <c r="C409" s="2"/>
      <c r="D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row>
    <row r="410" spans="3:52" x14ac:dyDescent="0.25">
      <c r="C410" s="2"/>
      <c r="D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row>
    <row r="411" spans="3:52" x14ac:dyDescent="0.25">
      <c r="C411" s="2"/>
      <c r="D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row>
    <row r="412" spans="3:52" x14ac:dyDescent="0.25">
      <c r="C412" s="2"/>
      <c r="D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row>
    <row r="413" spans="3:52" x14ac:dyDescent="0.25">
      <c r="C413" s="2"/>
      <c r="D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row>
    <row r="414" spans="3:52" x14ac:dyDescent="0.25">
      <c r="C414" s="2"/>
      <c r="D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row>
    <row r="415" spans="3:52" x14ac:dyDescent="0.25">
      <c r="C415" s="2"/>
      <c r="D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row>
    <row r="416" spans="3:52" x14ac:dyDescent="0.25">
      <c r="C416" s="2"/>
      <c r="D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row>
    <row r="417" spans="3:52" x14ac:dyDescent="0.25">
      <c r="C417" s="2"/>
      <c r="D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row>
    <row r="418" spans="3:52" x14ac:dyDescent="0.25">
      <c r="C418" s="2"/>
      <c r="D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row>
    <row r="419" spans="3:52" x14ac:dyDescent="0.25">
      <c r="C419" s="2"/>
      <c r="D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row>
    <row r="420" spans="3:52" x14ac:dyDescent="0.25">
      <c r="C420" s="2"/>
      <c r="D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row>
    <row r="421" spans="3:52" x14ac:dyDescent="0.25">
      <c r="C421" s="2"/>
      <c r="D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row>
    <row r="422" spans="3:52" x14ac:dyDescent="0.25">
      <c r="C422" s="2"/>
      <c r="D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row>
    <row r="423" spans="3:52" x14ac:dyDescent="0.25">
      <c r="C423" s="2"/>
      <c r="D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row>
    <row r="424" spans="3:52" x14ac:dyDescent="0.25">
      <c r="C424" s="2"/>
      <c r="D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row>
    <row r="425" spans="3:52" x14ac:dyDescent="0.25">
      <c r="C425" s="2"/>
      <c r="D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row>
    <row r="426" spans="3:52" x14ac:dyDescent="0.25">
      <c r="C426" s="2"/>
      <c r="D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row>
    <row r="427" spans="3:52" x14ac:dyDescent="0.25">
      <c r="C427" s="2"/>
      <c r="D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row>
    <row r="428" spans="3:52" x14ac:dyDescent="0.25">
      <c r="C428" s="2"/>
      <c r="D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row>
    <row r="429" spans="3:52" x14ac:dyDescent="0.25">
      <c r="C429" s="2"/>
      <c r="D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row>
    <row r="430" spans="3:52" x14ac:dyDescent="0.25">
      <c r="C430" s="2"/>
      <c r="D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row>
    <row r="431" spans="3:52" x14ac:dyDescent="0.25">
      <c r="C431" s="2"/>
      <c r="D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row>
    <row r="432" spans="3:52" x14ac:dyDescent="0.25">
      <c r="C432" s="2"/>
      <c r="D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row>
    <row r="433" spans="3:52" x14ac:dyDescent="0.25">
      <c r="C433" s="2"/>
      <c r="D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row>
    <row r="434" spans="3:52" x14ac:dyDescent="0.25">
      <c r="C434" s="2"/>
      <c r="D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row>
    <row r="435" spans="3:52" x14ac:dyDescent="0.25">
      <c r="C435" s="2"/>
      <c r="D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row>
    <row r="436" spans="3:52" x14ac:dyDescent="0.25">
      <c r="C436" s="2"/>
      <c r="D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row>
    <row r="437" spans="3:52" x14ac:dyDescent="0.25">
      <c r="C437" s="2"/>
      <c r="D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row>
    <row r="438" spans="3:52" x14ac:dyDescent="0.25">
      <c r="C438" s="2"/>
      <c r="D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row>
    <row r="439" spans="3:52" x14ac:dyDescent="0.25">
      <c r="C439" s="2"/>
      <c r="D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row>
    <row r="440" spans="3:52" x14ac:dyDescent="0.25">
      <c r="C440" s="2"/>
      <c r="D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row>
    <row r="441" spans="3:52" x14ac:dyDescent="0.25">
      <c r="C441" s="2"/>
      <c r="D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row>
    <row r="442" spans="3:52" x14ac:dyDescent="0.25">
      <c r="C442" s="2"/>
      <c r="D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row>
    <row r="443" spans="3:52" x14ac:dyDescent="0.25">
      <c r="C443" s="2"/>
      <c r="D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row>
    <row r="444" spans="3:52" x14ac:dyDescent="0.25">
      <c r="C444" s="2"/>
      <c r="D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row>
    <row r="445" spans="3:52" x14ac:dyDescent="0.25">
      <c r="C445" s="2"/>
      <c r="D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row>
    <row r="446" spans="3:52" x14ac:dyDescent="0.25">
      <c r="C446" s="2"/>
      <c r="D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row>
    <row r="447" spans="3:52" x14ac:dyDescent="0.25">
      <c r="C447" s="2"/>
      <c r="D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row>
    <row r="448" spans="3:52" x14ac:dyDescent="0.25">
      <c r="C448" s="2"/>
      <c r="D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row>
    <row r="449" spans="3:52" x14ac:dyDescent="0.25">
      <c r="C449" s="2"/>
      <c r="D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row>
    <row r="450" spans="3:52" x14ac:dyDescent="0.25">
      <c r="C450" s="2"/>
      <c r="D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row>
    <row r="451" spans="3:52" x14ac:dyDescent="0.25">
      <c r="C451" s="2"/>
      <c r="D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row>
    <row r="452" spans="3:52" x14ac:dyDescent="0.25">
      <c r="C452" s="2"/>
      <c r="D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row>
    <row r="453" spans="3:52" x14ac:dyDescent="0.25">
      <c r="C453" s="2"/>
      <c r="D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row>
    <row r="454" spans="3:52" x14ac:dyDescent="0.25">
      <c r="C454" s="2"/>
      <c r="D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row>
    <row r="455" spans="3:52" x14ac:dyDescent="0.25">
      <c r="C455" s="2"/>
      <c r="D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row>
    <row r="456" spans="3:52" x14ac:dyDescent="0.25">
      <c r="C456" s="2"/>
      <c r="D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row>
    <row r="457" spans="3:52" x14ac:dyDescent="0.25">
      <c r="C457" s="2"/>
      <c r="D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row>
    <row r="458" spans="3:52" x14ac:dyDescent="0.25">
      <c r="C458" s="2"/>
      <c r="D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row>
    <row r="459" spans="3:52" x14ac:dyDescent="0.25">
      <c r="C459" s="2"/>
      <c r="D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row>
    <row r="460" spans="3:52" x14ac:dyDescent="0.25">
      <c r="C460" s="2"/>
      <c r="D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row>
    <row r="461" spans="3:52" x14ac:dyDescent="0.25">
      <c r="C461" s="2"/>
      <c r="D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row>
    <row r="462" spans="3:52" x14ac:dyDescent="0.25">
      <c r="C462" s="2"/>
      <c r="D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row>
    <row r="463" spans="3:52" x14ac:dyDescent="0.25">
      <c r="C463" s="2"/>
      <c r="D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row>
    <row r="464" spans="3:52" x14ac:dyDescent="0.25">
      <c r="C464" s="2"/>
      <c r="D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row>
    <row r="465" spans="3:52" x14ac:dyDescent="0.25">
      <c r="C465" s="2"/>
      <c r="D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row>
    <row r="466" spans="3:52" x14ac:dyDescent="0.25">
      <c r="C466" s="2"/>
      <c r="D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row>
    <row r="467" spans="3:52" x14ac:dyDescent="0.25">
      <c r="C467" s="2"/>
      <c r="D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row>
    <row r="468" spans="3:52" x14ac:dyDescent="0.25">
      <c r="C468" s="2"/>
      <c r="D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row>
    <row r="469" spans="3:52" x14ac:dyDescent="0.25">
      <c r="C469" s="2"/>
      <c r="D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row>
    <row r="470" spans="3:52" x14ac:dyDescent="0.25">
      <c r="C470" s="2"/>
      <c r="D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row>
    <row r="471" spans="3:52" x14ac:dyDescent="0.25">
      <c r="C471" s="2"/>
      <c r="D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row>
    <row r="472" spans="3:52" x14ac:dyDescent="0.25">
      <c r="C472" s="2"/>
      <c r="D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row>
    <row r="473" spans="3:52" x14ac:dyDescent="0.25">
      <c r="C473" s="2"/>
      <c r="D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row>
    <row r="474" spans="3:52" x14ac:dyDescent="0.25">
      <c r="C474" s="2"/>
      <c r="D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row>
    <row r="475" spans="3:52" x14ac:dyDescent="0.25">
      <c r="C475" s="2"/>
      <c r="D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row>
    <row r="476" spans="3:52" x14ac:dyDescent="0.25">
      <c r="C476" s="2"/>
      <c r="D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row>
    <row r="477" spans="3:52" x14ac:dyDescent="0.25">
      <c r="C477" s="2"/>
      <c r="D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row>
    <row r="478" spans="3:52" x14ac:dyDescent="0.25">
      <c r="C478" s="2"/>
      <c r="D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row>
    <row r="479" spans="3:52" x14ac:dyDescent="0.25">
      <c r="C479" s="2"/>
      <c r="D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row>
    <row r="480" spans="3:52" x14ac:dyDescent="0.25">
      <c r="C480" s="2"/>
      <c r="D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row>
    <row r="481" spans="3:52" x14ac:dyDescent="0.25">
      <c r="C481" s="2"/>
      <c r="D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row>
    <row r="482" spans="3:52" x14ac:dyDescent="0.25">
      <c r="C482" s="2"/>
      <c r="D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row>
    <row r="483" spans="3:52" x14ac:dyDescent="0.25">
      <c r="C483" s="2"/>
      <c r="D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row>
    <row r="484" spans="3:52" x14ac:dyDescent="0.25">
      <c r="C484" s="2"/>
      <c r="D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row>
    <row r="485" spans="3:52" x14ac:dyDescent="0.25">
      <c r="C485" s="2"/>
      <c r="D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row>
    <row r="486" spans="3:52" x14ac:dyDescent="0.25">
      <c r="C486" s="2"/>
      <c r="D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row>
    <row r="487" spans="3:52" x14ac:dyDescent="0.25">
      <c r="C487" s="2"/>
      <c r="D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row>
    <row r="488" spans="3:52" x14ac:dyDescent="0.25">
      <c r="C488" s="2"/>
      <c r="D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row>
    <row r="489" spans="3:52" x14ac:dyDescent="0.25">
      <c r="C489" s="2"/>
      <c r="D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row>
    <row r="490" spans="3:52" x14ac:dyDescent="0.25">
      <c r="C490" s="2"/>
      <c r="D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row>
    <row r="491" spans="3:52" x14ac:dyDescent="0.25">
      <c r="C491" s="2"/>
      <c r="D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row>
    <row r="492" spans="3:52" x14ac:dyDescent="0.25">
      <c r="C492" s="2"/>
      <c r="D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row>
    <row r="493" spans="3:52" x14ac:dyDescent="0.25">
      <c r="C493" s="2"/>
      <c r="D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row>
    <row r="494" spans="3:52" x14ac:dyDescent="0.25">
      <c r="C494" s="2"/>
      <c r="D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row>
    <row r="495" spans="3:52" x14ac:dyDescent="0.25">
      <c r="C495" s="2"/>
      <c r="D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row>
    <row r="496" spans="3:52" x14ac:dyDescent="0.25">
      <c r="C496" s="2"/>
      <c r="D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row>
    <row r="497" spans="3:52" x14ac:dyDescent="0.25">
      <c r="C497" s="2"/>
      <c r="D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row>
    <row r="498" spans="3:52" x14ac:dyDescent="0.25">
      <c r="C498" s="2"/>
      <c r="D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row>
    <row r="499" spans="3:52" x14ac:dyDescent="0.25">
      <c r="C499" s="2"/>
      <c r="D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row>
    <row r="500" spans="3:52" x14ac:dyDescent="0.25">
      <c r="C500" s="2"/>
      <c r="D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row>
    <row r="501" spans="3:52" x14ac:dyDescent="0.25">
      <c r="C501" s="2"/>
      <c r="D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row>
    <row r="502" spans="3:52" x14ac:dyDescent="0.25">
      <c r="C502" s="2"/>
      <c r="D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row>
    <row r="503" spans="3:52" x14ac:dyDescent="0.25">
      <c r="C503" s="2"/>
      <c r="D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row>
    <row r="504" spans="3:52" x14ac:dyDescent="0.25">
      <c r="C504" s="2"/>
      <c r="D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row>
    <row r="505" spans="3:52" x14ac:dyDescent="0.25">
      <c r="C505" s="2"/>
      <c r="D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row>
    <row r="506" spans="3:52" x14ac:dyDescent="0.25">
      <c r="C506" s="2"/>
      <c r="D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row>
    <row r="507" spans="3:52" x14ac:dyDescent="0.25">
      <c r="C507" s="2"/>
      <c r="D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row>
    <row r="508" spans="3:52" x14ac:dyDescent="0.25">
      <c r="C508" s="2"/>
      <c r="D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row>
    <row r="509" spans="3:52" x14ac:dyDescent="0.25">
      <c r="C509" s="2"/>
      <c r="D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row>
    <row r="510" spans="3:52" x14ac:dyDescent="0.25">
      <c r="C510" s="2"/>
      <c r="D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row>
    <row r="511" spans="3:52" x14ac:dyDescent="0.25">
      <c r="C511" s="2"/>
      <c r="D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row>
    <row r="512" spans="3:52" x14ac:dyDescent="0.25">
      <c r="C512" s="2"/>
      <c r="D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row>
    <row r="513" spans="3:52" x14ac:dyDescent="0.25">
      <c r="C513" s="2"/>
      <c r="D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row>
    <row r="514" spans="3:52" x14ac:dyDescent="0.25">
      <c r="C514" s="2"/>
      <c r="D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row>
    <row r="515" spans="3:52" x14ac:dyDescent="0.25">
      <c r="C515" s="2"/>
      <c r="D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row>
    <row r="516" spans="3:52" x14ac:dyDescent="0.25">
      <c r="C516" s="2"/>
      <c r="D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row>
    <row r="517" spans="3:52" x14ac:dyDescent="0.25">
      <c r="C517" s="2"/>
      <c r="D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row>
    <row r="518" spans="3:52" x14ac:dyDescent="0.25">
      <c r="C518" s="2"/>
      <c r="D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row>
    <row r="519" spans="3:52" x14ac:dyDescent="0.25">
      <c r="C519" s="2"/>
      <c r="D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row>
    <row r="520" spans="3:52" x14ac:dyDescent="0.25">
      <c r="C520" s="2"/>
      <c r="D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row>
    <row r="521" spans="3:52" x14ac:dyDescent="0.25">
      <c r="C521" s="2"/>
      <c r="D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row>
    <row r="522" spans="3:52" x14ac:dyDescent="0.25">
      <c r="C522" s="2"/>
      <c r="D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row>
    <row r="523" spans="3:52" x14ac:dyDescent="0.25">
      <c r="C523" s="2"/>
      <c r="D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row>
    <row r="524" spans="3:52" x14ac:dyDescent="0.25">
      <c r="C524" s="2"/>
      <c r="D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row>
    <row r="525" spans="3:52" x14ac:dyDescent="0.25">
      <c r="C525" s="2"/>
      <c r="D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row>
    <row r="526" spans="3:52" x14ac:dyDescent="0.25">
      <c r="C526" s="2"/>
      <c r="D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row>
    <row r="527" spans="3:52" x14ac:dyDescent="0.25">
      <c r="C527" s="2"/>
      <c r="D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row>
    <row r="528" spans="3:52" x14ac:dyDescent="0.25">
      <c r="C528" s="2"/>
      <c r="D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row>
    <row r="529" spans="3:52" x14ac:dyDescent="0.25">
      <c r="C529" s="2"/>
      <c r="D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row>
    <row r="530" spans="3:52" x14ac:dyDescent="0.25">
      <c r="C530" s="2"/>
      <c r="D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row>
    <row r="531" spans="3:52" x14ac:dyDescent="0.25">
      <c r="C531" s="2"/>
      <c r="D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row>
    <row r="532" spans="3:52" x14ac:dyDescent="0.25">
      <c r="C532" s="2"/>
      <c r="D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row>
    <row r="533" spans="3:52" x14ac:dyDescent="0.25">
      <c r="C533" s="2"/>
      <c r="D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row>
    <row r="534" spans="3:52" x14ac:dyDescent="0.25">
      <c r="C534" s="2"/>
      <c r="D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row>
    <row r="535" spans="3:52" x14ac:dyDescent="0.25">
      <c r="C535" s="2"/>
      <c r="D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row>
    <row r="536" spans="3:52" x14ac:dyDescent="0.25">
      <c r="C536" s="2"/>
      <c r="D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row>
    <row r="537" spans="3:52" x14ac:dyDescent="0.25">
      <c r="C537" s="2"/>
      <c r="D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row>
    <row r="538" spans="3:52" x14ac:dyDescent="0.25">
      <c r="C538" s="2"/>
      <c r="D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row>
    <row r="539" spans="3:52" x14ac:dyDescent="0.25">
      <c r="C539" s="2"/>
      <c r="D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row>
    <row r="540" spans="3:52" x14ac:dyDescent="0.25">
      <c r="C540" s="2"/>
      <c r="D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row>
    <row r="541" spans="3:52" x14ac:dyDescent="0.25">
      <c r="C541" s="2"/>
      <c r="D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row>
    <row r="542" spans="3:52" x14ac:dyDescent="0.25">
      <c r="C542" s="2"/>
      <c r="D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row>
    <row r="543" spans="3:52" x14ac:dyDescent="0.25">
      <c r="C543" s="2"/>
      <c r="D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row>
    <row r="544" spans="3:52" x14ac:dyDescent="0.25">
      <c r="C544" s="2"/>
      <c r="D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row>
    <row r="545" spans="3:52" x14ac:dyDescent="0.25">
      <c r="C545" s="2"/>
      <c r="D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row>
    <row r="546" spans="3:52" x14ac:dyDescent="0.25">
      <c r="C546" s="2"/>
      <c r="D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row>
    <row r="547" spans="3:52" x14ac:dyDescent="0.25">
      <c r="C547" s="2"/>
      <c r="D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row>
    <row r="548" spans="3:52" x14ac:dyDescent="0.25">
      <c r="C548" s="2"/>
      <c r="D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row>
    <row r="549" spans="3:52" x14ac:dyDescent="0.25">
      <c r="C549" s="2"/>
      <c r="D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row>
    <row r="550" spans="3:52" x14ac:dyDescent="0.25">
      <c r="C550" s="2"/>
      <c r="D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row>
    <row r="551" spans="3:52" x14ac:dyDescent="0.25">
      <c r="C551" s="2"/>
      <c r="D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row>
    <row r="552" spans="3:52" x14ac:dyDescent="0.25">
      <c r="C552" s="2"/>
      <c r="D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row>
    <row r="553" spans="3:52" x14ac:dyDescent="0.25">
      <c r="C553" s="2"/>
      <c r="D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row>
    <row r="554" spans="3:52" x14ac:dyDescent="0.25">
      <c r="C554" s="2"/>
      <c r="D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row>
    <row r="555" spans="3:52" x14ac:dyDescent="0.25">
      <c r="C555" s="2"/>
      <c r="D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row>
    <row r="556" spans="3:52" x14ac:dyDescent="0.25">
      <c r="C556" s="2"/>
      <c r="D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row>
    <row r="557" spans="3:52" x14ac:dyDescent="0.25">
      <c r="C557" s="2"/>
      <c r="D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row>
    <row r="558" spans="3:52" x14ac:dyDescent="0.25">
      <c r="C558" s="2"/>
      <c r="D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row>
    <row r="559" spans="3:52" x14ac:dyDescent="0.25">
      <c r="C559" s="2"/>
      <c r="D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row>
    <row r="560" spans="3:52" x14ac:dyDescent="0.25">
      <c r="C560" s="2"/>
      <c r="D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row>
    <row r="561" spans="3:52" x14ac:dyDescent="0.25">
      <c r="C561" s="2"/>
      <c r="D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row>
    <row r="562" spans="3:52" x14ac:dyDescent="0.25">
      <c r="C562" s="2"/>
      <c r="D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row>
    <row r="563" spans="3:52" x14ac:dyDescent="0.25">
      <c r="C563" s="2"/>
      <c r="D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row>
    <row r="564" spans="3:52" x14ac:dyDescent="0.25">
      <c r="C564" s="2"/>
      <c r="D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row>
    <row r="565" spans="3:52" x14ac:dyDescent="0.25">
      <c r="C565" s="2"/>
      <c r="D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row>
    <row r="566" spans="3:52" x14ac:dyDescent="0.25">
      <c r="C566" s="2"/>
      <c r="D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row>
    <row r="567" spans="3:52" x14ac:dyDescent="0.25">
      <c r="C567" s="2"/>
      <c r="D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row>
    <row r="568" spans="3:52" x14ac:dyDescent="0.25">
      <c r="C568" s="2"/>
      <c r="D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row>
    <row r="569" spans="3:52" x14ac:dyDescent="0.25">
      <c r="C569" s="2"/>
      <c r="D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row>
    <row r="570" spans="3:52" x14ac:dyDescent="0.25">
      <c r="C570" s="2"/>
      <c r="D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row>
    <row r="571" spans="3:52" x14ac:dyDescent="0.25">
      <c r="C571" s="2"/>
      <c r="D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row>
    <row r="572" spans="3:52" x14ac:dyDescent="0.25">
      <c r="C572" s="2"/>
      <c r="D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row>
    <row r="573" spans="3:52" x14ac:dyDescent="0.25">
      <c r="C573" s="2"/>
      <c r="D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row>
    <row r="574" spans="3:52" x14ac:dyDescent="0.25">
      <c r="C574" s="2"/>
      <c r="D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row>
    <row r="575" spans="3:52" x14ac:dyDescent="0.25">
      <c r="C575" s="2"/>
      <c r="D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row>
    <row r="576" spans="3:52" x14ac:dyDescent="0.25">
      <c r="C576" s="2"/>
      <c r="D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row>
    <row r="577" spans="3:52" x14ac:dyDescent="0.25">
      <c r="C577" s="2"/>
      <c r="D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row>
    <row r="578" spans="3:52" x14ac:dyDescent="0.25">
      <c r="C578" s="2"/>
      <c r="D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row>
    <row r="579" spans="3:52" x14ac:dyDescent="0.25">
      <c r="C579" s="2"/>
      <c r="D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row>
    <row r="580" spans="3:52" x14ac:dyDescent="0.25">
      <c r="C580" s="2"/>
      <c r="D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row>
    <row r="581" spans="3:52" x14ac:dyDescent="0.25">
      <c r="C581" s="2"/>
      <c r="D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row>
    <row r="582" spans="3:52" x14ac:dyDescent="0.25">
      <c r="C582" s="2"/>
      <c r="D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row>
    <row r="583" spans="3:52" x14ac:dyDescent="0.25">
      <c r="C583" s="2"/>
      <c r="D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row>
    <row r="584" spans="3:52" x14ac:dyDescent="0.25">
      <c r="C584" s="2"/>
      <c r="D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row>
    <row r="585" spans="3:52" x14ac:dyDescent="0.25">
      <c r="C585" s="2"/>
      <c r="D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row>
    <row r="586" spans="3:52" x14ac:dyDescent="0.25">
      <c r="C586" s="2"/>
      <c r="D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row>
    <row r="587" spans="3:52" x14ac:dyDescent="0.25">
      <c r="C587" s="2"/>
      <c r="D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row>
    <row r="588" spans="3:52" x14ac:dyDescent="0.25">
      <c r="C588" s="2"/>
      <c r="D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row>
    <row r="589" spans="3:52" x14ac:dyDescent="0.25">
      <c r="C589" s="2"/>
      <c r="D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row>
    <row r="590" spans="3:52" x14ac:dyDescent="0.25">
      <c r="C590" s="2"/>
      <c r="D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row>
    <row r="591" spans="3:52" x14ac:dyDescent="0.25">
      <c r="C591" s="2"/>
      <c r="D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row>
    <row r="592" spans="3:52" x14ac:dyDescent="0.25">
      <c r="C592" s="2"/>
      <c r="D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row>
    <row r="593" spans="3:52" x14ac:dyDescent="0.25">
      <c r="C593" s="2"/>
      <c r="D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row>
    <row r="594" spans="3:52" x14ac:dyDescent="0.25">
      <c r="C594" s="2"/>
      <c r="D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row>
    <row r="595" spans="3:52" x14ac:dyDescent="0.25">
      <c r="C595" s="2"/>
      <c r="D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row>
    <row r="596" spans="3:52" x14ac:dyDescent="0.25">
      <c r="C596" s="2"/>
      <c r="D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row>
    <row r="597" spans="3:52" x14ac:dyDescent="0.25">
      <c r="C597" s="2"/>
      <c r="D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row>
    <row r="598" spans="3:52" x14ac:dyDescent="0.25">
      <c r="C598" s="2"/>
      <c r="D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row>
    <row r="599" spans="3:52" x14ac:dyDescent="0.25">
      <c r="C599" s="2"/>
      <c r="D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row>
    <row r="600" spans="3:52" x14ac:dyDescent="0.25">
      <c r="C600" s="2"/>
      <c r="D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row>
    <row r="601" spans="3:52" x14ac:dyDescent="0.25">
      <c r="C601" s="2"/>
      <c r="D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row>
    <row r="602" spans="3:52" x14ac:dyDescent="0.25">
      <c r="C602" s="2"/>
      <c r="D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row>
    <row r="603" spans="3:52" x14ac:dyDescent="0.25">
      <c r="C603" s="2"/>
      <c r="D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row>
    <row r="604" spans="3:52" x14ac:dyDescent="0.25">
      <c r="C604" s="2"/>
      <c r="D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row>
    <row r="605" spans="3:52" x14ac:dyDescent="0.25">
      <c r="C605" s="2"/>
      <c r="D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row>
    <row r="606" spans="3:52" x14ac:dyDescent="0.25">
      <c r="C606" s="2"/>
      <c r="D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row>
    <row r="607" spans="3:52" x14ac:dyDescent="0.25">
      <c r="C607" s="2"/>
      <c r="D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row>
    <row r="608" spans="3:52" x14ac:dyDescent="0.25">
      <c r="C608" s="2"/>
      <c r="D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row>
    <row r="609" spans="3:52" x14ac:dyDescent="0.25">
      <c r="C609" s="2"/>
      <c r="D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row>
    <row r="610" spans="3:52" x14ac:dyDescent="0.25">
      <c r="C610" s="2"/>
      <c r="D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row>
    <row r="611" spans="3:52" x14ac:dyDescent="0.25">
      <c r="C611" s="2"/>
      <c r="D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row>
    <row r="612" spans="3:52" x14ac:dyDescent="0.25">
      <c r="C612" s="2"/>
      <c r="D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row>
    <row r="613" spans="3:52" x14ac:dyDescent="0.25">
      <c r="C613" s="2"/>
      <c r="D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row>
    <row r="614" spans="3:52" x14ac:dyDescent="0.25">
      <c r="C614" s="2"/>
      <c r="D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row>
    <row r="615" spans="3:52" x14ac:dyDescent="0.25">
      <c r="C615" s="2"/>
      <c r="D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row>
    <row r="616" spans="3:52" x14ac:dyDescent="0.25">
      <c r="C616" s="2"/>
      <c r="D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row>
    <row r="617" spans="3:52" x14ac:dyDescent="0.25">
      <c r="C617" s="2"/>
      <c r="D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row>
    <row r="618" spans="3:52" x14ac:dyDescent="0.25">
      <c r="C618" s="2"/>
      <c r="D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row>
    <row r="619" spans="3:52" x14ac:dyDescent="0.25">
      <c r="C619" s="2"/>
      <c r="D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row>
    <row r="620" spans="3:52" x14ac:dyDescent="0.25">
      <c r="C620" s="2"/>
      <c r="D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row>
    <row r="621" spans="3:52" x14ac:dyDescent="0.25">
      <c r="C621" s="2"/>
      <c r="D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row>
    <row r="622" spans="3:52" x14ac:dyDescent="0.25">
      <c r="C622" s="2"/>
      <c r="D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row>
    <row r="623" spans="3:52" x14ac:dyDescent="0.25">
      <c r="C623" s="2"/>
      <c r="D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row>
    <row r="624" spans="3:52" x14ac:dyDescent="0.25">
      <c r="C624" s="2"/>
      <c r="D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row>
    <row r="625" spans="3:52" x14ac:dyDescent="0.25">
      <c r="C625" s="2"/>
      <c r="D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row>
    <row r="626" spans="3:52" x14ac:dyDescent="0.25">
      <c r="C626" s="2"/>
      <c r="D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row>
    <row r="627" spans="3:52" x14ac:dyDescent="0.25">
      <c r="C627" s="2"/>
      <c r="D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row>
    <row r="628" spans="3:52" x14ac:dyDescent="0.25">
      <c r="C628" s="2"/>
      <c r="D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row>
    <row r="629" spans="3:52" x14ac:dyDescent="0.25">
      <c r="C629" s="2"/>
      <c r="D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row>
    <row r="630" spans="3:52" x14ac:dyDescent="0.25">
      <c r="C630" s="2"/>
      <c r="D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row>
    <row r="631" spans="3:52" x14ac:dyDescent="0.25">
      <c r="C631" s="2"/>
      <c r="D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row>
    <row r="632" spans="3:52" x14ac:dyDescent="0.25">
      <c r="C632" s="2"/>
      <c r="D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row>
    <row r="633" spans="3:52" x14ac:dyDescent="0.25">
      <c r="C633" s="2"/>
      <c r="D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row>
    <row r="634" spans="3:52" x14ac:dyDescent="0.25">
      <c r="C634" s="2"/>
      <c r="D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row>
    <row r="635" spans="3:52" x14ac:dyDescent="0.25">
      <c r="C635" s="2"/>
      <c r="D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row>
    <row r="636" spans="3:52" x14ac:dyDescent="0.25">
      <c r="C636" s="2"/>
      <c r="D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row>
    <row r="637" spans="3:52" x14ac:dyDescent="0.25">
      <c r="C637" s="2"/>
      <c r="D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row>
    <row r="638" spans="3:52" x14ac:dyDescent="0.25">
      <c r="C638" s="2"/>
      <c r="D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row>
    <row r="639" spans="3:52" x14ac:dyDescent="0.25">
      <c r="C639" s="2"/>
      <c r="D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row>
    <row r="640" spans="3:52" x14ac:dyDescent="0.25">
      <c r="C640" s="2"/>
      <c r="D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row>
    <row r="641" spans="3:52" x14ac:dyDescent="0.25">
      <c r="C641" s="2"/>
      <c r="D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row>
    <row r="642" spans="3:52" x14ac:dyDescent="0.25">
      <c r="C642" s="2"/>
      <c r="D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row>
    <row r="643" spans="3:52" x14ac:dyDescent="0.25">
      <c r="C643" s="2"/>
      <c r="D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row>
    <row r="644" spans="3:52" x14ac:dyDescent="0.25">
      <c r="C644" s="2"/>
      <c r="D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row>
    <row r="645" spans="3:52" x14ac:dyDescent="0.25">
      <c r="C645" s="2"/>
      <c r="D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row>
    <row r="646" spans="3:52" x14ac:dyDescent="0.25">
      <c r="C646" s="2"/>
      <c r="D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row>
    <row r="647" spans="3:52" x14ac:dyDescent="0.25">
      <c r="C647" s="2"/>
      <c r="D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row>
    <row r="648" spans="3:52" x14ac:dyDescent="0.25">
      <c r="C648" s="2"/>
      <c r="D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row>
    <row r="649" spans="3:52" x14ac:dyDescent="0.25">
      <c r="C649" s="2"/>
      <c r="D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row>
    <row r="650" spans="3:52" x14ac:dyDescent="0.25">
      <c r="C650" s="2"/>
      <c r="D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row>
    <row r="651" spans="3:52" x14ac:dyDescent="0.25">
      <c r="C651" s="2"/>
      <c r="D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row>
    <row r="652" spans="3:52" x14ac:dyDescent="0.25">
      <c r="C652" s="2"/>
      <c r="D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row>
    <row r="653" spans="3:52" x14ac:dyDescent="0.25">
      <c r="C653" s="2"/>
      <c r="D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row>
    <row r="654" spans="3:52" x14ac:dyDescent="0.25">
      <c r="C654" s="2"/>
      <c r="D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row>
    <row r="655" spans="3:52" x14ac:dyDescent="0.25">
      <c r="C655" s="2"/>
      <c r="D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row>
    <row r="656" spans="3:52" x14ac:dyDescent="0.25">
      <c r="C656" s="2"/>
      <c r="D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row>
    <row r="657" spans="3:52" x14ac:dyDescent="0.25">
      <c r="C657" s="2"/>
      <c r="D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row>
    <row r="658" spans="3:52" x14ac:dyDescent="0.25">
      <c r="C658" s="2"/>
      <c r="D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row>
    <row r="659" spans="3:52" x14ac:dyDescent="0.25">
      <c r="C659" s="2"/>
      <c r="D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row>
    <row r="660" spans="3:52" x14ac:dyDescent="0.25">
      <c r="C660" s="2"/>
      <c r="D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row>
    <row r="661" spans="3:52" x14ac:dyDescent="0.25">
      <c r="C661" s="2"/>
      <c r="D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row>
    <row r="662" spans="3:52" x14ac:dyDescent="0.25">
      <c r="C662" s="2"/>
      <c r="D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row>
    <row r="663" spans="3:52" x14ac:dyDescent="0.25">
      <c r="C663" s="2"/>
      <c r="D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row>
    <row r="664" spans="3:52" x14ac:dyDescent="0.25">
      <c r="C664" s="2"/>
      <c r="D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row>
    <row r="665" spans="3:52" x14ac:dyDescent="0.25">
      <c r="C665" s="2"/>
      <c r="D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row>
    <row r="666" spans="3:52" x14ac:dyDescent="0.25">
      <c r="C666" s="2"/>
      <c r="D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row>
    <row r="667" spans="3:52" x14ac:dyDescent="0.25">
      <c r="C667" s="2"/>
      <c r="D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row>
    <row r="668" spans="3:52" x14ac:dyDescent="0.25">
      <c r="C668" s="2"/>
      <c r="D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row>
    <row r="669" spans="3:52" x14ac:dyDescent="0.25">
      <c r="C669" s="2"/>
      <c r="D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row>
    <row r="670" spans="3:52" x14ac:dyDescent="0.25">
      <c r="C670" s="2"/>
      <c r="D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row>
    <row r="671" spans="3:52" x14ac:dyDescent="0.25">
      <c r="C671" s="2"/>
      <c r="D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row>
    <row r="672" spans="3:52" x14ac:dyDescent="0.25">
      <c r="C672" s="2"/>
      <c r="D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row>
    <row r="673" spans="3:52" x14ac:dyDescent="0.25">
      <c r="C673" s="2"/>
      <c r="D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row>
    <row r="674" spans="3:52" x14ac:dyDescent="0.25">
      <c r="C674" s="2"/>
      <c r="D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row>
    <row r="675" spans="3:52" x14ac:dyDescent="0.25">
      <c r="C675" s="2"/>
      <c r="D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row>
    <row r="676" spans="3:52" x14ac:dyDescent="0.25">
      <c r="C676" s="2"/>
      <c r="D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row>
    <row r="677" spans="3:52" x14ac:dyDescent="0.25">
      <c r="C677" s="2"/>
      <c r="D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row>
    <row r="678" spans="3:52" x14ac:dyDescent="0.25">
      <c r="C678" s="2"/>
      <c r="D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row>
    <row r="679" spans="3:52" x14ac:dyDescent="0.25">
      <c r="C679" s="2"/>
      <c r="D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row>
    <row r="680" spans="3:52" x14ac:dyDescent="0.25">
      <c r="C680" s="2"/>
      <c r="D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row>
    <row r="681" spans="3:52" x14ac:dyDescent="0.25">
      <c r="C681" s="2"/>
      <c r="D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row>
    <row r="682" spans="3:52" x14ac:dyDescent="0.25">
      <c r="C682" s="2"/>
      <c r="D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row>
    <row r="683" spans="3:52" x14ac:dyDescent="0.25">
      <c r="C683" s="2"/>
      <c r="D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row>
    <row r="684" spans="3:52" x14ac:dyDescent="0.25">
      <c r="C684" s="2"/>
      <c r="D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row>
    <row r="685" spans="3:52" x14ac:dyDescent="0.25">
      <c r="C685" s="2"/>
      <c r="D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row>
    <row r="686" spans="3:52" x14ac:dyDescent="0.25">
      <c r="C686" s="2"/>
      <c r="D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row>
    <row r="687" spans="3:52" x14ac:dyDescent="0.25">
      <c r="C687" s="2"/>
      <c r="D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row>
    <row r="688" spans="3:52" x14ac:dyDescent="0.25">
      <c r="C688" s="2"/>
      <c r="D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row>
    <row r="689" spans="3:52" x14ac:dyDescent="0.25">
      <c r="C689" s="2"/>
      <c r="D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row>
    <row r="690" spans="3:52" x14ac:dyDescent="0.25">
      <c r="C690" s="2"/>
      <c r="D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row>
    <row r="691" spans="3:52" x14ac:dyDescent="0.25">
      <c r="C691" s="2"/>
      <c r="D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row>
    <row r="692" spans="3:52" x14ac:dyDescent="0.25">
      <c r="C692" s="2"/>
      <c r="D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row>
    <row r="693" spans="3:52" x14ac:dyDescent="0.25">
      <c r="C693" s="2"/>
      <c r="D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row>
    <row r="694" spans="3:52" x14ac:dyDescent="0.25">
      <c r="C694" s="2"/>
      <c r="D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row>
    <row r="695" spans="3:52" x14ac:dyDescent="0.25">
      <c r="C695" s="2"/>
      <c r="D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row>
    <row r="696" spans="3:52" x14ac:dyDescent="0.25">
      <c r="C696" s="2"/>
      <c r="D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row>
    <row r="697" spans="3:52" x14ac:dyDescent="0.25">
      <c r="C697" s="2"/>
      <c r="D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row>
    <row r="698" spans="3:52" x14ac:dyDescent="0.25">
      <c r="C698" s="2"/>
      <c r="D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row>
    <row r="699" spans="3:52" x14ac:dyDescent="0.25">
      <c r="C699" s="2"/>
      <c r="D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row>
    <row r="700" spans="3:52" x14ac:dyDescent="0.25">
      <c r="C700" s="2"/>
      <c r="D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row>
    <row r="701" spans="3:52" x14ac:dyDescent="0.25">
      <c r="C701" s="2"/>
      <c r="D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row>
    <row r="702" spans="3:52" x14ac:dyDescent="0.25">
      <c r="C702" s="2"/>
      <c r="D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row>
    <row r="703" spans="3:52" x14ac:dyDescent="0.25">
      <c r="C703" s="2"/>
      <c r="D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row>
    <row r="704" spans="3:52" x14ac:dyDescent="0.25">
      <c r="C704" s="2"/>
      <c r="D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row>
    <row r="705" spans="3:52" x14ac:dyDescent="0.25">
      <c r="C705" s="2"/>
      <c r="D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row>
    <row r="706" spans="3:52" x14ac:dyDescent="0.25">
      <c r="C706" s="2"/>
      <c r="D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row>
    <row r="707" spans="3:52" x14ac:dyDescent="0.25">
      <c r="C707" s="2"/>
      <c r="D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row>
    <row r="708" spans="3:52" x14ac:dyDescent="0.25">
      <c r="C708" s="2"/>
      <c r="D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row>
    <row r="709" spans="3:52" x14ac:dyDescent="0.25">
      <c r="C709" s="2"/>
      <c r="D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row>
    <row r="710" spans="3:52" x14ac:dyDescent="0.25">
      <c r="C710" s="2"/>
      <c r="D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row>
    <row r="711" spans="3:52" x14ac:dyDescent="0.25">
      <c r="C711" s="2"/>
      <c r="D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row>
    <row r="712" spans="3:52" x14ac:dyDescent="0.25">
      <c r="C712" s="2"/>
      <c r="D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row>
    <row r="713" spans="3:52" x14ac:dyDescent="0.25">
      <c r="C713" s="2"/>
      <c r="D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row>
    <row r="714" spans="3:52" x14ac:dyDescent="0.25">
      <c r="C714" s="2"/>
      <c r="D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row>
    <row r="715" spans="3:52" x14ac:dyDescent="0.25">
      <c r="C715" s="2"/>
      <c r="D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row>
    <row r="716" spans="3:52" x14ac:dyDescent="0.25">
      <c r="C716" s="2"/>
      <c r="D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row>
    <row r="717" spans="3:52" x14ac:dyDescent="0.25">
      <c r="C717" s="2"/>
      <c r="D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row>
    <row r="718" spans="3:52" x14ac:dyDescent="0.25">
      <c r="C718" s="2"/>
      <c r="D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row>
    <row r="719" spans="3:52" x14ac:dyDescent="0.25">
      <c r="C719" s="2"/>
      <c r="D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row>
    <row r="720" spans="3:52" x14ac:dyDescent="0.25">
      <c r="C720" s="2"/>
      <c r="D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row>
    <row r="721" spans="3:52" x14ac:dyDescent="0.25">
      <c r="C721" s="2"/>
      <c r="D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row>
    <row r="722" spans="3:52" x14ac:dyDescent="0.25">
      <c r="C722" s="2"/>
      <c r="D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row>
    <row r="723" spans="3:52" x14ac:dyDescent="0.25">
      <c r="C723" s="2"/>
      <c r="D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row>
    <row r="724" spans="3:52" x14ac:dyDescent="0.25">
      <c r="C724" s="2"/>
      <c r="D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row>
    <row r="725" spans="3:52" x14ac:dyDescent="0.25">
      <c r="C725" s="2"/>
      <c r="D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row>
    <row r="726" spans="3:52" x14ac:dyDescent="0.25">
      <c r="C726" s="2"/>
      <c r="D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row>
    <row r="727" spans="3:52" x14ac:dyDescent="0.25">
      <c r="C727" s="2"/>
      <c r="D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row>
    <row r="728" spans="3:52" x14ac:dyDescent="0.25">
      <c r="C728" s="2"/>
      <c r="D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row>
    <row r="729" spans="3:52" x14ac:dyDescent="0.25">
      <c r="C729" s="2"/>
      <c r="D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row>
    <row r="730" spans="3:52" x14ac:dyDescent="0.25">
      <c r="C730" s="2"/>
      <c r="D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row>
    <row r="731" spans="3:52" x14ac:dyDescent="0.25">
      <c r="C731" s="2"/>
      <c r="D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row>
    <row r="732" spans="3:52" x14ac:dyDescent="0.25">
      <c r="C732" s="2"/>
      <c r="D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row>
    <row r="733" spans="3:52" x14ac:dyDescent="0.25">
      <c r="C733" s="2"/>
      <c r="D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row>
    <row r="734" spans="3:52" x14ac:dyDescent="0.25">
      <c r="C734" s="2"/>
      <c r="D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row>
    <row r="735" spans="3:52" x14ac:dyDescent="0.25">
      <c r="C735" s="2"/>
      <c r="D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row>
    <row r="736" spans="3:52" x14ac:dyDescent="0.25">
      <c r="C736" s="2"/>
      <c r="D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row>
    <row r="737" spans="3:52" x14ac:dyDescent="0.25">
      <c r="C737" s="2"/>
      <c r="D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row>
    <row r="738" spans="3:52" x14ac:dyDescent="0.25">
      <c r="C738" s="2"/>
      <c r="D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row>
    <row r="739" spans="3:52" x14ac:dyDescent="0.25">
      <c r="C739" s="2"/>
      <c r="D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row>
    <row r="740" spans="3:52" x14ac:dyDescent="0.25">
      <c r="C740" s="2"/>
      <c r="D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row>
    <row r="741" spans="3:52" x14ac:dyDescent="0.25">
      <c r="C741" s="2"/>
      <c r="D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row>
    <row r="742" spans="3:52" x14ac:dyDescent="0.25">
      <c r="C742" s="2"/>
      <c r="D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row>
    <row r="743" spans="3:52" x14ac:dyDescent="0.25">
      <c r="C743" s="2"/>
      <c r="D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row>
    <row r="744" spans="3:52" x14ac:dyDescent="0.25">
      <c r="C744" s="2"/>
      <c r="D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row>
    <row r="745" spans="3:52" x14ac:dyDescent="0.25">
      <c r="C745" s="2"/>
      <c r="D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row>
    <row r="746" spans="3:52" x14ac:dyDescent="0.25">
      <c r="C746" s="2"/>
      <c r="D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row>
    <row r="747" spans="3:52" x14ac:dyDescent="0.25">
      <c r="C747" s="2"/>
      <c r="D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row>
    <row r="748" spans="3:52" x14ac:dyDescent="0.25">
      <c r="C748" s="2"/>
      <c r="D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row>
    <row r="749" spans="3:52" x14ac:dyDescent="0.25">
      <c r="C749" s="2"/>
      <c r="D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row>
    <row r="750" spans="3:52" x14ac:dyDescent="0.25">
      <c r="C750" s="2"/>
      <c r="D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row>
    <row r="751" spans="3:52" x14ac:dyDescent="0.25">
      <c r="C751" s="2"/>
      <c r="D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row>
    <row r="752" spans="3:52" x14ac:dyDescent="0.25">
      <c r="C752" s="2"/>
      <c r="D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row>
    <row r="753" spans="3:52" x14ac:dyDescent="0.25">
      <c r="C753" s="2"/>
      <c r="D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row>
    <row r="754" spans="3:52" x14ac:dyDescent="0.25">
      <c r="C754" s="2"/>
      <c r="D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row>
    <row r="755" spans="3:52" x14ac:dyDescent="0.25">
      <c r="C755" s="2"/>
      <c r="D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row>
    <row r="756" spans="3:52" x14ac:dyDescent="0.25">
      <c r="C756" s="2"/>
      <c r="D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row>
    <row r="757" spans="3:52" x14ac:dyDescent="0.25">
      <c r="C757" s="2"/>
      <c r="D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row>
    <row r="758" spans="3:52" x14ac:dyDescent="0.25">
      <c r="C758" s="2"/>
      <c r="D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row>
    <row r="759" spans="3:52" x14ac:dyDescent="0.25">
      <c r="C759" s="2"/>
      <c r="D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row>
    <row r="760" spans="3:52" x14ac:dyDescent="0.25">
      <c r="C760" s="2"/>
      <c r="D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row>
    <row r="761" spans="3:52" x14ac:dyDescent="0.25">
      <c r="C761" s="2"/>
      <c r="D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row>
    <row r="762" spans="3:52" x14ac:dyDescent="0.25">
      <c r="C762" s="2"/>
      <c r="D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row>
    <row r="763" spans="3:52" x14ac:dyDescent="0.25">
      <c r="C763" s="2"/>
      <c r="D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row>
    <row r="764" spans="3:52" x14ac:dyDescent="0.25">
      <c r="C764" s="2"/>
      <c r="D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row>
    <row r="765" spans="3:52" x14ac:dyDescent="0.25">
      <c r="C765" s="2"/>
      <c r="D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row>
    <row r="766" spans="3:52" x14ac:dyDescent="0.25">
      <c r="C766" s="2"/>
      <c r="D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row>
    <row r="767" spans="3:52" x14ac:dyDescent="0.25">
      <c r="C767" s="2"/>
      <c r="D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row>
    <row r="768" spans="3:52" x14ac:dyDescent="0.25">
      <c r="C768" s="2"/>
      <c r="D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row>
    <row r="769" spans="3:52" x14ac:dyDescent="0.25">
      <c r="C769" s="2"/>
      <c r="D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row>
    <row r="770" spans="3:52" x14ac:dyDescent="0.25">
      <c r="C770" s="2"/>
      <c r="D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row>
    <row r="771" spans="3:52" x14ac:dyDescent="0.25">
      <c r="C771" s="2"/>
      <c r="D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row>
    <row r="772" spans="3:52" x14ac:dyDescent="0.25">
      <c r="C772" s="2"/>
      <c r="D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row>
    <row r="773" spans="3:52" x14ac:dyDescent="0.25">
      <c r="C773" s="2"/>
      <c r="D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row>
    <row r="774" spans="3:52" x14ac:dyDescent="0.25">
      <c r="C774" s="2"/>
      <c r="D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row>
    <row r="775" spans="3:52" x14ac:dyDescent="0.25">
      <c r="C775" s="2"/>
      <c r="D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row>
    <row r="776" spans="3:52" x14ac:dyDescent="0.25">
      <c r="C776" s="2"/>
      <c r="D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row>
    <row r="777" spans="3:52" x14ac:dyDescent="0.25">
      <c r="C777" s="2"/>
      <c r="D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row>
    <row r="778" spans="3:52" x14ac:dyDescent="0.25">
      <c r="C778" s="2"/>
      <c r="D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row>
    <row r="779" spans="3:52" x14ac:dyDescent="0.25">
      <c r="C779" s="2"/>
      <c r="D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row>
    <row r="780" spans="3:52" x14ac:dyDescent="0.25">
      <c r="C780" s="2"/>
      <c r="D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row>
    <row r="781" spans="3:52" x14ac:dyDescent="0.25">
      <c r="C781" s="2"/>
      <c r="D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row>
    <row r="782" spans="3:52" x14ac:dyDescent="0.25">
      <c r="C782" s="2"/>
      <c r="D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row>
    <row r="783" spans="3:52" x14ac:dyDescent="0.25">
      <c r="C783" s="2"/>
      <c r="D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row>
    <row r="784" spans="3:52" x14ac:dyDescent="0.25">
      <c r="C784" s="2"/>
      <c r="D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row>
    <row r="785" spans="3:52" x14ac:dyDescent="0.25">
      <c r="C785" s="2"/>
      <c r="D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row>
    <row r="786" spans="3:52" x14ac:dyDescent="0.25">
      <c r="C786" s="2"/>
      <c r="D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row>
    <row r="787" spans="3:52" x14ac:dyDescent="0.25">
      <c r="C787" s="2"/>
      <c r="D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row>
    <row r="788" spans="3:52" x14ac:dyDescent="0.25">
      <c r="C788" s="2"/>
      <c r="D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row>
    <row r="789" spans="3:52" x14ac:dyDescent="0.25">
      <c r="C789" s="2"/>
      <c r="D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row>
    <row r="790" spans="3:52" x14ac:dyDescent="0.25">
      <c r="C790" s="2"/>
      <c r="D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row>
    <row r="791" spans="3:52" x14ac:dyDescent="0.25">
      <c r="C791" s="2"/>
      <c r="D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row>
    <row r="792" spans="3:52" x14ac:dyDescent="0.25">
      <c r="C792" s="2"/>
      <c r="D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row>
    <row r="793" spans="3:52" x14ac:dyDescent="0.25">
      <c r="C793" s="2"/>
      <c r="D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row>
    <row r="794" spans="3:52" x14ac:dyDescent="0.25">
      <c r="C794" s="2"/>
      <c r="D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row>
    <row r="795" spans="3:52" x14ac:dyDescent="0.25">
      <c r="C795" s="2"/>
      <c r="D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row>
    <row r="796" spans="3:52" x14ac:dyDescent="0.25">
      <c r="C796" s="2"/>
      <c r="D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row>
    <row r="797" spans="3:52" x14ac:dyDescent="0.25">
      <c r="C797" s="2"/>
      <c r="D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row>
    <row r="798" spans="3:52" x14ac:dyDescent="0.25">
      <c r="C798" s="2"/>
      <c r="D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row>
    <row r="799" spans="3:52" x14ac:dyDescent="0.25">
      <c r="C799" s="2"/>
      <c r="D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row>
    <row r="800" spans="3:52" x14ac:dyDescent="0.25">
      <c r="C800" s="2"/>
      <c r="D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row>
    <row r="801" spans="3:52" x14ac:dyDescent="0.25">
      <c r="C801" s="2"/>
      <c r="D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row>
    <row r="802" spans="3:52" x14ac:dyDescent="0.25">
      <c r="C802" s="2"/>
      <c r="D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row>
    <row r="803" spans="3:52" x14ac:dyDescent="0.25">
      <c r="C803" s="2"/>
      <c r="D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row>
    <row r="804" spans="3:52" x14ac:dyDescent="0.25">
      <c r="C804" s="2"/>
      <c r="D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row>
    <row r="805" spans="3:52" x14ac:dyDescent="0.25">
      <c r="C805" s="2"/>
      <c r="D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row>
    <row r="806" spans="3:52" x14ac:dyDescent="0.25">
      <c r="C806" s="2"/>
      <c r="D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row>
    <row r="807" spans="3:52" x14ac:dyDescent="0.25">
      <c r="C807" s="2"/>
      <c r="D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row>
    <row r="808" spans="3:52" x14ac:dyDescent="0.25">
      <c r="C808" s="2"/>
      <c r="D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row>
    <row r="809" spans="3:52" x14ac:dyDescent="0.25">
      <c r="C809" s="2"/>
      <c r="D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row>
    <row r="810" spans="3:52" x14ac:dyDescent="0.25">
      <c r="C810" s="2"/>
      <c r="D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row>
    <row r="811" spans="3:52" x14ac:dyDescent="0.25">
      <c r="C811" s="2"/>
      <c r="D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row>
    <row r="812" spans="3:52" x14ac:dyDescent="0.25">
      <c r="C812" s="2"/>
      <c r="D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row>
    <row r="813" spans="3:52" x14ac:dyDescent="0.25">
      <c r="C813" s="2"/>
      <c r="D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row>
    <row r="814" spans="3:52" x14ac:dyDescent="0.25">
      <c r="C814" s="2"/>
      <c r="D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row>
    <row r="815" spans="3:52" x14ac:dyDescent="0.25">
      <c r="C815" s="2"/>
      <c r="D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row>
    <row r="816" spans="3:52" x14ac:dyDescent="0.25">
      <c r="C816" s="2"/>
      <c r="D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row>
    <row r="817" spans="3:52" x14ac:dyDescent="0.25">
      <c r="C817" s="2"/>
      <c r="D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row>
    <row r="818" spans="3:52" x14ac:dyDescent="0.25">
      <c r="C818" s="2"/>
      <c r="D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row>
    <row r="819" spans="3:52" x14ac:dyDescent="0.25">
      <c r="C819" s="2"/>
      <c r="D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row>
    <row r="820" spans="3:52" x14ac:dyDescent="0.25">
      <c r="C820" s="2"/>
      <c r="D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row>
    <row r="821" spans="3:52" x14ac:dyDescent="0.25">
      <c r="C821" s="2"/>
      <c r="D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row>
    <row r="822" spans="3:52" x14ac:dyDescent="0.25">
      <c r="C822" s="2"/>
      <c r="D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row>
    <row r="823" spans="3:52" x14ac:dyDescent="0.25">
      <c r="C823" s="2"/>
      <c r="D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row>
    <row r="824" spans="3:52" x14ac:dyDescent="0.25">
      <c r="C824" s="2"/>
      <c r="D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row>
    <row r="825" spans="3:52" x14ac:dyDescent="0.25">
      <c r="C825" s="2"/>
      <c r="D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row>
    <row r="826" spans="3:52" x14ac:dyDescent="0.25">
      <c r="C826" s="2"/>
      <c r="D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row>
    <row r="827" spans="3:52" x14ac:dyDescent="0.25">
      <c r="C827" s="2"/>
      <c r="D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row>
    <row r="828" spans="3:52" x14ac:dyDescent="0.25">
      <c r="C828" s="2"/>
      <c r="D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row>
    <row r="829" spans="3:52" x14ac:dyDescent="0.25">
      <c r="C829" s="2"/>
      <c r="D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row>
    <row r="830" spans="3:52" x14ac:dyDescent="0.25">
      <c r="C830" s="2"/>
      <c r="D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row>
    <row r="831" spans="3:52" x14ac:dyDescent="0.25">
      <c r="C831" s="2"/>
      <c r="D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row>
    <row r="832" spans="3:52" x14ac:dyDescent="0.25">
      <c r="C832" s="2"/>
      <c r="D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row>
    <row r="833" spans="3:52" x14ac:dyDescent="0.25">
      <c r="C833" s="2"/>
      <c r="D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row>
    <row r="834" spans="3:52" x14ac:dyDescent="0.25">
      <c r="C834" s="2"/>
      <c r="D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row>
    <row r="835" spans="3:52" x14ac:dyDescent="0.25">
      <c r="C835" s="2"/>
      <c r="D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row>
    <row r="836" spans="3:52" x14ac:dyDescent="0.25">
      <c r="C836" s="2"/>
      <c r="D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row>
    <row r="837" spans="3:52" x14ac:dyDescent="0.25">
      <c r="C837" s="2"/>
      <c r="D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row>
    <row r="838" spans="3:52" x14ac:dyDescent="0.25">
      <c r="C838" s="2"/>
      <c r="D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row>
    <row r="839" spans="3:52" x14ac:dyDescent="0.25">
      <c r="C839" s="2"/>
      <c r="D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row>
    <row r="840" spans="3:52" x14ac:dyDescent="0.25">
      <c r="C840" s="2"/>
      <c r="D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row>
    <row r="841" spans="3:52" x14ac:dyDescent="0.25">
      <c r="C841" s="2"/>
      <c r="D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row>
    <row r="842" spans="3:52" x14ac:dyDescent="0.25">
      <c r="C842" s="2"/>
      <c r="D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row>
    <row r="843" spans="3:52" x14ac:dyDescent="0.25">
      <c r="C843" s="2"/>
      <c r="D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row>
    <row r="844" spans="3:52" x14ac:dyDescent="0.25">
      <c r="C844" s="2"/>
      <c r="D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row>
    <row r="845" spans="3:52" x14ac:dyDescent="0.25">
      <c r="C845" s="2"/>
      <c r="D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row>
    <row r="846" spans="3:52" x14ac:dyDescent="0.25">
      <c r="C846" s="2"/>
      <c r="D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row>
    <row r="847" spans="3:52" x14ac:dyDescent="0.25">
      <c r="C847" s="2"/>
      <c r="D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row>
    <row r="848" spans="3:52" x14ac:dyDescent="0.25">
      <c r="C848" s="2"/>
      <c r="D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row>
    <row r="849" spans="3:52" x14ac:dyDescent="0.25">
      <c r="C849" s="2"/>
      <c r="D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row>
    <row r="850" spans="3:52" x14ac:dyDescent="0.25">
      <c r="C850" s="2"/>
      <c r="D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row>
    <row r="851" spans="3:52" x14ac:dyDescent="0.25">
      <c r="C851" s="2"/>
      <c r="D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row>
    <row r="852" spans="3:52" x14ac:dyDescent="0.25">
      <c r="C852" s="2"/>
      <c r="D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row>
    <row r="853" spans="3:52" x14ac:dyDescent="0.25">
      <c r="C853" s="2"/>
      <c r="D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row>
    <row r="854" spans="3:52" x14ac:dyDescent="0.25">
      <c r="C854" s="2"/>
      <c r="D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row>
    <row r="855" spans="3:52" x14ac:dyDescent="0.25">
      <c r="C855" s="2"/>
      <c r="D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row>
    <row r="856" spans="3:52" x14ac:dyDescent="0.25">
      <c r="C856" s="2"/>
      <c r="D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row>
    <row r="857" spans="3:52" x14ac:dyDescent="0.25">
      <c r="C857" s="2"/>
      <c r="D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row>
    <row r="858" spans="3:52" x14ac:dyDescent="0.25">
      <c r="C858" s="2"/>
      <c r="D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row>
    <row r="859" spans="3:52" x14ac:dyDescent="0.25">
      <c r="C859" s="2"/>
      <c r="D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row>
    <row r="860" spans="3:52" x14ac:dyDescent="0.25">
      <c r="C860" s="2"/>
      <c r="D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row>
    <row r="861" spans="3:52" x14ac:dyDescent="0.25">
      <c r="C861" s="2"/>
      <c r="D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row>
    <row r="862" spans="3:52" x14ac:dyDescent="0.25">
      <c r="C862" s="2"/>
      <c r="D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row>
    <row r="863" spans="3:52" x14ac:dyDescent="0.25">
      <c r="C863" s="2"/>
      <c r="D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row>
    <row r="864" spans="3:52" x14ac:dyDescent="0.25">
      <c r="C864" s="2"/>
      <c r="D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row>
    <row r="865" spans="3:52" x14ac:dyDescent="0.25">
      <c r="C865" s="2"/>
      <c r="D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row>
    <row r="866" spans="3:52" x14ac:dyDescent="0.25">
      <c r="C866" s="2"/>
      <c r="D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row>
    <row r="867" spans="3:52" x14ac:dyDescent="0.25">
      <c r="C867" s="2"/>
      <c r="D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row>
    <row r="868" spans="3:52" x14ac:dyDescent="0.25">
      <c r="C868" s="2"/>
      <c r="D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row>
    <row r="869" spans="3:52" x14ac:dyDescent="0.25">
      <c r="C869" s="2"/>
      <c r="D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row>
    <row r="870" spans="3:52" x14ac:dyDescent="0.25">
      <c r="C870" s="2"/>
      <c r="D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row>
    <row r="871" spans="3:52" x14ac:dyDescent="0.25">
      <c r="C871" s="2"/>
      <c r="D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row>
    <row r="872" spans="3:52" x14ac:dyDescent="0.25">
      <c r="C872" s="2"/>
      <c r="D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row>
    <row r="873" spans="3:52" x14ac:dyDescent="0.25">
      <c r="C873" s="2"/>
      <c r="D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row>
    <row r="874" spans="3:52" x14ac:dyDescent="0.25">
      <c r="C874" s="2"/>
      <c r="D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row>
    <row r="875" spans="3:52" x14ac:dyDescent="0.25">
      <c r="C875" s="2"/>
      <c r="D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row>
    <row r="876" spans="3:52" x14ac:dyDescent="0.25">
      <c r="C876" s="2"/>
      <c r="D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row>
    <row r="877" spans="3:52" x14ac:dyDescent="0.25">
      <c r="C877" s="2"/>
      <c r="D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row>
    <row r="878" spans="3:52" x14ac:dyDescent="0.25">
      <c r="C878" s="2"/>
      <c r="D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row>
    <row r="879" spans="3:52" x14ac:dyDescent="0.25">
      <c r="C879" s="2"/>
      <c r="D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row>
    <row r="880" spans="3:52" x14ac:dyDescent="0.25">
      <c r="C880" s="2"/>
      <c r="D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row>
    <row r="881" spans="3:52" x14ac:dyDescent="0.25">
      <c r="C881" s="2"/>
      <c r="D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row>
    <row r="882" spans="3:52" x14ac:dyDescent="0.25">
      <c r="C882" s="2"/>
      <c r="D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row>
    <row r="883" spans="3:52" x14ac:dyDescent="0.25">
      <c r="C883" s="2"/>
      <c r="D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row>
    <row r="884" spans="3:52" x14ac:dyDescent="0.25">
      <c r="C884" s="2"/>
      <c r="D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row>
    <row r="885" spans="3:52" x14ac:dyDescent="0.25">
      <c r="C885" s="2"/>
      <c r="D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row>
    <row r="886" spans="3:52" x14ac:dyDescent="0.25">
      <c r="C886" s="2"/>
      <c r="D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row>
    <row r="887" spans="3:52" x14ac:dyDescent="0.25">
      <c r="C887" s="2"/>
      <c r="D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row>
    <row r="888" spans="3:52" x14ac:dyDescent="0.25">
      <c r="C888" s="2"/>
      <c r="D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row>
    <row r="889" spans="3:52" x14ac:dyDescent="0.25">
      <c r="C889" s="2"/>
      <c r="D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row>
    <row r="890" spans="3:52" x14ac:dyDescent="0.25">
      <c r="C890" s="2"/>
      <c r="D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row>
    <row r="891" spans="3:52" x14ac:dyDescent="0.25">
      <c r="C891" s="2"/>
      <c r="D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row>
    <row r="892" spans="3:52" x14ac:dyDescent="0.25">
      <c r="C892" s="2"/>
      <c r="D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row>
    <row r="893" spans="3:52" x14ac:dyDescent="0.25">
      <c r="C893" s="2"/>
      <c r="D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row>
    <row r="894" spans="3:52" x14ac:dyDescent="0.25">
      <c r="C894" s="2"/>
      <c r="D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row>
    <row r="895" spans="3:52" x14ac:dyDescent="0.25">
      <c r="C895" s="2"/>
      <c r="D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row>
    <row r="896" spans="3:52" x14ac:dyDescent="0.25">
      <c r="C896" s="2"/>
      <c r="D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row>
    <row r="897" spans="3:52" x14ac:dyDescent="0.25">
      <c r="C897" s="2"/>
      <c r="D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row>
    <row r="898" spans="3:52" x14ac:dyDescent="0.25">
      <c r="C898" s="2"/>
      <c r="D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row>
    <row r="899" spans="3:52" x14ac:dyDescent="0.25">
      <c r="C899" s="2"/>
      <c r="D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row>
    <row r="900" spans="3:52" x14ac:dyDescent="0.25">
      <c r="C900" s="2"/>
      <c r="D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row>
    <row r="901" spans="3:52" x14ac:dyDescent="0.25">
      <c r="C901" s="2"/>
      <c r="D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row>
    <row r="902" spans="3:52" x14ac:dyDescent="0.25">
      <c r="C902" s="2"/>
      <c r="D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row>
    <row r="903" spans="3:52" x14ac:dyDescent="0.25">
      <c r="C903" s="2"/>
      <c r="D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row>
    <row r="904" spans="3:52" x14ac:dyDescent="0.25">
      <c r="C904" s="2"/>
      <c r="D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row>
    <row r="905" spans="3:52" x14ac:dyDescent="0.25">
      <c r="C905" s="2"/>
      <c r="D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row>
    <row r="906" spans="3:52" x14ac:dyDescent="0.25">
      <c r="C906" s="2"/>
      <c r="D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row>
    <row r="907" spans="3:52" x14ac:dyDescent="0.25">
      <c r="C907" s="2"/>
      <c r="D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row>
    <row r="908" spans="3:52" x14ac:dyDescent="0.25">
      <c r="C908" s="2"/>
      <c r="D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row>
    <row r="909" spans="3:52" x14ac:dyDescent="0.25">
      <c r="C909" s="2"/>
      <c r="D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row>
    <row r="910" spans="3:52" x14ac:dyDescent="0.25">
      <c r="C910" s="2"/>
      <c r="D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row>
    <row r="911" spans="3:52" x14ac:dyDescent="0.25">
      <c r="C911" s="2"/>
      <c r="D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row>
    <row r="912" spans="3:52" x14ac:dyDescent="0.25">
      <c r="C912" s="2"/>
      <c r="D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row>
    <row r="913" spans="3:52" x14ac:dyDescent="0.25">
      <c r="C913" s="2"/>
      <c r="D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row>
    <row r="914" spans="3:52" x14ac:dyDescent="0.25">
      <c r="C914" s="2"/>
      <c r="D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row>
    <row r="915" spans="3:52" x14ac:dyDescent="0.25">
      <c r="C915" s="2"/>
      <c r="D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row>
    <row r="916" spans="3:52" x14ac:dyDescent="0.25">
      <c r="C916" s="2"/>
      <c r="D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row>
    <row r="917" spans="3:52" x14ac:dyDescent="0.25">
      <c r="C917" s="2"/>
      <c r="D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row>
    <row r="918" spans="3:52" x14ac:dyDescent="0.25">
      <c r="C918" s="2"/>
      <c r="D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row>
    <row r="919" spans="3:52" x14ac:dyDescent="0.25">
      <c r="C919" s="2"/>
      <c r="D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row>
    <row r="920" spans="3:52" x14ac:dyDescent="0.25">
      <c r="C920" s="2"/>
      <c r="D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row>
    <row r="921" spans="3:52" x14ac:dyDescent="0.25">
      <c r="C921" s="2"/>
      <c r="D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row>
    <row r="922" spans="3:52" x14ac:dyDescent="0.25">
      <c r="C922" s="2"/>
      <c r="D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row>
    <row r="923" spans="3:52" x14ac:dyDescent="0.25">
      <c r="C923" s="2"/>
      <c r="D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row>
    <row r="924" spans="3:52" x14ac:dyDescent="0.25">
      <c r="C924" s="2"/>
      <c r="D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row>
    <row r="925" spans="3:52" x14ac:dyDescent="0.25">
      <c r="C925" s="2"/>
      <c r="D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row>
    <row r="926" spans="3:52" x14ac:dyDescent="0.25">
      <c r="C926" s="2"/>
      <c r="D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row>
    <row r="927" spans="3:52" x14ac:dyDescent="0.25">
      <c r="C927" s="2"/>
      <c r="D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row>
    <row r="928" spans="3:52" x14ac:dyDescent="0.25">
      <c r="C928" s="2"/>
      <c r="D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row>
    <row r="929" spans="3:52" x14ac:dyDescent="0.25">
      <c r="C929" s="2"/>
      <c r="D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row>
    <row r="930" spans="3:52" x14ac:dyDescent="0.25">
      <c r="C930" s="2"/>
      <c r="D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row>
    <row r="931" spans="3:52" x14ac:dyDescent="0.25">
      <c r="C931" s="2"/>
      <c r="D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row>
    <row r="932" spans="3:52" x14ac:dyDescent="0.25">
      <c r="C932" s="2"/>
      <c r="D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row>
    <row r="933" spans="3:52" x14ac:dyDescent="0.25">
      <c r="C933" s="2"/>
      <c r="D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row>
    <row r="934" spans="3:52" x14ac:dyDescent="0.25">
      <c r="C934" s="2"/>
      <c r="D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row>
    <row r="935" spans="3:52" x14ac:dyDescent="0.25">
      <c r="C935" s="2"/>
      <c r="D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row>
    <row r="936" spans="3:52" x14ac:dyDescent="0.25">
      <c r="C936" s="2"/>
      <c r="D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row>
    <row r="937" spans="3:52" x14ac:dyDescent="0.25">
      <c r="C937" s="2"/>
      <c r="D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row>
    <row r="938" spans="3:52" x14ac:dyDescent="0.25">
      <c r="C938" s="2"/>
      <c r="D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row>
    <row r="939" spans="3:52" x14ac:dyDescent="0.25">
      <c r="C939" s="2"/>
      <c r="D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row>
    <row r="940" spans="3:52" x14ac:dyDescent="0.25">
      <c r="C940" s="2"/>
      <c r="D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row>
    <row r="941" spans="3:52" x14ac:dyDescent="0.25">
      <c r="C941" s="2"/>
      <c r="D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row>
    <row r="942" spans="3:52" x14ac:dyDescent="0.25">
      <c r="C942" s="2"/>
      <c r="D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row>
    <row r="943" spans="3:52" x14ac:dyDescent="0.25">
      <c r="C943" s="2"/>
      <c r="D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row>
    <row r="944" spans="3:52" x14ac:dyDescent="0.25">
      <c r="C944" s="2"/>
      <c r="D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row>
    <row r="945" spans="3:52" x14ac:dyDescent="0.25">
      <c r="C945" s="2"/>
      <c r="D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row>
    <row r="946" spans="3:52" x14ac:dyDescent="0.25">
      <c r="C946" s="2"/>
      <c r="D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row>
    <row r="947" spans="3:52" x14ac:dyDescent="0.25">
      <c r="C947" s="2"/>
      <c r="D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row>
    <row r="948" spans="3:52" x14ac:dyDescent="0.25">
      <c r="C948" s="2"/>
      <c r="D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row>
    <row r="949" spans="3:52" x14ac:dyDescent="0.25">
      <c r="C949" s="2"/>
      <c r="D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row>
    <row r="950" spans="3:52" x14ac:dyDescent="0.25">
      <c r="C950" s="2"/>
      <c r="D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row>
    <row r="951" spans="3:52" x14ac:dyDescent="0.25">
      <c r="C951" s="2"/>
      <c r="D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row>
    <row r="952" spans="3:52" x14ac:dyDescent="0.25">
      <c r="C952" s="2"/>
      <c r="D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row>
    <row r="953" spans="3:52" x14ac:dyDescent="0.25">
      <c r="C953" s="2"/>
      <c r="D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row>
    <row r="954" spans="3:52" x14ac:dyDescent="0.25">
      <c r="C954" s="2"/>
      <c r="D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row>
    <row r="955" spans="3:52" x14ac:dyDescent="0.25">
      <c r="C955" s="2"/>
      <c r="D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row>
    <row r="956" spans="3:52" x14ac:dyDescent="0.25">
      <c r="C956" s="2"/>
      <c r="D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row>
    <row r="957" spans="3:52" x14ac:dyDescent="0.25">
      <c r="C957" s="2"/>
      <c r="D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row>
    <row r="958" spans="3:52" x14ac:dyDescent="0.25">
      <c r="C958" s="2"/>
      <c r="D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row>
    <row r="959" spans="3:52" x14ac:dyDescent="0.25">
      <c r="C959" s="2"/>
      <c r="D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row>
    <row r="960" spans="3:52" x14ac:dyDescent="0.25">
      <c r="C960" s="2"/>
      <c r="D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row>
    <row r="961" spans="3:52" x14ac:dyDescent="0.25">
      <c r="C961" s="2"/>
      <c r="D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row>
    <row r="962" spans="3:52" x14ac:dyDescent="0.25">
      <c r="C962" s="2"/>
      <c r="D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row>
    <row r="963" spans="3:52" x14ac:dyDescent="0.25">
      <c r="C963" s="2"/>
      <c r="D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row>
    <row r="964" spans="3:52" x14ac:dyDescent="0.25">
      <c r="C964" s="2"/>
      <c r="D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row>
    <row r="965" spans="3:52" x14ac:dyDescent="0.25">
      <c r="C965" s="2"/>
      <c r="D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row>
    <row r="966" spans="3:52" x14ac:dyDescent="0.25">
      <c r="C966" s="2"/>
      <c r="D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row>
    <row r="967" spans="3:52" x14ac:dyDescent="0.25">
      <c r="C967" s="2"/>
      <c r="D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row>
    <row r="968" spans="3:52" x14ac:dyDescent="0.25">
      <c r="C968" s="2"/>
      <c r="D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row>
    <row r="969" spans="3:52" x14ac:dyDescent="0.25">
      <c r="C969" s="2"/>
      <c r="D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row>
    <row r="970" spans="3:52" x14ac:dyDescent="0.25">
      <c r="C970" s="2"/>
      <c r="D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row>
    <row r="971" spans="3:52" x14ac:dyDescent="0.25">
      <c r="C971" s="2"/>
      <c r="D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row>
    <row r="972" spans="3:52" x14ac:dyDescent="0.25">
      <c r="C972" s="2"/>
      <c r="D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row>
    <row r="973" spans="3:52" x14ac:dyDescent="0.25">
      <c r="C973" s="2"/>
      <c r="D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row>
    <row r="974" spans="3:52" x14ac:dyDescent="0.25">
      <c r="C974" s="2"/>
      <c r="D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row>
    <row r="975" spans="3:52" x14ac:dyDescent="0.25">
      <c r="C975" s="2"/>
      <c r="D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row>
    <row r="976" spans="3:52" x14ac:dyDescent="0.25">
      <c r="C976" s="2"/>
      <c r="D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row>
    <row r="977" spans="3:52" x14ac:dyDescent="0.25">
      <c r="C977" s="2"/>
      <c r="D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row>
    <row r="978" spans="3:52" x14ac:dyDescent="0.25">
      <c r="C978" s="2"/>
      <c r="D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row>
    <row r="979" spans="3:52" x14ac:dyDescent="0.25">
      <c r="C979" s="2"/>
      <c r="D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row>
    <row r="980" spans="3:52" x14ac:dyDescent="0.25">
      <c r="C980" s="2"/>
      <c r="D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row>
    <row r="981" spans="3:52" x14ac:dyDescent="0.25">
      <c r="C981" s="2"/>
      <c r="D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row>
    <row r="982" spans="3:52" x14ac:dyDescent="0.25">
      <c r="C982" s="2"/>
      <c r="D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row>
    <row r="983" spans="3:52" x14ac:dyDescent="0.25">
      <c r="C983" s="2"/>
      <c r="D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row>
    <row r="984" spans="3:52" x14ac:dyDescent="0.25">
      <c r="C984" s="2"/>
      <c r="D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row>
    <row r="985" spans="3:52" x14ac:dyDescent="0.25">
      <c r="C985" s="2"/>
      <c r="D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row>
    <row r="986" spans="3:52" x14ac:dyDescent="0.25">
      <c r="C986" s="2"/>
      <c r="D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row>
    <row r="987" spans="3:52" x14ac:dyDescent="0.25">
      <c r="C987" s="2"/>
      <c r="D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row>
    <row r="988" spans="3:52" x14ac:dyDescent="0.25">
      <c r="C988" s="2"/>
      <c r="D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row>
    <row r="989" spans="3:52" x14ac:dyDescent="0.25">
      <c r="C989" s="2"/>
      <c r="D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row>
    <row r="990" spans="3:52" x14ac:dyDescent="0.25">
      <c r="C990" s="2"/>
      <c r="D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row>
    <row r="991" spans="3:52" x14ac:dyDescent="0.25">
      <c r="C991" s="2"/>
      <c r="D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row>
    <row r="992" spans="3:52" x14ac:dyDescent="0.25">
      <c r="C992" s="2"/>
      <c r="D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row>
    <row r="993" spans="3:52" x14ac:dyDescent="0.25">
      <c r="C993" s="2"/>
      <c r="D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row>
    <row r="994" spans="3:52" x14ac:dyDescent="0.25">
      <c r="C994" s="2"/>
      <c r="D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row>
    <row r="995" spans="3:52" x14ac:dyDescent="0.25">
      <c r="C995" s="2"/>
      <c r="D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row>
    <row r="996" spans="3:52" x14ac:dyDescent="0.25">
      <c r="C996" s="2"/>
      <c r="D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row>
    <row r="997" spans="3:52" x14ac:dyDescent="0.25">
      <c r="C997" s="2"/>
      <c r="D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row>
    <row r="998" spans="3:52" x14ac:dyDescent="0.25">
      <c r="C998" s="2"/>
      <c r="D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row>
    <row r="999" spans="3:52" x14ac:dyDescent="0.25">
      <c r="C999" s="2"/>
      <c r="D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row>
    <row r="1000" spans="3:52" x14ac:dyDescent="0.25">
      <c r="C1000" s="2"/>
      <c r="D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row>
    <row r="1001" spans="3:52" x14ac:dyDescent="0.25">
      <c r="C1001" s="2"/>
      <c r="D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row>
    <row r="1002" spans="3:52" x14ac:dyDescent="0.25">
      <c r="C1002" s="2"/>
      <c r="D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row>
    <row r="1003" spans="3:52" x14ac:dyDescent="0.25">
      <c r="C1003" s="2"/>
      <c r="D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row>
    <row r="1004" spans="3:52" x14ac:dyDescent="0.25">
      <c r="C1004" s="2"/>
      <c r="D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row>
    <row r="1005" spans="3:52" x14ac:dyDescent="0.25">
      <c r="C1005" s="2"/>
      <c r="D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row>
    <row r="1006" spans="3:52" x14ac:dyDescent="0.25">
      <c r="C1006" s="2"/>
      <c r="D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row>
    <row r="1007" spans="3:52" x14ac:dyDescent="0.25">
      <c r="C1007" s="2"/>
      <c r="D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row>
    <row r="1008" spans="3:52" x14ac:dyDescent="0.25">
      <c r="C1008" s="2"/>
      <c r="D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row>
    <row r="1009" spans="3:52" x14ac:dyDescent="0.25">
      <c r="C1009" s="2"/>
      <c r="D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row>
    <row r="1010" spans="3:52" x14ac:dyDescent="0.25">
      <c r="C1010" s="2"/>
      <c r="D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row>
    <row r="1011" spans="3:52" x14ac:dyDescent="0.25">
      <c r="C1011" s="2"/>
      <c r="D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row>
    <row r="1012" spans="3:52" x14ac:dyDescent="0.25">
      <c r="C1012" s="2"/>
      <c r="D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row>
    <row r="1013" spans="3:52" x14ac:dyDescent="0.25">
      <c r="C1013" s="2"/>
      <c r="D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row>
    <row r="1014" spans="3:52" x14ac:dyDescent="0.25">
      <c r="C1014" s="2"/>
      <c r="D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row>
    <row r="1015" spans="3:52" x14ac:dyDescent="0.25">
      <c r="C1015" s="2"/>
      <c r="D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row>
    <row r="1016" spans="3:52" x14ac:dyDescent="0.25">
      <c r="C1016" s="2"/>
      <c r="D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row>
    <row r="1017" spans="3:52" x14ac:dyDescent="0.25">
      <c r="C1017" s="2"/>
      <c r="D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row>
    <row r="1018" spans="3:52" x14ac:dyDescent="0.25">
      <c r="C1018" s="2"/>
      <c r="D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row>
    <row r="1019" spans="3:52" x14ac:dyDescent="0.25">
      <c r="C1019" s="2"/>
      <c r="D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row>
    <row r="1020" spans="3:52" x14ac:dyDescent="0.25">
      <c r="C1020" s="2"/>
      <c r="D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row>
    <row r="1021" spans="3:52" x14ac:dyDescent="0.25">
      <c r="C1021" s="2"/>
      <c r="D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row>
    <row r="1022" spans="3:52" x14ac:dyDescent="0.25">
      <c r="C1022" s="2"/>
      <c r="D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row>
    <row r="1023" spans="3:52" x14ac:dyDescent="0.25">
      <c r="C1023" s="2"/>
      <c r="D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row>
    <row r="1024" spans="3:52" x14ac:dyDescent="0.25">
      <c r="C1024" s="2"/>
      <c r="D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row>
    <row r="1025" spans="3:52" x14ac:dyDescent="0.25">
      <c r="C1025" s="2"/>
      <c r="D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row>
    <row r="1026" spans="3:52" x14ac:dyDescent="0.25">
      <c r="C1026" s="2"/>
      <c r="D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row>
    <row r="1027" spans="3:52" x14ac:dyDescent="0.25">
      <c r="C1027" s="2"/>
      <c r="D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row>
    <row r="1028" spans="3:52" x14ac:dyDescent="0.25">
      <c r="C1028" s="2"/>
      <c r="D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row>
    <row r="1029" spans="3:52" x14ac:dyDescent="0.25">
      <c r="C1029" s="2"/>
      <c r="D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row>
    <row r="1030" spans="3:52" x14ac:dyDescent="0.25">
      <c r="C1030" s="2"/>
      <c r="D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row>
    <row r="1031" spans="3:52" x14ac:dyDescent="0.25">
      <c r="C1031" s="2"/>
      <c r="D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row>
    <row r="1032" spans="3:52" x14ac:dyDescent="0.25">
      <c r="C1032" s="2"/>
      <c r="D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row>
    <row r="1033" spans="3:52" x14ac:dyDescent="0.25">
      <c r="C1033" s="2"/>
      <c r="D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row>
    <row r="1034" spans="3:52" x14ac:dyDescent="0.25">
      <c r="C1034" s="2"/>
      <c r="D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row>
    <row r="1035" spans="3:52" x14ac:dyDescent="0.25">
      <c r="C1035" s="2"/>
      <c r="D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row>
    <row r="1036" spans="3:52" x14ac:dyDescent="0.25">
      <c r="C1036" s="2"/>
      <c r="D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row>
    <row r="1037" spans="3:52" x14ac:dyDescent="0.25">
      <c r="C1037" s="2"/>
      <c r="D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row>
    <row r="1038" spans="3:52" x14ac:dyDescent="0.25">
      <c r="C1038" s="2"/>
      <c r="D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row>
    <row r="1039" spans="3:52" x14ac:dyDescent="0.25">
      <c r="C1039" s="2"/>
      <c r="D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row>
    <row r="1040" spans="3:52" x14ac:dyDescent="0.25">
      <c r="C1040" s="2"/>
      <c r="D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row>
    <row r="1041" spans="3:52" x14ac:dyDescent="0.25">
      <c r="C1041" s="2"/>
      <c r="D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row>
    <row r="1042" spans="3:52" x14ac:dyDescent="0.25">
      <c r="C1042" s="2"/>
      <c r="D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row>
    <row r="1043" spans="3:52" x14ac:dyDescent="0.25">
      <c r="C1043" s="2"/>
      <c r="D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row>
    <row r="1044" spans="3:52" x14ac:dyDescent="0.25">
      <c r="C1044" s="2"/>
      <c r="D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row>
    <row r="1045" spans="3:52" x14ac:dyDescent="0.25">
      <c r="C1045" s="2"/>
      <c r="D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row>
    <row r="1046" spans="3:52" x14ac:dyDescent="0.25">
      <c r="C1046" s="2"/>
      <c r="D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row>
    <row r="1047" spans="3:52" x14ac:dyDescent="0.25">
      <c r="C1047" s="2"/>
      <c r="D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row>
    <row r="1048" spans="3:52" x14ac:dyDescent="0.25">
      <c r="C1048" s="2"/>
      <c r="D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row>
    <row r="1049" spans="3:52" x14ac:dyDescent="0.25">
      <c r="C1049" s="2"/>
      <c r="D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row>
    <row r="1050" spans="3:52" x14ac:dyDescent="0.25">
      <c r="C1050" s="2"/>
      <c r="D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row>
    <row r="1051" spans="3:52" x14ac:dyDescent="0.25">
      <c r="C1051" s="2"/>
      <c r="D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row>
    <row r="1052" spans="3:52" x14ac:dyDescent="0.25">
      <c r="C1052" s="2"/>
      <c r="D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row>
    <row r="1053" spans="3:52" x14ac:dyDescent="0.25">
      <c r="C1053" s="2"/>
      <c r="D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row>
    <row r="1054" spans="3:52" x14ac:dyDescent="0.25">
      <c r="C1054" s="2"/>
      <c r="D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row>
    <row r="1055" spans="3:52" x14ac:dyDescent="0.25">
      <c r="C1055" s="2"/>
      <c r="D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row>
    <row r="1056" spans="3:52" x14ac:dyDescent="0.25">
      <c r="C1056" s="2"/>
      <c r="D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row>
    <row r="1057" spans="3:52" x14ac:dyDescent="0.25">
      <c r="C1057" s="2"/>
      <c r="D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row>
    <row r="1058" spans="3:52" x14ac:dyDescent="0.25">
      <c r="C1058" s="2"/>
      <c r="D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row>
    <row r="1059" spans="3:52" x14ac:dyDescent="0.25">
      <c r="C1059" s="2"/>
      <c r="D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row>
    <row r="1060" spans="3:52" x14ac:dyDescent="0.25">
      <c r="C1060" s="2"/>
      <c r="D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row>
    <row r="1061" spans="3:52" x14ac:dyDescent="0.25">
      <c r="C1061" s="2"/>
      <c r="D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row>
    <row r="1062" spans="3:52" x14ac:dyDescent="0.25">
      <c r="C1062" s="2"/>
      <c r="D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row>
    <row r="1063" spans="3:52" x14ac:dyDescent="0.25">
      <c r="C1063" s="2"/>
      <c r="D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row>
    <row r="1064" spans="3:52" x14ac:dyDescent="0.25">
      <c r="C1064" s="2"/>
      <c r="D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row>
    <row r="1065" spans="3:52" x14ac:dyDescent="0.25">
      <c r="C1065" s="2"/>
      <c r="D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row>
    <row r="1066" spans="3:52" x14ac:dyDescent="0.25">
      <c r="C1066" s="2"/>
      <c r="D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row>
    <row r="1067" spans="3:52" x14ac:dyDescent="0.25">
      <c r="C1067" s="2"/>
      <c r="D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row>
    <row r="1068" spans="3:52" x14ac:dyDescent="0.25">
      <c r="C1068" s="2"/>
      <c r="D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row>
    <row r="1069" spans="3:52" x14ac:dyDescent="0.25">
      <c r="C1069" s="2"/>
      <c r="D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row>
    <row r="1070" spans="3:52" x14ac:dyDescent="0.25">
      <c r="C1070" s="2"/>
      <c r="D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row>
    <row r="1071" spans="3:52" x14ac:dyDescent="0.25">
      <c r="C1071" s="2"/>
      <c r="D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row>
    <row r="1072" spans="3:52" x14ac:dyDescent="0.25">
      <c r="C1072" s="2"/>
      <c r="D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row>
    <row r="1073" spans="3:52" x14ac:dyDescent="0.25">
      <c r="C1073" s="2"/>
      <c r="D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row>
    <row r="1074" spans="3:52" x14ac:dyDescent="0.25">
      <c r="C1074" s="2"/>
      <c r="D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row>
    <row r="1075" spans="3:52" x14ac:dyDescent="0.25">
      <c r="C1075" s="2"/>
      <c r="D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row>
    <row r="1076" spans="3:52" x14ac:dyDescent="0.25">
      <c r="C1076" s="2"/>
      <c r="D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row>
    <row r="1077" spans="3:52" x14ac:dyDescent="0.25">
      <c r="C1077" s="2"/>
      <c r="D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row>
    <row r="1078" spans="3:52" x14ac:dyDescent="0.25">
      <c r="C1078" s="2"/>
      <c r="D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row>
    <row r="1079" spans="3:52" x14ac:dyDescent="0.25">
      <c r="C1079" s="2"/>
      <c r="D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row>
    <row r="1080" spans="3:52" x14ac:dyDescent="0.25">
      <c r="C1080" s="2"/>
      <c r="D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row>
    <row r="1081" spans="3:52" x14ac:dyDescent="0.25">
      <c r="C1081" s="2"/>
      <c r="D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row>
    <row r="1082" spans="3:52" x14ac:dyDescent="0.25">
      <c r="C1082" s="2"/>
      <c r="D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row>
    <row r="1083" spans="3:52" x14ac:dyDescent="0.25">
      <c r="C1083" s="2"/>
      <c r="D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row>
    <row r="1084" spans="3:52" x14ac:dyDescent="0.25">
      <c r="C1084" s="2"/>
      <c r="D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row>
    <row r="1085" spans="3:52" x14ac:dyDescent="0.25">
      <c r="C1085" s="2"/>
      <c r="D1085" s="2"/>
    </row>
  </sheetData>
  <pageMargins left="0.7" right="0.7" top="0.75" bottom="0.75" header="0.3" footer="0.3"/>
  <pageSetup scale="58"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738E9-9562-477D-80A2-24879F27A5DD}">
  <sheetPr>
    <pageSetUpPr fitToPage="1"/>
  </sheetPr>
  <dimension ref="A1:R9"/>
  <sheetViews>
    <sheetView workbookViewId="0"/>
  </sheetViews>
  <sheetFormatPr defaultColWidth="8.85546875" defaultRowHeight="12.75" x14ac:dyDescent="0.2"/>
  <cols>
    <col min="1" max="1" width="86" bestFit="1" customWidth="1"/>
    <col min="2" max="2" width="9.85546875" bestFit="1" customWidth="1"/>
    <col min="3" max="3" width="9.85546875" hidden="1" customWidth="1"/>
    <col min="4" max="4" width="9.85546875" bestFit="1" customWidth="1"/>
    <col min="5" max="7" width="9.85546875" hidden="1" customWidth="1"/>
    <col min="9" max="9" width="9.85546875" hidden="1" customWidth="1"/>
    <col min="11" max="11" width="9.85546875" hidden="1" customWidth="1"/>
    <col min="13" max="13" width="9.85546875" hidden="1" customWidth="1"/>
    <col min="17" max="17" width="21.7109375" bestFit="1" customWidth="1"/>
  </cols>
  <sheetData>
    <row r="1" spans="1:18" ht="18" x14ac:dyDescent="0.25">
      <c r="A1" s="432"/>
    </row>
    <row r="2" spans="1:18" ht="21" x14ac:dyDescent="0.25">
      <c r="A2" s="432"/>
      <c r="B2" s="447" t="s">
        <v>672</v>
      </c>
      <c r="C2" s="447" t="s">
        <v>672</v>
      </c>
      <c r="D2" s="449" t="s">
        <v>684</v>
      </c>
      <c r="E2" s="449" t="s">
        <v>673</v>
      </c>
      <c r="F2" s="449" t="s">
        <v>688</v>
      </c>
      <c r="G2" s="449" t="s">
        <v>674</v>
      </c>
      <c r="H2" s="448" t="s">
        <v>685</v>
      </c>
      <c r="I2" s="448" t="s">
        <v>675</v>
      </c>
      <c r="J2" s="449" t="s">
        <v>682</v>
      </c>
      <c r="K2" s="449" t="s">
        <v>676</v>
      </c>
      <c r="L2" s="449" t="s">
        <v>683</v>
      </c>
      <c r="M2" s="449" t="s">
        <v>677</v>
      </c>
    </row>
    <row r="3" spans="1:18" ht="18" hidden="1" x14ac:dyDescent="0.25">
      <c r="A3" s="433"/>
      <c r="B3" s="434">
        <v>2023</v>
      </c>
      <c r="C3" s="435">
        <v>2022</v>
      </c>
      <c r="D3" s="436">
        <v>2023</v>
      </c>
      <c r="E3" s="435">
        <v>2022</v>
      </c>
      <c r="F3" s="436">
        <v>2023</v>
      </c>
      <c r="G3" s="435">
        <v>2022</v>
      </c>
      <c r="H3" s="436">
        <v>2023</v>
      </c>
      <c r="I3" s="435">
        <v>2022</v>
      </c>
      <c r="J3" s="436">
        <v>2023</v>
      </c>
      <c r="K3" s="435">
        <v>2022</v>
      </c>
      <c r="L3" s="436">
        <v>2023</v>
      </c>
      <c r="M3" s="435">
        <v>2022</v>
      </c>
    </row>
    <row r="4" spans="1:18" ht="18" x14ac:dyDescent="0.2">
      <c r="A4" s="437" t="s">
        <v>678</v>
      </c>
      <c r="B4" s="438">
        <v>44247</v>
      </c>
      <c r="C4" s="439">
        <v>76040</v>
      </c>
      <c r="D4" s="440">
        <v>22497</v>
      </c>
      <c r="E4" s="439">
        <v>33991</v>
      </c>
      <c r="F4" s="440">
        <v>21750</v>
      </c>
      <c r="G4" s="439">
        <v>42049</v>
      </c>
      <c r="H4" s="440">
        <v>7217</v>
      </c>
      <c r="I4" s="439">
        <v>14705</v>
      </c>
      <c r="J4" s="440">
        <v>4852</v>
      </c>
      <c r="K4" s="439">
        <v>10671</v>
      </c>
      <c r="L4" s="440">
        <v>9681</v>
      </c>
      <c r="M4" s="439">
        <v>16673</v>
      </c>
    </row>
    <row r="5" spans="1:18" ht="21" x14ac:dyDescent="0.2">
      <c r="A5" s="441" t="s">
        <v>679</v>
      </c>
      <c r="B5" s="438">
        <v>43320</v>
      </c>
      <c r="C5" s="439">
        <v>75066</v>
      </c>
      <c r="D5" s="440">
        <v>22208</v>
      </c>
      <c r="E5" s="439">
        <v>33700</v>
      </c>
      <c r="F5" s="440">
        <v>21112</v>
      </c>
      <c r="G5" s="439">
        <v>41366</v>
      </c>
      <c r="H5" s="440">
        <v>6792</v>
      </c>
      <c r="I5" s="439">
        <v>14196</v>
      </c>
      <c r="J5" s="440">
        <v>4789</v>
      </c>
      <c r="K5" s="439">
        <v>10607</v>
      </c>
      <c r="L5" s="440">
        <v>9531</v>
      </c>
      <c r="M5" s="439">
        <v>16563</v>
      </c>
    </row>
    <row r="6" spans="1:18" ht="18" x14ac:dyDescent="0.2">
      <c r="A6" s="442" t="s">
        <v>71</v>
      </c>
      <c r="B6" s="438">
        <v>23602</v>
      </c>
      <c r="C6" s="443">
        <v>55676</v>
      </c>
      <c r="D6" s="440">
        <v>11683</v>
      </c>
      <c r="E6" s="443">
        <v>23688</v>
      </c>
      <c r="F6" s="440">
        <v>11919</v>
      </c>
      <c r="G6" s="443">
        <v>31988</v>
      </c>
      <c r="H6" s="440">
        <v>3598</v>
      </c>
      <c r="I6" s="443">
        <v>10875</v>
      </c>
      <c r="J6" s="440">
        <v>3050</v>
      </c>
      <c r="K6" s="443">
        <v>8651</v>
      </c>
      <c r="L6" s="440">
        <v>5271</v>
      </c>
      <c r="M6" s="443">
        <v>12462</v>
      </c>
      <c r="N6" s="451">
        <f>B6/$B$4</f>
        <v>0.53341469478156711</v>
      </c>
      <c r="Q6" t="s">
        <v>685</v>
      </c>
      <c r="R6" t="s">
        <v>686</v>
      </c>
    </row>
    <row r="7" spans="1:18" ht="18" x14ac:dyDescent="0.2">
      <c r="A7" s="442" t="s">
        <v>680</v>
      </c>
      <c r="B7" s="438">
        <v>11021</v>
      </c>
      <c r="C7" s="443">
        <v>10267</v>
      </c>
      <c r="D7" s="440">
        <v>4830</v>
      </c>
      <c r="E7" s="443">
        <v>4106</v>
      </c>
      <c r="F7" s="440">
        <v>6192</v>
      </c>
      <c r="G7" s="443">
        <v>6161</v>
      </c>
      <c r="H7" s="440">
        <v>2056</v>
      </c>
      <c r="I7" s="443">
        <v>1973</v>
      </c>
      <c r="J7" s="440">
        <v>1149</v>
      </c>
      <c r="K7" s="443">
        <v>1293</v>
      </c>
      <c r="L7" s="440">
        <v>2987</v>
      </c>
      <c r="M7" s="443">
        <v>2895</v>
      </c>
      <c r="N7" s="451">
        <f t="shared" ref="N7:N9" si="0">B7/$B$4</f>
        <v>0.2490790336067982</v>
      </c>
      <c r="Q7" t="s">
        <v>683</v>
      </c>
      <c r="R7" t="s">
        <v>689</v>
      </c>
    </row>
    <row r="8" spans="1:18" ht="18" x14ac:dyDescent="0.2">
      <c r="A8" s="442" t="s">
        <v>103</v>
      </c>
      <c r="B8" s="438">
        <v>8696</v>
      </c>
      <c r="C8" s="443">
        <v>9124</v>
      </c>
      <c r="D8" s="440">
        <v>5695</v>
      </c>
      <c r="E8" s="443">
        <v>5907</v>
      </c>
      <c r="F8" s="440">
        <v>3001</v>
      </c>
      <c r="G8" s="443">
        <v>3217</v>
      </c>
      <c r="H8" s="440">
        <v>1138</v>
      </c>
      <c r="I8" s="443">
        <v>1348</v>
      </c>
      <c r="J8" s="444">
        <v>590</v>
      </c>
      <c r="K8" s="445">
        <v>663</v>
      </c>
      <c r="L8" s="440">
        <v>1273</v>
      </c>
      <c r="M8" s="443">
        <v>1206</v>
      </c>
      <c r="N8" s="451">
        <f t="shared" si="0"/>
        <v>0.19653309828914955</v>
      </c>
      <c r="Q8" t="s">
        <v>682</v>
      </c>
      <c r="R8" t="s">
        <v>687</v>
      </c>
    </row>
    <row r="9" spans="1:18" ht="18" x14ac:dyDescent="0.2">
      <c r="A9" s="441" t="s">
        <v>681</v>
      </c>
      <c r="B9" s="446">
        <v>928</v>
      </c>
      <c r="C9" s="445">
        <v>974</v>
      </c>
      <c r="D9" s="444">
        <v>289</v>
      </c>
      <c r="E9" s="445">
        <v>291</v>
      </c>
      <c r="F9" s="444">
        <v>639</v>
      </c>
      <c r="G9" s="445">
        <v>683</v>
      </c>
      <c r="H9" s="444">
        <v>426</v>
      </c>
      <c r="I9" s="445">
        <v>509</v>
      </c>
      <c r="J9" s="444">
        <v>63</v>
      </c>
      <c r="K9" s="445">
        <v>64</v>
      </c>
      <c r="L9" s="444">
        <v>150</v>
      </c>
      <c r="M9" s="445">
        <v>110</v>
      </c>
      <c r="N9" s="451">
        <f t="shared" si="0"/>
        <v>2.097317332248514E-2</v>
      </c>
    </row>
  </sheetData>
  <pageMargins left="0.7" right="0.7" top="0.75" bottom="0.75" header="0.3" footer="0.3"/>
  <pageSetup scale="28"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FEF5D-F8DF-4142-8251-9822922970B0}">
  <sheetPr>
    <tabColor theme="4"/>
    <pageSetUpPr fitToPage="1"/>
  </sheetPr>
  <dimension ref="A1:AZ1087"/>
  <sheetViews>
    <sheetView workbookViewId="0"/>
  </sheetViews>
  <sheetFormatPr defaultColWidth="9.140625" defaultRowHeight="15" x14ac:dyDescent="0.25"/>
  <cols>
    <col min="1" max="1" width="30.7109375" style="6" customWidth="1"/>
    <col min="2" max="2" width="29.7109375" style="2" customWidth="1"/>
    <col min="3" max="4" width="10.7109375" style="7" hidden="1" customWidth="1"/>
    <col min="5" max="5" width="10.7109375" style="17" hidden="1" customWidth="1"/>
    <col min="6" max="6" width="10.7109375" style="18" hidden="1" customWidth="1"/>
    <col min="7" max="7" width="10.7109375" style="17" hidden="1" customWidth="1"/>
    <col min="8" max="8" width="12" style="17" hidden="1" customWidth="1"/>
    <col min="9" max="9" width="12" style="17" bestFit="1" customWidth="1"/>
    <col min="10" max="14" width="10.7109375" style="17" customWidth="1"/>
    <col min="15" max="23" width="10.7109375" style="7" customWidth="1"/>
    <col min="24" max="52" width="9.140625" style="7"/>
    <col min="53" max="16384" width="9.140625" style="2"/>
  </cols>
  <sheetData>
    <row r="1" spans="1:52" x14ac:dyDescent="0.25">
      <c r="A1" s="4" t="str">
        <f>Inputs!A1</f>
        <v>Pfizer</v>
      </c>
      <c r="B1" s="4"/>
      <c r="C1" s="2"/>
      <c r="D1" s="254"/>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row>
    <row r="2" spans="1:52" x14ac:dyDescent="0.25">
      <c r="A2" s="5" t="s">
        <v>669</v>
      </c>
      <c r="B2" s="5"/>
      <c r="C2" s="2"/>
      <c r="D2" s="254"/>
      <c r="Q2" s="2"/>
      <c r="R2" s="2"/>
      <c r="S2" s="2"/>
      <c r="T2" s="2"/>
      <c r="U2" s="2"/>
      <c r="V2" s="254"/>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spans="1:52" x14ac:dyDescent="0.25">
      <c r="B3" s="6"/>
      <c r="F3" s="20"/>
    </row>
    <row r="4" spans="1:52" s="81" customFormat="1" ht="15.75" thickBot="1" x14ac:dyDescent="0.3">
      <c r="A4" s="384" t="str">
        <f>CONCATENATE("Fiscal Years Ending ",Inputs!B7)</f>
        <v>Fiscal Years Ending Dec. 31</v>
      </c>
      <c r="B4" s="385"/>
      <c r="C4" s="386">
        <v>2012</v>
      </c>
      <c r="D4" s="386">
        <v>2013</v>
      </c>
      <c r="E4" s="386">
        <v>2014</v>
      </c>
      <c r="F4" s="386">
        <v>2015</v>
      </c>
      <c r="G4" s="386">
        <v>2016</v>
      </c>
      <c r="H4" s="386">
        <v>2017</v>
      </c>
      <c r="I4" s="386">
        <v>2018</v>
      </c>
      <c r="J4" s="386">
        <v>2019</v>
      </c>
      <c r="K4" s="386">
        <v>2020</v>
      </c>
      <c r="L4" s="386">
        <v>2021</v>
      </c>
      <c r="M4" s="386">
        <v>2022</v>
      </c>
      <c r="N4" s="386" t="s">
        <v>692</v>
      </c>
      <c r="O4" s="386"/>
      <c r="P4" s="386"/>
      <c r="Q4" s="386"/>
      <c r="R4" s="386"/>
      <c r="S4" s="386"/>
      <c r="T4" s="386"/>
      <c r="U4" s="386"/>
    </row>
    <row r="5" spans="1:52" s="114" customFormat="1" x14ac:dyDescent="0.25">
      <c r="A5" s="424" t="s">
        <v>670</v>
      </c>
      <c r="B5" s="428" t="s">
        <v>668</v>
      </c>
      <c r="I5" s="426">
        <v>34</v>
      </c>
      <c r="J5" s="426">
        <v>36</v>
      </c>
      <c r="K5" s="426"/>
      <c r="L5" s="426"/>
      <c r="M5" s="426"/>
      <c r="N5" s="426"/>
      <c r="O5" s="411"/>
      <c r="P5" s="411"/>
      <c r="Q5" s="411"/>
      <c r="R5" s="411"/>
      <c r="S5" s="411"/>
      <c r="T5" s="411"/>
      <c r="U5" s="411"/>
    </row>
    <row r="6" spans="1:52" s="9" customFormat="1" x14ac:dyDescent="0.25">
      <c r="A6" s="425" t="s">
        <v>664</v>
      </c>
      <c r="B6" s="425"/>
      <c r="C6" s="230"/>
      <c r="D6" s="230"/>
      <c r="E6" s="230"/>
      <c r="F6" s="230"/>
      <c r="G6" s="376"/>
      <c r="H6" s="376"/>
      <c r="I6" s="427">
        <v>35</v>
      </c>
      <c r="J6" s="427">
        <v>26</v>
      </c>
      <c r="K6" s="427">
        <v>27</v>
      </c>
      <c r="L6" s="427">
        <v>27</v>
      </c>
      <c r="M6" s="427">
        <v>34</v>
      </c>
      <c r="N6" s="427">
        <v>26</v>
      </c>
      <c r="O6" s="412"/>
      <c r="P6" s="412"/>
      <c r="Q6" s="412"/>
      <c r="R6" s="412"/>
      <c r="S6" s="412"/>
      <c r="T6" s="412"/>
      <c r="U6" s="412"/>
    </row>
    <row r="7" spans="1:52" s="9" customFormat="1" x14ac:dyDescent="0.25">
      <c r="A7" s="424" t="s">
        <v>665</v>
      </c>
      <c r="B7" s="424"/>
      <c r="C7" s="413"/>
      <c r="D7" s="413"/>
      <c r="E7" s="413"/>
      <c r="F7" s="413"/>
      <c r="G7" s="414"/>
      <c r="H7" s="414"/>
      <c r="I7" s="426">
        <v>28</v>
      </c>
      <c r="J7" s="426">
        <v>37</v>
      </c>
      <c r="K7" s="426">
        <v>35</v>
      </c>
      <c r="L7" s="426">
        <v>25</v>
      </c>
      <c r="M7" s="426">
        <v>37</v>
      </c>
      <c r="N7" s="426">
        <v>30</v>
      </c>
      <c r="O7" s="416"/>
      <c r="P7" s="416"/>
      <c r="Q7" s="416"/>
      <c r="R7" s="416"/>
      <c r="S7" s="416"/>
      <c r="T7" s="416"/>
      <c r="U7" s="416"/>
    </row>
    <row r="8" spans="1:52" s="9" customFormat="1" x14ac:dyDescent="0.25">
      <c r="A8" s="425" t="s">
        <v>666</v>
      </c>
      <c r="B8" s="425"/>
      <c r="C8" s="230"/>
      <c r="D8" s="230"/>
      <c r="E8" s="230"/>
      <c r="F8" s="230"/>
      <c r="G8" s="230"/>
      <c r="H8" s="230"/>
      <c r="I8" s="427">
        <v>26</v>
      </c>
      <c r="J8" s="427">
        <v>23</v>
      </c>
      <c r="K8" s="427">
        <v>24</v>
      </c>
      <c r="L8" s="427">
        <v>27</v>
      </c>
      <c r="M8" s="427">
        <v>23</v>
      </c>
      <c r="N8" s="427">
        <v>23</v>
      </c>
      <c r="O8" s="392"/>
      <c r="P8" s="392"/>
      <c r="Q8" s="392"/>
      <c r="R8" s="392"/>
      <c r="S8" s="392"/>
      <c r="T8" s="392"/>
      <c r="U8" s="392"/>
      <c r="V8" s="6"/>
    </row>
    <row r="9" spans="1:52" s="9" customFormat="1" x14ac:dyDescent="0.25">
      <c r="A9" s="424" t="s">
        <v>667</v>
      </c>
      <c r="B9" s="424"/>
      <c r="C9" s="230"/>
      <c r="D9" s="230"/>
      <c r="E9" s="230"/>
      <c r="F9" s="230"/>
      <c r="G9" s="230"/>
      <c r="H9" s="230"/>
      <c r="I9" s="426">
        <v>14</v>
      </c>
      <c r="J9" s="426">
        <v>12</v>
      </c>
      <c r="K9" s="426">
        <v>17</v>
      </c>
      <c r="L9" s="426">
        <v>11</v>
      </c>
      <c r="M9" s="426">
        <v>16</v>
      </c>
      <c r="N9" s="426">
        <v>4</v>
      </c>
      <c r="O9" s="392"/>
      <c r="P9" s="392"/>
      <c r="Q9" s="392"/>
      <c r="R9" s="392"/>
      <c r="S9" s="392"/>
      <c r="T9" s="392"/>
      <c r="U9" s="392"/>
      <c r="V9" s="2"/>
      <c r="W9" s="1"/>
    </row>
    <row r="10" spans="1:52" s="9" customFormat="1" x14ac:dyDescent="0.25">
      <c r="A10" s="230" t="s">
        <v>693</v>
      </c>
      <c r="B10" s="387"/>
      <c r="C10" s="230"/>
      <c r="D10" s="230"/>
      <c r="E10" s="230"/>
      <c r="F10" s="230"/>
      <c r="G10" s="230"/>
      <c r="H10" s="230"/>
      <c r="I10" s="522">
        <f>SUM(I6:I9)</f>
        <v>103</v>
      </c>
      <c r="J10" s="522">
        <f t="shared" ref="J10:N10" si="0">SUM(J6:J9)</f>
        <v>98</v>
      </c>
      <c r="K10" s="522">
        <f t="shared" si="0"/>
        <v>103</v>
      </c>
      <c r="L10" s="522">
        <f t="shared" si="0"/>
        <v>90</v>
      </c>
      <c r="M10" s="522">
        <f t="shared" si="0"/>
        <v>110</v>
      </c>
      <c r="N10" s="522">
        <f t="shared" si="0"/>
        <v>83</v>
      </c>
      <c r="O10" s="392"/>
      <c r="P10" s="392"/>
      <c r="Q10" s="392"/>
      <c r="R10" s="392"/>
      <c r="S10" s="392"/>
      <c r="T10" s="392"/>
      <c r="U10" s="392"/>
      <c r="V10" s="2"/>
      <c r="W10" s="2"/>
    </row>
    <row r="11" spans="1:52" s="9" customFormat="1" x14ac:dyDescent="0.25">
      <c r="B11" s="387"/>
      <c r="C11" s="230"/>
      <c r="D11" s="230"/>
      <c r="E11" s="230"/>
      <c r="F11" s="230"/>
      <c r="G11" s="230"/>
      <c r="H11" s="230"/>
      <c r="O11" s="392"/>
      <c r="P11" s="392"/>
      <c r="Q11" s="392"/>
      <c r="R11" s="392"/>
      <c r="S11" s="392"/>
      <c r="T11" s="392"/>
      <c r="U11" s="392"/>
      <c r="V11" s="2"/>
      <c r="W11" s="2"/>
    </row>
    <row r="12" spans="1:52" s="9" customFormat="1" x14ac:dyDescent="0.25">
      <c r="B12" s="387"/>
      <c r="C12" s="230"/>
      <c r="D12" s="230"/>
      <c r="E12" s="230"/>
      <c r="F12" s="230"/>
      <c r="G12" s="230"/>
      <c r="H12" s="230"/>
      <c r="O12" s="392"/>
      <c r="P12" s="392"/>
      <c r="Q12" s="392"/>
      <c r="R12" s="392"/>
      <c r="S12" s="392"/>
      <c r="T12" s="392"/>
      <c r="U12" s="392"/>
      <c r="V12" s="2"/>
      <c r="W12" s="2"/>
    </row>
    <row r="13" spans="1:52" x14ac:dyDescent="0.25">
      <c r="B13" s="387"/>
      <c r="C13" s="230"/>
      <c r="D13" s="230"/>
      <c r="E13" s="230"/>
      <c r="F13" s="230"/>
      <c r="G13" s="230"/>
      <c r="H13" s="230"/>
      <c r="O13" s="392"/>
      <c r="P13" s="392"/>
      <c r="Q13" s="392"/>
      <c r="R13" s="392"/>
      <c r="S13" s="392"/>
      <c r="T13" s="392"/>
      <c r="U13" s="39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2" x14ac:dyDescent="0.25">
      <c r="B14" s="387"/>
      <c r="C14" s="230"/>
      <c r="D14" s="230"/>
      <c r="E14" s="230"/>
      <c r="F14" s="230"/>
      <c r="G14" s="230"/>
      <c r="H14" s="230"/>
      <c r="I14" s="230"/>
      <c r="J14" s="230"/>
      <c r="K14" s="230"/>
      <c r="L14" s="230"/>
      <c r="M14" s="230"/>
      <c r="N14" s="392"/>
      <c r="O14" s="392"/>
      <c r="P14" s="392"/>
      <c r="Q14" s="392"/>
      <c r="R14" s="392"/>
      <c r="S14" s="392"/>
      <c r="T14" s="392"/>
      <c r="U14" s="39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2" x14ac:dyDescent="0.25">
      <c r="A15" s="230"/>
      <c r="B15" s="387"/>
      <c r="C15" s="230"/>
      <c r="D15" s="230"/>
      <c r="E15" s="230"/>
      <c r="F15" s="230"/>
      <c r="G15" s="230"/>
      <c r="H15" s="230"/>
      <c r="I15" s="230"/>
      <c r="J15" s="230"/>
      <c r="K15" s="230"/>
      <c r="L15" s="230"/>
      <c r="M15" s="230"/>
      <c r="N15" s="392"/>
      <c r="O15" s="392"/>
      <c r="P15" s="392"/>
      <c r="Q15" s="392"/>
      <c r="R15" s="392"/>
      <c r="S15" s="392"/>
      <c r="T15" s="392"/>
      <c r="U15" s="39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2" s="1" customFormat="1" x14ac:dyDescent="0.25">
      <c r="A16" s="230"/>
      <c r="B16" s="387"/>
      <c r="C16" s="230"/>
      <c r="D16" s="230"/>
      <c r="E16" s="230"/>
      <c r="F16" s="230"/>
      <c r="G16" s="230"/>
      <c r="H16" s="230"/>
      <c r="I16" s="230"/>
      <c r="J16" s="230"/>
      <c r="K16" s="230"/>
      <c r="L16" s="230"/>
      <c r="M16" s="230"/>
      <c r="N16" s="392"/>
      <c r="O16" s="392"/>
      <c r="P16" s="392"/>
      <c r="Q16" s="392"/>
      <c r="R16" s="392"/>
      <c r="S16" s="392"/>
      <c r="T16" s="392"/>
      <c r="U16" s="392"/>
      <c r="V16" s="2"/>
      <c r="W16" s="2"/>
    </row>
    <row r="17" spans="1:52" s="1" customFormat="1" x14ac:dyDescent="0.25">
      <c r="A17" s="230"/>
      <c r="B17" s="387"/>
      <c r="C17" s="230"/>
      <c r="D17" s="230"/>
      <c r="E17" s="230"/>
      <c r="F17" s="230"/>
      <c r="G17" s="230"/>
      <c r="H17" s="230"/>
      <c r="I17" s="230"/>
      <c r="J17" s="230"/>
      <c r="K17" s="230"/>
      <c r="L17" s="230"/>
      <c r="M17" s="230"/>
      <c r="N17" s="392"/>
      <c r="O17" s="392"/>
      <c r="P17" s="392"/>
      <c r="Q17" s="392"/>
      <c r="R17" s="392"/>
      <c r="S17" s="392"/>
      <c r="T17" s="392"/>
      <c r="U17" s="392"/>
      <c r="V17" s="2"/>
      <c r="W17" s="2"/>
    </row>
    <row r="18" spans="1:52" s="1" customFormat="1" x14ac:dyDescent="0.25">
      <c r="A18" s="230"/>
      <c r="B18" s="387"/>
      <c r="C18" s="230"/>
      <c r="D18" s="230"/>
      <c r="E18" s="230"/>
      <c r="F18" s="230"/>
      <c r="G18" s="230"/>
      <c r="H18" s="230"/>
      <c r="I18" s="230"/>
      <c r="J18" s="230"/>
      <c r="K18" s="230"/>
      <c r="L18" s="230"/>
      <c r="M18" s="230"/>
      <c r="N18" s="392"/>
      <c r="O18" s="392"/>
      <c r="P18" s="392"/>
      <c r="Q18" s="392"/>
      <c r="R18" s="392"/>
      <c r="S18" s="392"/>
      <c r="T18" s="392"/>
      <c r="U18" s="392"/>
      <c r="V18" s="2"/>
      <c r="W18" s="2"/>
    </row>
    <row r="19" spans="1:52" s="1" customFormat="1" x14ac:dyDescent="0.25">
      <c r="A19" s="230"/>
      <c r="B19" s="387"/>
      <c r="C19" s="230"/>
      <c r="D19" s="230"/>
      <c r="E19" s="230"/>
      <c r="F19" s="230"/>
      <c r="G19" s="230"/>
      <c r="H19" s="230"/>
      <c r="I19" s="230"/>
      <c r="J19" s="230"/>
      <c r="K19" s="230"/>
      <c r="L19" s="230"/>
      <c r="M19" s="230"/>
      <c r="N19" s="392"/>
      <c r="O19" s="392"/>
      <c r="P19" s="392"/>
      <c r="Q19" s="392"/>
      <c r="R19" s="392"/>
      <c r="S19" s="392"/>
      <c r="T19" s="392"/>
      <c r="U19" s="392"/>
      <c r="V19" s="2"/>
      <c r="W19" s="2"/>
    </row>
    <row r="20" spans="1:52" s="1" customFormat="1" x14ac:dyDescent="0.25">
      <c r="A20" s="417"/>
      <c r="B20" s="418"/>
      <c r="C20" s="417"/>
      <c r="D20" s="417"/>
      <c r="E20" s="417"/>
      <c r="F20" s="417"/>
      <c r="G20" s="419"/>
      <c r="H20" s="419"/>
      <c r="I20" s="419"/>
      <c r="J20" s="419"/>
      <c r="K20" s="419"/>
      <c r="L20" s="419"/>
      <c r="M20" s="419"/>
      <c r="N20" s="412"/>
      <c r="O20" s="412"/>
      <c r="P20" s="412"/>
      <c r="Q20" s="412"/>
      <c r="R20" s="412"/>
      <c r="S20" s="412"/>
      <c r="T20" s="412"/>
      <c r="U20" s="412"/>
      <c r="V20" s="9"/>
      <c r="W20" s="9"/>
      <c r="X20" s="254"/>
    </row>
    <row r="21" spans="1:52" s="1" customFormat="1" x14ac:dyDescent="0.25">
      <c r="A21" s="413"/>
      <c r="B21" s="387"/>
      <c r="C21" s="230"/>
      <c r="D21" s="230"/>
      <c r="E21" s="230"/>
      <c r="F21" s="230"/>
      <c r="G21" s="376"/>
      <c r="H21" s="376"/>
      <c r="I21" s="414"/>
      <c r="J21" s="415"/>
      <c r="K21" s="415"/>
      <c r="L21" s="415"/>
      <c r="M21" s="415"/>
      <c r="N21" s="416"/>
      <c r="O21" s="416"/>
      <c r="P21" s="416"/>
      <c r="Q21" s="416"/>
      <c r="R21" s="416"/>
      <c r="S21" s="416"/>
      <c r="T21" s="416"/>
      <c r="U21" s="416"/>
      <c r="V21" s="9"/>
      <c r="W21" s="9"/>
    </row>
    <row r="22" spans="1:52" x14ac:dyDescent="0.25">
      <c r="A22" s="230"/>
      <c r="B22" s="390"/>
      <c r="C22" s="230"/>
      <c r="D22" s="230"/>
      <c r="E22" s="375"/>
      <c r="F22" s="375"/>
      <c r="G22" s="375"/>
      <c r="H22" s="375"/>
      <c r="I22" s="376"/>
      <c r="J22" s="376"/>
      <c r="K22" s="376"/>
      <c r="L22" s="376"/>
      <c r="M22" s="376"/>
      <c r="N22" s="377"/>
      <c r="O22" s="377"/>
      <c r="P22" s="377"/>
      <c r="Q22" s="377"/>
      <c r="R22" s="377"/>
      <c r="S22" s="377"/>
      <c r="T22" s="377"/>
      <c r="U22" s="377"/>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spans="1:52" hidden="1" x14ac:dyDescent="0.25">
      <c r="A23" s="230"/>
      <c r="B23" s="387"/>
      <c r="C23" s="375"/>
      <c r="D23" s="375"/>
      <c r="E23" s="375"/>
      <c r="F23" s="375"/>
      <c r="G23" s="375"/>
      <c r="H23" s="375"/>
      <c r="I23" s="376"/>
      <c r="J23" s="376"/>
      <c r="K23" s="376"/>
      <c r="L23" s="376"/>
      <c r="M23" s="376"/>
      <c r="N23" s="377"/>
      <c r="O23" s="377"/>
      <c r="P23" s="377"/>
      <c r="Q23" s="377"/>
      <c r="R23" s="377"/>
      <c r="S23" s="377"/>
      <c r="T23" s="377"/>
      <c r="U23" s="377"/>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spans="1:52" ht="15" customHeight="1" x14ac:dyDescent="0.25">
      <c r="A24" s="230"/>
      <c r="B24" s="387"/>
      <c r="C24" s="375"/>
      <c r="D24" s="375"/>
      <c r="E24" s="375"/>
      <c r="F24" s="375"/>
      <c r="G24" s="375"/>
      <c r="H24" s="375"/>
      <c r="I24" s="376"/>
      <c r="J24" s="376"/>
      <c r="K24" s="376"/>
      <c r="L24" s="376"/>
      <c r="M24" s="376"/>
      <c r="N24" s="377"/>
      <c r="O24" s="377"/>
      <c r="P24" s="377"/>
      <c r="Q24" s="377"/>
      <c r="R24" s="377"/>
      <c r="S24" s="377"/>
      <c r="T24" s="377"/>
      <c r="U24" s="377"/>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spans="1:52" x14ac:dyDescent="0.25">
      <c r="A25" s="230"/>
      <c r="B25" s="387"/>
      <c r="C25" s="230"/>
      <c r="D25" s="230"/>
      <c r="E25" s="230"/>
      <c r="F25" s="230"/>
      <c r="G25" s="230"/>
      <c r="H25" s="230"/>
      <c r="I25" s="376"/>
      <c r="J25" s="376"/>
      <c r="K25" s="376"/>
      <c r="L25" s="376"/>
      <c r="M25" s="376"/>
      <c r="N25" s="377"/>
      <c r="O25" s="377"/>
      <c r="P25" s="377"/>
      <c r="Q25" s="377"/>
      <c r="R25" s="377"/>
      <c r="S25" s="377"/>
      <c r="T25" s="377"/>
      <c r="U25" s="377"/>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spans="1:52" s="1" customFormat="1" x14ac:dyDescent="0.25">
      <c r="A26" s="230"/>
      <c r="B26" s="387"/>
      <c r="C26" s="230"/>
      <c r="D26" s="230"/>
      <c r="E26" s="230"/>
      <c r="F26" s="230"/>
      <c r="G26" s="230"/>
      <c r="H26" s="230"/>
      <c r="I26" s="376"/>
      <c r="J26" s="376"/>
      <c r="K26" s="376"/>
      <c r="L26" s="376"/>
      <c r="M26" s="376"/>
      <c r="N26" s="377"/>
      <c r="O26" s="377"/>
      <c r="P26" s="377"/>
      <c r="Q26" s="377"/>
      <c r="R26" s="377"/>
      <c r="S26" s="377"/>
      <c r="T26" s="377"/>
      <c r="U26" s="377"/>
      <c r="V26" s="2"/>
      <c r="W26" s="2"/>
    </row>
    <row r="27" spans="1:52" x14ac:dyDescent="0.25">
      <c r="A27" s="230"/>
      <c r="B27" s="387"/>
      <c r="C27" s="230"/>
      <c r="D27" s="230"/>
      <c r="E27" s="230"/>
      <c r="F27" s="230"/>
      <c r="G27" s="230"/>
      <c r="H27" s="230"/>
      <c r="I27" s="376"/>
      <c r="J27" s="376"/>
      <c r="K27" s="376"/>
      <c r="L27" s="376"/>
      <c r="M27" s="376"/>
      <c r="N27" s="377"/>
      <c r="O27" s="377"/>
      <c r="P27" s="377"/>
      <c r="Q27" s="377"/>
      <c r="R27" s="377"/>
      <c r="S27" s="377"/>
      <c r="T27" s="377"/>
      <c r="U27" s="377"/>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spans="1:52" x14ac:dyDescent="0.25">
      <c r="A28" s="230"/>
      <c r="B28" s="387"/>
      <c r="C28" s="230"/>
      <c r="D28" s="230"/>
      <c r="E28" s="230"/>
      <c r="F28" s="230"/>
      <c r="G28" s="230"/>
      <c r="H28" s="230"/>
      <c r="I28" s="376"/>
      <c r="J28" s="376"/>
      <c r="K28" s="376"/>
      <c r="L28" s="376"/>
      <c r="M28" s="376"/>
      <c r="N28" s="377"/>
      <c r="O28" s="377"/>
      <c r="P28" s="377"/>
      <c r="Q28" s="377"/>
      <c r="R28" s="377"/>
      <c r="S28" s="377"/>
      <c r="T28" s="377"/>
      <c r="U28" s="377"/>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spans="1:52" x14ac:dyDescent="0.25">
      <c r="A29" s="230"/>
      <c r="B29" s="387"/>
      <c r="C29" s="230"/>
      <c r="D29" s="230"/>
      <c r="E29" s="230"/>
      <c r="F29" s="230"/>
      <c r="G29" s="230"/>
      <c r="H29" s="230"/>
      <c r="I29" s="376"/>
      <c r="J29" s="376"/>
      <c r="K29" s="376"/>
      <c r="L29" s="376"/>
      <c r="M29" s="376"/>
      <c r="N29" s="377"/>
      <c r="O29" s="377"/>
      <c r="P29" s="377"/>
      <c r="Q29" s="377"/>
      <c r="R29" s="377"/>
      <c r="S29" s="377"/>
      <c r="T29" s="377"/>
      <c r="U29" s="377"/>
      <c r="V29" s="2"/>
      <c r="W29" s="2"/>
      <c r="X29" s="2"/>
      <c r="Y29" s="2"/>
      <c r="Z29" s="2"/>
      <c r="AA29" s="2"/>
      <c r="AN29" s="2"/>
      <c r="AO29" s="2"/>
      <c r="AP29" s="2"/>
      <c r="AQ29" s="2"/>
      <c r="AR29" s="2"/>
      <c r="AS29" s="2"/>
      <c r="AT29" s="2"/>
      <c r="AU29" s="2"/>
      <c r="AV29" s="2"/>
      <c r="AW29" s="2"/>
      <c r="AX29" s="2"/>
      <c r="AY29" s="2"/>
      <c r="AZ29" s="2"/>
    </row>
    <row r="30" spans="1:52" s="1" customFormat="1" x14ac:dyDescent="0.25">
      <c r="A30" s="230"/>
      <c r="B30" s="387"/>
      <c r="C30" s="230"/>
      <c r="D30" s="230"/>
      <c r="E30" s="230"/>
      <c r="F30" s="230"/>
      <c r="G30" s="230"/>
      <c r="H30" s="230"/>
      <c r="I30" s="376"/>
      <c r="J30" s="376"/>
      <c r="K30" s="376"/>
      <c r="L30" s="376"/>
      <c r="M30" s="376"/>
      <c r="N30" s="377"/>
      <c r="O30" s="377"/>
      <c r="P30" s="377"/>
      <c r="Q30" s="377"/>
      <c r="R30" s="377"/>
      <c r="S30" s="377"/>
      <c r="T30" s="377"/>
      <c r="U30" s="377"/>
      <c r="V30" s="2"/>
      <c r="W30" s="2"/>
    </row>
    <row r="31" spans="1:52" x14ac:dyDescent="0.25">
      <c r="A31" s="230"/>
      <c r="B31" s="387"/>
      <c r="C31" s="230"/>
      <c r="D31" s="230"/>
      <c r="E31" s="230"/>
      <c r="F31" s="230"/>
      <c r="G31" s="230"/>
      <c r="H31" s="230"/>
      <c r="I31" s="376"/>
      <c r="J31" s="376"/>
      <c r="K31" s="376"/>
      <c r="L31" s="376"/>
      <c r="M31" s="376"/>
      <c r="N31" s="377"/>
      <c r="O31" s="377"/>
      <c r="P31" s="377"/>
      <c r="Q31" s="377"/>
      <c r="R31" s="377"/>
      <c r="S31" s="377"/>
      <c r="T31" s="377"/>
      <c r="U31" s="377"/>
      <c r="V31" s="2"/>
      <c r="W31" s="2"/>
      <c r="X31" s="2"/>
      <c r="Y31" s="2"/>
      <c r="Z31" s="2"/>
      <c r="AA31" s="2"/>
      <c r="AN31" s="2"/>
      <c r="AO31" s="2"/>
      <c r="AP31" s="2"/>
      <c r="AQ31" s="2"/>
      <c r="AR31" s="2"/>
      <c r="AS31" s="2"/>
      <c r="AT31" s="2"/>
      <c r="AU31" s="2"/>
      <c r="AV31" s="2"/>
      <c r="AW31" s="2"/>
      <c r="AX31" s="2"/>
      <c r="AY31" s="2"/>
      <c r="AZ31" s="2"/>
    </row>
    <row r="32" spans="1:52" s="1" customFormat="1" x14ac:dyDescent="0.25">
      <c r="A32" s="230"/>
      <c r="B32" s="387"/>
      <c r="C32" s="230"/>
      <c r="D32" s="230"/>
      <c r="E32" s="230"/>
      <c r="F32" s="230"/>
      <c r="G32" s="230"/>
      <c r="H32" s="230"/>
      <c r="I32" s="376"/>
      <c r="J32" s="376"/>
      <c r="K32" s="376"/>
      <c r="L32" s="376"/>
      <c r="M32" s="376"/>
      <c r="N32" s="377"/>
      <c r="O32" s="377"/>
      <c r="P32" s="377"/>
      <c r="Q32" s="377"/>
      <c r="R32" s="377"/>
      <c r="S32" s="377"/>
      <c r="T32" s="377"/>
      <c r="U32" s="377"/>
      <c r="V32" s="9"/>
      <c r="W32" s="9"/>
    </row>
    <row r="33" spans="1:52" x14ac:dyDescent="0.25">
      <c r="A33" s="230"/>
      <c r="B33" s="387"/>
      <c r="C33" s="230"/>
      <c r="D33" s="230"/>
      <c r="E33" s="230"/>
      <c r="F33" s="230"/>
      <c r="G33" s="230"/>
      <c r="H33" s="230"/>
      <c r="I33" s="376"/>
      <c r="J33" s="376"/>
      <c r="K33" s="376"/>
      <c r="L33" s="376"/>
      <c r="M33" s="376"/>
      <c r="N33" s="377"/>
      <c r="O33" s="377"/>
      <c r="P33" s="377"/>
      <c r="Q33" s="377"/>
      <c r="R33" s="377"/>
      <c r="S33" s="377"/>
      <c r="T33" s="377"/>
      <c r="U33" s="377"/>
      <c r="V33" s="2"/>
      <c r="W33" s="2"/>
      <c r="X33" s="2"/>
      <c r="Y33" s="2"/>
      <c r="Z33" s="2"/>
      <c r="AA33" s="2"/>
      <c r="AN33" s="2"/>
      <c r="AO33" s="2"/>
      <c r="AP33" s="2"/>
      <c r="AQ33" s="2"/>
      <c r="AR33" s="2"/>
      <c r="AS33" s="2"/>
      <c r="AT33" s="2"/>
      <c r="AU33" s="2"/>
      <c r="AV33" s="2"/>
      <c r="AW33" s="2"/>
      <c r="AX33" s="2"/>
      <c r="AY33" s="2"/>
      <c r="AZ33" s="2"/>
    </row>
    <row r="34" spans="1:52" x14ac:dyDescent="0.25">
      <c r="A34" s="230"/>
      <c r="B34" s="387"/>
      <c r="C34" s="230"/>
      <c r="D34" s="230"/>
      <c r="E34" s="230"/>
      <c r="F34" s="230"/>
      <c r="G34" s="230"/>
      <c r="H34" s="230"/>
      <c r="I34" s="376"/>
      <c r="J34" s="376"/>
      <c r="K34" s="376"/>
      <c r="L34" s="376"/>
      <c r="M34" s="376"/>
      <c r="N34" s="377"/>
      <c r="O34" s="377"/>
      <c r="P34" s="377"/>
      <c r="Q34" s="377"/>
      <c r="R34" s="377"/>
      <c r="S34" s="377"/>
      <c r="T34" s="377"/>
      <c r="U34" s="377"/>
      <c r="V34" s="1"/>
      <c r="W34" s="1"/>
      <c r="X34" s="2"/>
      <c r="Y34" s="2"/>
      <c r="Z34" s="2"/>
      <c r="AA34" s="2"/>
      <c r="AN34" s="2"/>
      <c r="AO34" s="2"/>
      <c r="AP34" s="2"/>
      <c r="AQ34" s="2"/>
      <c r="AR34" s="2"/>
      <c r="AS34" s="2"/>
      <c r="AT34" s="2"/>
      <c r="AU34" s="2"/>
      <c r="AV34" s="2"/>
      <c r="AW34" s="2"/>
      <c r="AX34" s="2"/>
      <c r="AY34" s="2"/>
      <c r="AZ34" s="2"/>
    </row>
    <row r="35" spans="1:52" x14ac:dyDescent="0.25">
      <c r="A35" s="230"/>
      <c r="B35" s="387"/>
      <c r="C35" s="230"/>
      <c r="D35" s="230"/>
      <c r="E35" s="230"/>
      <c r="F35" s="230"/>
      <c r="G35" s="230"/>
      <c r="H35" s="230"/>
      <c r="I35" s="376"/>
      <c r="J35" s="376"/>
      <c r="K35" s="376"/>
      <c r="L35" s="376"/>
      <c r="M35" s="376"/>
      <c r="N35" s="377"/>
      <c r="O35" s="377"/>
      <c r="P35" s="377"/>
      <c r="Q35" s="377"/>
      <c r="R35" s="377"/>
      <c r="S35" s="377"/>
      <c r="T35" s="377"/>
      <c r="U35" s="377"/>
      <c r="V35" s="2"/>
      <c r="W35" s="2"/>
      <c r="X35" s="2"/>
      <c r="Y35" s="2"/>
      <c r="Z35" s="2"/>
      <c r="AA35" s="2"/>
      <c r="AN35" s="2"/>
      <c r="AO35" s="2"/>
      <c r="AP35" s="2"/>
      <c r="AQ35" s="2"/>
      <c r="AR35" s="2"/>
      <c r="AS35" s="2"/>
      <c r="AT35" s="2"/>
      <c r="AU35" s="2"/>
      <c r="AV35" s="2"/>
      <c r="AW35" s="2"/>
      <c r="AX35" s="2"/>
      <c r="AY35" s="2"/>
      <c r="AZ35" s="2"/>
    </row>
    <row r="36" spans="1:52" x14ac:dyDescent="0.25">
      <c r="A36" s="230"/>
      <c r="B36" s="387"/>
      <c r="C36" s="230"/>
      <c r="D36" s="230"/>
      <c r="E36" s="230"/>
      <c r="F36" s="230"/>
      <c r="G36" s="230"/>
      <c r="H36" s="230"/>
      <c r="I36" s="376"/>
      <c r="J36" s="376"/>
      <c r="K36" s="376"/>
      <c r="L36" s="376"/>
      <c r="M36" s="376"/>
      <c r="N36" s="377"/>
      <c r="O36" s="377"/>
      <c r="P36" s="377"/>
      <c r="Q36" s="377"/>
      <c r="R36" s="377"/>
      <c r="S36" s="377"/>
      <c r="T36" s="377"/>
      <c r="U36" s="377"/>
      <c r="V36" s="2"/>
      <c r="W36" s="2"/>
      <c r="X36" s="2"/>
      <c r="Y36" s="2"/>
      <c r="Z36" s="2"/>
      <c r="AA36" s="2"/>
      <c r="AN36" s="2"/>
      <c r="AO36" s="2"/>
      <c r="AP36" s="2"/>
      <c r="AQ36" s="2"/>
      <c r="AR36" s="2"/>
      <c r="AS36" s="2"/>
      <c r="AT36" s="2"/>
      <c r="AU36" s="2"/>
      <c r="AV36" s="2"/>
      <c r="AW36" s="2"/>
      <c r="AX36" s="2"/>
      <c r="AY36" s="2"/>
      <c r="AZ36" s="2"/>
    </row>
    <row r="37" spans="1:52" x14ac:dyDescent="0.25">
      <c r="A37" s="230"/>
      <c r="B37" s="387"/>
      <c r="C37" s="230"/>
      <c r="D37" s="230"/>
      <c r="E37" s="230"/>
      <c r="F37" s="230"/>
      <c r="G37" s="375"/>
      <c r="H37" s="375"/>
      <c r="I37" s="376"/>
      <c r="J37" s="376"/>
      <c r="K37" s="376"/>
      <c r="L37" s="376"/>
      <c r="M37" s="376"/>
      <c r="N37" s="377"/>
      <c r="O37" s="377"/>
      <c r="P37" s="377"/>
      <c r="Q37" s="377"/>
      <c r="R37" s="377"/>
      <c r="S37" s="377"/>
      <c r="T37" s="377"/>
      <c r="U37" s="377"/>
      <c r="V37" s="2"/>
      <c r="W37" s="2"/>
      <c r="X37" s="2"/>
      <c r="Y37" s="2"/>
      <c r="Z37" s="2"/>
      <c r="AA37" s="2"/>
      <c r="AN37" s="2"/>
      <c r="AO37" s="2"/>
      <c r="AP37" s="2"/>
      <c r="AQ37" s="2"/>
      <c r="AR37" s="2"/>
      <c r="AS37" s="2"/>
      <c r="AT37" s="2"/>
      <c r="AU37" s="2"/>
      <c r="AV37" s="2"/>
      <c r="AW37" s="2"/>
      <c r="AX37" s="2"/>
      <c r="AY37" s="2"/>
      <c r="AZ37" s="2"/>
    </row>
    <row r="38" spans="1:52" x14ac:dyDescent="0.25">
      <c r="A38" s="230"/>
      <c r="B38" s="387"/>
      <c r="C38" s="375"/>
      <c r="D38" s="375"/>
      <c r="E38" s="375"/>
      <c r="F38" s="375"/>
      <c r="G38" s="375"/>
      <c r="H38" s="375"/>
      <c r="I38" s="376"/>
      <c r="J38" s="376"/>
      <c r="K38" s="376"/>
      <c r="L38" s="376"/>
      <c r="M38" s="376"/>
      <c r="N38" s="377"/>
      <c r="O38" s="377"/>
      <c r="P38" s="377"/>
      <c r="Q38" s="377"/>
      <c r="R38" s="377"/>
      <c r="S38" s="377"/>
      <c r="T38" s="377"/>
      <c r="U38" s="377"/>
      <c r="V38" s="2"/>
      <c r="W38" s="2"/>
      <c r="X38" s="2"/>
      <c r="Y38" s="2"/>
      <c r="Z38" s="2"/>
      <c r="AA38" s="2"/>
      <c r="AN38" s="2"/>
      <c r="AO38" s="2"/>
      <c r="AP38" s="2"/>
      <c r="AQ38" s="2"/>
      <c r="AR38" s="2"/>
      <c r="AS38" s="2"/>
      <c r="AT38" s="2"/>
      <c r="AU38" s="2"/>
      <c r="AV38" s="2"/>
      <c r="AW38" s="2"/>
      <c r="AX38" s="2"/>
      <c r="AY38" s="2"/>
      <c r="AZ38" s="2"/>
    </row>
    <row r="39" spans="1:52" x14ac:dyDescent="0.25">
      <c r="A39" s="230"/>
      <c r="B39" s="387"/>
      <c r="C39" s="375"/>
      <c r="D39" s="375"/>
      <c r="E39" s="375"/>
      <c r="F39" s="375"/>
      <c r="G39" s="375"/>
      <c r="H39" s="375"/>
      <c r="I39" s="376"/>
      <c r="J39" s="376"/>
      <c r="K39" s="376"/>
      <c r="L39" s="376"/>
      <c r="M39" s="376"/>
      <c r="N39" s="377"/>
      <c r="O39" s="377"/>
      <c r="P39" s="377"/>
      <c r="Q39" s="377"/>
      <c r="R39" s="377"/>
      <c r="S39" s="377"/>
      <c r="T39" s="377"/>
      <c r="U39" s="377"/>
      <c r="V39" s="2"/>
      <c r="W39" s="2"/>
      <c r="X39" s="2"/>
      <c r="Y39" s="2"/>
      <c r="Z39" s="2"/>
      <c r="AA39" s="2"/>
      <c r="AN39" s="2"/>
      <c r="AO39" s="2"/>
      <c r="AP39" s="2"/>
      <c r="AQ39" s="2"/>
      <c r="AR39" s="2"/>
      <c r="AS39" s="2"/>
      <c r="AT39" s="2"/>
      <c r="AU39" s="2"/>
      <c r="AV39" s="2"/>
      <c r="AW39" s="2"/>
      <c r="AX39" s="2"/>
      <c r="AY39" s="2"/>
      <c r="AZ39" s="2"/>
    </row>
    <row r="40" spans="1:52" x14ac:dyDescent="0.25">
      <c r="A40" s="417"/>
      <c r="B40" s="418"/>
      <c r="C40" s="420"/>
      <c r="D40" s="420"/>
      <c r="E40" s="419"/>
      <c r="F40" s="419"/>
      <c r="G40" s="419"/>
      <c r="H40" s="419"/>
      <c r="I40" s="419"/>
      <c r="J40" s="419"/>
      <c r="K40" s="419"/>
      <c r="L40" s="419"/>
      <c r="M40" s="419"/>
      <c r="N40" s="412"/>
      <c r="O40" s="412"/>
      <c r="P40" s="412"/>
      <c r="Q40" s="412"/>
      <c r="R40" s="412"/>
      <c r="S40" s="412"/>
      <c r="T40" s="412"/>
      <c r="U40" s="412"/>
      <c r="V40" s="2"/>
      <c r="W40" s="2"/>
      <c r="X40" s="2"/>
      <c r="Y40" s="2"/>
      <c r="Z40" s="2"/>
      <c r="AA40" s="2"/>
      <c r="AN40" s="2"/>
      <c r="AO40" s="2"/>
      <c r="AP40" s="2"/>
      <c r="AQ40" s="2"/>
      <c r="AR40" s="2"/>
      <c r="AS40" s="2"/>
      <c r="AT40" s="2"/>
      <c r="AU40" s="2"/>
      <c r="AV40" s="2"/>
      <c r="AW40" s="2"/>
      <c r="AX40" s="2"/>
      <c r="AY40" s="2"/>
      <c r="AZ40" s="2"/>
    </row>
    <row r="41" spans="1:52" x14ac:dyDescent="0.25">
      <c r="A41" s="413"/>
      <c r="B41" s="421"/>
      <c r="C41" s="422"/>
      <c r="D41" s="422"/>
      <c r="E41" s="414"/>
      <c r="F41" s="414"/>
      <c r="G41" s="414"/>
      <c r="H41" s="414"/>
      <c r="I41" s="414"/>
      <c r="J41" s="415"/>
      <c r="K41" s="415"/>
      <c r="L41" s="415"/>
      <c r="M41" s="415"/>
      <c r="N41" s="416"/>
      <c r="O41" s="416"/>
      <c r="P41" s="416"/>
      <c r="Q41" s="416"/>
      <c r="R41" s="416"/>
      <c r="S41" s="416"/>
      <c r="T41" s="416"/>
      <c r="U41" s="416"/>
      <c r="V41" s="2"/>
      <c r="W41" s="2"/>
      <c r="X41" s="2"/>
      <c r="Y41" s="2"/>
      <c r="Z41" s="2"/>
      <c r="AA41" s="2"/>
      <c r="AN41" s="2"/>
      <c r="AO41" s="2"/>
      <c r="AP41" s="2"/>
      <c r="AQ41" s="2"/>
      <c r="AR41" s="2"/>
      <c r="AS41" s="2"/>
      <c r="AT41" s="2"/>
      <c r="AU41" s="2"/>
      <c r="AV41" s="2"/>
      <c r="AW41" s="2"/>
      <c r="AX41" s="2"/>
      <c r="AY41" s="2"/>
      <c r="AZ41" s="2"/>
    </row>
    <row r="42" spans="1:52" x14ac:dyDescent="0.25">
      <c r="A42" s="230"/>
      <c r="B42" s="387"/>
      <c r="C42" s="375"/>
      <c r="D42" s="375"/>
      <c r="E42" s="375"/>
      <c r="F42" s="375"/>
      <c r="G42" s="375"/>
      <c r="H42" s="375"/>
      <c r="I42" s="376"/>
      <c r="J42" s="376"/>
      <c r="K42" s="376"/>
      <c r="L42" s="376"/>
      <c r="M42" s="376"/>
      <c r="N42" s="377"/>
      <c r="O42" s="377"/>
      <c r="P42" s="377"/>
      <c r="Q42" s="377"/>
      <c r="R42" s="377"/>
      <c r="S42" s="377"/>
      <c r="T42" s="377"/>
      <c r="U42" s="377"/>
      <c r="V42" s="16"/>
      <c r="W42" s="16"/>
      <c r="X42" s="2"/>
      <c r="Y42" s="2"/>
      <c r="Z42" s="2"/>
      <c r="AA42" s="2"/>
      <c r="AN42" s="2"/>
      <c r="AO42" s="2"/>
      <c r="AP42" s="2"/>
      <c r="AQ42" s="2"/>
      <c r="AR42" s="2"/>
      <c r="AS42" s="2"/>
      <c r="AT42" s="2"/>
      <c r="AU42" s="2"/>
      <c r="AV42" s="2"/>
      <c r="AW42" s="2"/>
      <c r="AX42" s="2"/>
      <c r="AY42" s="2"/>
      <c r="AZ42" s="2"/>
    </row>
    <row r="43" spans="1:52" x14ac:dyDescent="0.25">
      <c r="A43" s="230"/>
      <c r="B43" s="387"/>
      <c r="C43" s="230"/>
      <c r="D43" s="230"/>
      <c r="E43" s="375"/>
      <c r="F43" s="375"/>
      <c r="G43" s="375"/>
      <c r="H43" s="375"/>
      <c r="I43" s="376"/>
      <c r="J43" s="376"/>
      <c r="K43" s="376"/>
      <c r="L43" s="376"/>
      <c r="M43" s="376"/>
      <c r="N43" s="377"/>
      <c r="O43" s="377"/>
      <c r="P43" s="377"/>
      <c r="Q43" s="377"/>
      <c r="R43" s="377"/>
      <c r="S43" s="377"/>
      <c r="T43" s="377"/>
      <c r="U43" s="377"/>
      <c r="V43" s="2"/>
      <c r="W43" s="2"/>
      <c r="X43" s="2"/>
      <c r="Y43" s="2"/>
      <c r="Z43" s="2"/>
      <c r="AA43" s="2"/>
      <c r="AN43" s="2"/>
      <c r="AO43" s="2"/>
      <c r="AP43" s="2"/>
      <c r="AQ43" s="2"/>
      <c r="AR43" s="2"/>
      <c r="AS43" s="2"/>
      <c r="AT43" s="2"/>
      <c r="AU43" s="2"/>
      <c r="AV43" s="2"/>
      <c r="AW43" s="2"/>
      <c r="AX43" s="2"/>
      <c r="AY43" s="2"/>
      <c r="AZ43" s="2"/>
    </row>
    <row r="44" spans="1:52" ht="15" customHeight="1" x14ac:dyDescent="0.25">
      <c r="A44" s="230"/>
      <c r="B44" s="387"/>
      <c r="C44" s="230"/>
      <c r="D44" s="230"/>
      <c r="E44" s="230"/>
      <c r="F44" s="375"/>
      <c r="G44" s="375"/>
      <c r="H44" s="375"/>
      <c r="I44" s="376"/>
      <c r="J44" s="376"/>
      <c r="K44" s="376"/>
      <c r="L44" s="376"/>
      <c r="M44" s="376"/>
      <c r="N44" s="377"/>
      <c r="O44" s="377"/>
      <c r="P44" s="377"/>
      <c r="Q44" s="377"/>
      <c r="R44" s="377"/>
      <c r="S44" s="377"/>
      <c r="T44" s="377"/>
      <c r="U44" s="377"/>
      <c r="V44" s="2"/>
      <c r="W44" s="2"/>
      <c r="X44" s="2"/>
      <c r="Y44" s="2"/>
      <c r="Z44" s="2"/>
      <c r="AA44" s="2"/>
      <c r="AN44" s="2"/>
      <c r="AO44" s="2"/>
      <c r="AP44" s="2"/>
      <c r="AQ44" s="2"/>
      <c r="AR44" s="2"/>
      <c r="AS44" s="2"/>
      <c r="AT44" s="2"/>
      <c r="AU44" s="2"/>
      <c r="AV44" s="2"/>
      <c r="AW44" s="2"/>
      <c r="AX44" s="2"/>
      <c r="AY44" s="2"/>
      <c r="AZ44" s="2"/>
    </row>
    <row r="45" spans="1:52" s="9" customFormat="1" ht="15" customHeight="1" x14ac:dyDescent="0.25">
      <c r="A45" s="230"/>
      <c r="B45" s="387"/>
      <c r="C45" s="230"/>
      <c r="D45" s="230"/>
      <c r="E45" s="230"/>
      <c r="F45" s="230"/>
      <c r="G45" s="230"/>
      <c r="H45" s="230"/>
      <c r="I45" s="376"/>
      <c r="J45" s="376"/>
      <c r="K45" s="376"/>
      <c r="L45" s="376"/>
      <c r="M45" s="376"/>
      <c r="N45" s="377"/>
      <c r="O45" s="377"/>
      <c r="P45" s="377"/>
      <c r="Q45" s="377"/>
      <c r="R45" s="377"/>
      <c r="S45" s="377"/>
      <c r="T45" s="377"/>
      <c r="U45" s="377"/>
    </row>
    <row r="46" spans="1:52" s="9" customFormat="1" x14ac:dyDescent="0.25">
      <c r="A46" s="230"/>
      <c r="B46" s="387"/>
      <c r="C46" s="230"/>
      <c r="D46" s="230"/>
      <c r="E46" s="230"/>
      <c r="F46" s="230"/>
      <c r="G46" s="230"/>
      <c r="H46" s="230"/>
      <c r="I46" s="376"/>
      <c r="J46" s="376"/>
      <c r="K46" s="376"/>
      <c r="L46" s="376"/>
      <c r="M46" s="376"/>
      <c r="N46" s="377"/>
      <c r="O46" s="377"/>
      <c r="P46" s="377"/>
      <c r="Q46" s="377"/>
      <c r="R46" s="377"/>
      <c r="S46" s="377"/>
      <c r="T46" s="377"/>
      <c r="U46" s="377"/>
      <c r="V46" s="2"/>
      <c r="W46" s="2"/>
    </row>
    <row r="47" spans="1:52" s="9" customFormat="1" x14ac:dyDescent="0.25">
      <c r="A47" s="230"/>
      <c r="B47" s="387"/>
      <c r="C47" s="230"/>
      <c r="D47" s="230"/>
      <c r="E47" s="230"/>
      <c r="F47" s="230"/>
      <c r="G47" s="230"/>
      <c r="H47" s="230"/>
      <c r="I47" s="376"/>
      <c r="J47" s="376"/>
      <c r="K47" s="376"/>
      <c r="L47" s="376"/>
      <c r="M47" s="376"/>
      <c r="N47" s="377"/>
      <c r="O47" s="377"/>
      <c r="P47" s="377"/>
      <c r="Q47" s="377"/>
      <c r="R47" s="377"/>
      <c r="S47" s="377"/>
      <c r="T47" s="377"/>
      <c r="U47" s="377"/>
      <c r="V47" s="2"/>
      <c r="W47" s="2"/>
    </row>
    <row r="48" spans="1:52" s="9" customFormat="1" x14ac:dyDescent="0.25">
      <c r="A48" s="230"/>
      <c r="B48" s="387"/>
      <c r="C48" s="230"/>
      <c r="D48" s="381"/>
      <c r="E48" s="230"/>
      <c r="F48" s="230"/>
      <c r="G48" s="230"/>
      <c r="H48" s="230"/>
      <c r="I48" s="376"/>
      <c r="J48" s="382"/>
      <c r="K48" s="376"/>
      <c r="L48" s="376"/>
      <c r="M48" s="376"/>
      <c r="N48" s="377"/>
      <c r="O48" s="377"/>
      <c r="P48" s="377"/>
      <c r="Q48" s="377"/>
      <c r="R48" s="377"/>
      <c r="S48" s="377"/>
      <c r="T48" s="377"/>
      <c r="U48" s="377"/>
      <c r="V48" s="1"/>
      <c r="W48" s="1"/>
    </row>
    <row r="49" spans="1:52" s="16" customFormat="1" x14ac:dyDescent="0.25">
      <c r="A49" s="230"/>
      <c r="B49" s="387"/>
      <c r="C49" s="230"/>
      <c r="D49" s="230"/>
      <c r="E49" s="230"/>
      <c r="F49" s="230"/>
      <c r="G49" s="230"/>
      <c r="H49" s="230"/>
      <c r="I49" s="376"/>
      <c r="J49" s="376"/>
      <c r="K49" s="376"/>
      <c r="L49" s="376"/>
      <c r="M49" s="376"/>
      <c r="N49" s="377"/>
      <c r="O49" s="377"/>
      <c r="P49" s="377"/>
      <c r="Q49" s="377"/>
      <c r="R49" s="377"/>
      <c r="S49" s="377"/>
      <c r="T49" s="377"/>
      <c r="U49" s="377"/>
      <c r="V49" s="2"/>
      <c r="W49" s="2"/>
    </row>
    <row r="50" spans="1:52" x14ac:dyDescent="0.25">
      <c r="A50" s="230"/>
      <c r="B50" s="387"/>
      <c r="C50" s="375"/>
      <c r="D50" s="230"/>
      <c r="E50" s="230"/>
      <c r="F50" s="230"/>
      <c r="G50" s="230"/>
      <c r="H50" s="230"/>
      <c r="I50" s="376"/>
      <c r="J50" s="376"/>
      <c r="K50" s="376"/>
      <c r="L50" s="376"/>
      <c r="M50" s="376"/>
      <c r="N50" s="377"/>
      <c r="O50" s="377"/>
      <c r="P50" s="377"/>
      <c r="Q50" s="377"/>
      <c r="R50" s="377"/>
      <c r="S50" s="377"/>
      <c r="T50" s="377"/>
      <c r="U50" s="377"/>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spans="1:52" x14ac:dyDescent="0.25">
      <c r="A51" s="230"/>
      <c r="B51" s="387"/>
      <c r="C51" s="230"/>
      <c r="D51" s="230"/>
      <c r="E51" s="230"/>
      <c r="F51" s="230"/>
      <c r="G51" s="230"/>
      <c r="H51" s="230"/>
      <c r="I51" s="376"/>
      <c r="J51" s="376"/>
      <c r="K51" s="376"/>
      <c r="L51" s="376"/>
      <c r="M51" s="376"/>
      <c r="N51" s="377"/>
      <c r="O51" s="377"/>
      <c r="P51" s="377"/>
      <c r="Q51" s="377"/>
      <c r="R51" s="377"/>
      <c r="S51" s="377"/>
      <c r="T51" s="377"/>
      <c r="U51" s="377"/>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spans="1:52" x14ac:dyDescent="0.25">
      <c r="A52" s="230"/>
      <c r="B52" s="387"/>
      <c r="C52" s="230"/>
      <c r="D52" s="230"/>
      <c r="E52" s="230"/>
      <c r="F52" s="230"/>
      <c r="G52" s="230"/>
      <c r="H52" s="230"/>
      <c r="I52" s="376"/>
      <c r="J52" s="376"/>
      <c r="K52" s="376"/>
      <c r="L52" s="376"/>
      <c r="M52" s="376"/>
      <c r="N52" s="377"/>
      <c r="O52" s="377"/>
      <c r="P52" s="377"/>
      <c r="Q52" s="377"/>
      <c r="R52" s="377"/>
      <c r="S52" s="377"/>
      <c r="T52" s="377"/>
      <c r="U52" s="377"/>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spans="1:52" x14ac:dyDescent="0.25">
      <c r="A53" s="230"/>
      <c r="B53" s="387"/>
      <c r="C53" s="230"/>
      <c r="D53" s="230"/>
      <c r="E53" s="230"/>
      <c r="F53" s="230"/>
      <c r="G53" s="230"/>
      <c r="H53" s="230"/>
      <c r="I53" s="376"/>
      <c r="J53" s="376"/>
      <c r="K53" s="376"/>
      <c r="L53" s="376"/>
      <c r="M53" s="376"/>
      <c r="N53" s="377"/>
      <c r="O53" s="377"/>
      <c r="P53" s="377"/>
      <c r="Q53" s="377"/>
      <c r="R53" s="377"/>
      <c r="S53" s="377"/>
      <c r="T53" s="377"/>
      <c r="U53" s="377"/>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spans="1:52" x14ac:dyDescent="0.25">
      <c r="A54" s="230"/>
      <c r="B54" s="387"/>
      <c r="C54" s="230"/>
      <c r="D54" s="230"/>
      <c r="E54" s="230"/>
      <c r="F54" s="230"/>
      <c r="G54" s="230"/>
      <c r="H54" s="230"/>
      <c r="I54" s="376"/>
      <c r="J54" s="376"/>
      <c r="K54" s="376"/>
      <c r="L54" s="376"/>
      <c r="M54" s="376"/>
      <c r="N54" s="377"/>
      <c r="O54" s="377"/>
      <c r="P54" s="377"/>
      <c r="Q54" s="377"/>
      <c r="R54" s="377"/>
      <c r="S54" s="377"/>
      <c r="T54" s="377"/>
      <c r="U54" s="377"/>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spans="1:52" x14ac:dyDescent="0.25">
      <c r="A55" s="230"/>
      <c r="B55" s="387"/>
      <c r="C55" s="230"/>
      <c r="D55" s="230"/>
      <c r="E55" s="230"/>
      <c r="F55" s="230"/>
      <c r="G55" s="230"/>
      <c r="H55" s="230"/>
      <c r="I55" s="376"/>
      <c r="J55" s="376"/>
      <c r="K55" s="376"/>
      <c r="L55" s="376"/>
      <c r="M55" s="376"/>
      <c r="N55" s="377"/>
      <c r="O55" s="377"/>
      <c r="P55" s="377"/>
      <c r="Q55" s="377"/>
      <c r="R55" s="377"/>
      <c r="S55" s="377"/>
      <c r="T55" s="377"/>
      <c r="U55" s="377"/>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spans="1:52" x14ac:dyDescent="0.25">
      <c r="A56" s="230"/>
      <c r="B56" s="387"/>
      <c r="C56" s="230"/>
      <c r="D56" s="230"/>
      <c r="E56" s="230"/>
      <c r="F56" s="230"/>
      <c r="G56" s="230"/>
      <c r="H56" s="230"/>
      <c r="I56" s="376"/>
      <c r="J56" s="376"/>
      <c r="K56" s="376"/>
      <c r="L56" s="376"/>
      <c r="M56" s="376"/>
      <c r="N56" s="377"/>
      <c r="O56" s="377"/>
      <c r="P56" s="377"/>
      <c r="Q56" s="377"/>
      <c r="R56" s="377"/>
      <c r="S56" s="377"/>
      <c r="T56" s="377"/>
      <c r="U56" s="377"/>
      <c r="V56" s="1"/>
      <c r="W56" s="1"/>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spans="1:52" x14ac:dyDescent="0.25">
      <c r="A57" s="230"/>
      <c r="B57" s="387"/>
      <c r="C57" s="230"/>
      <c r="D57" s="230"/>
      <c r="E57" s="230"/>
      <c r="F57" s="230"/>
      <c r="G57" s="230"/>
      <c r="H57" s="230"/>
      <c r="I57" s="376"/>
      <c r="J57" s="376"/>
      <c r="K57" s="376"/>
      <c r="L57" s="376"/>
      <c r="M57" s="376"/>
      <c r="N57" s="377"/>
      <c r="O57" s="377"/>
      <c r="P57" s="377"/>
      <c r="Q57" s="377"/>
      <c r="R57" s="377"/>
      <c r="S57" s="377"/>
      <c r="T57" s="377"/>
      <c r="U57" s="377"/>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spans="1:52" x14ac:dyDescent="0.25">
      <c r="A58" s="230"/>
      <c r="B58" s="230"/>
      <c r="C58" s="230"/>
      <c r="D58" s="230"/>
      <c r="E58" s="230"/>
      <c r="F58" s="230"/>
      <c r="G58" s="230"/>
      <c r="H58" s="230"/>
      <c r="I58" s="376"/>
      <c r="J58" s="376"/>
      <c r="K58" s="376"/>
      <c r="L58" s="376"/>
      <c r="M58" s="376"/>
      <c r="N58" s="377"/>
      <c r="O58" s="377"/>
      <c r="P58" s="377"/>
      <c r="Q58" s="377"/>
      <c r="R58" s="377"/>
      <c r="S58" s="377"/>
      <c r="T58" s="377"/>
      <c r="U58" s="377"/>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spans="1:52" x14ac:dyDescent="0.25">
      <c r="A59" s="230"/>
      <c r="B59" s="230"/>
      <c r="C59" s="230"/>
      <c r="D59" s="230"/>
      <c r="E59" s="230"/>
      <c r="F59" s="230"/>
      <c r="G59" s="230"/>
      <c r="H59" s="230"/>
      <c r="I59" s="376"/>
      <c r="J59" s="376"/>
      <c r="K59" s="376"/>
      <c r="L59" s="376"/>
      <c r="M59" s="376"/>
      <c r="N59" s="377"/>
      <c r="O59" s="377"/>
      <c r="P59" s="377"/>
      <c r="Q59" s="377"/>
      <c r="R59" s="377"/>
      <c r="S59" s="377"/>
      <c r="T59" s="377"/>
      <c r="U59" s="377"/>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spans="1:52" x14ac:dyDescent="0.25">
      <c r="A60" s="417"/>
      <c r="B60" s="417"/>
      <c r="C60" s="420"/>
      <c r="D60" s="420"/>
      <c r="E60" s="420"/>
      <c r="F60" s="420"/>
      <c r="G60" s="417"/>
      <c r="H60" s="417"/>
      <c r="I60" s="419"/>
      <c r="J60" s="419"/>
      <c r="K60" s="419"/>
      <c r="L60" s="419"/>
      <c r="M60" s="419"/>
      <c r="N60" s="412"/>
      <c r="O60" s="412"/>
      <c r="P60" s="412"/>
      <c r="Q60" s="412"/>
      <c r="R60" s="412"/>
      <c r="S60" s="412"/>
      <c r="T60" s="412"/>
      <c r="U60" s="41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spans="1:52" x14ac:dyDescent="0.25">
      <c r="A61" s="417"/>
      <c r="B61" s="417"/>
      <c r="C61" s="419"/>
      <c r="D61" s="419"/>
      <c r="E61" s="419"/>
      <c r="F61" s="419"/>
      <c r="G61" s="419"/>
      <c r="H61" s="419"/>
      <c r="I61" s="419"/>
      <c r="J61" s="419"/>
      <c r="K61" s="419"/>
      <c r="L61" s="419"/>
      <c r="M61" s="419"/>
      <c r="N61" s="412"/>
      <c r="O61" s="412"/>
      <c r="P61" s="412"/>
      <c r="Q61" s="412"/>
      <c r="R61" s="412"/>
      <c r="S61" s="412"/>
      <c r="T61" s="412"/>
      <c r="U61" s="41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spans="1:52" x14ac:dyDescent="0.25">
      <c r="A62" s="423"/>
      <c r="B62" s="230"/>
      <c r="C62" s="376"/>
      <c r="D62" s="376"/>
      <c r="E62" s="376"/>
      <c r="F62" s="376"/>
      <c r="G62" s="376"/>
      <c r="H62" s="376"/>
      <c r="I62" s="376"/>
      <c r="J62" s="415"/>
      <c r="K62" s="415"/>
      <c r="L62" s="415"/>
      <c r="M62" s="415"/>
      <c r="N62" s="416"/>
      <c r="O62" s="416"/>
      <c r="P62" s="416"/>
      <c r="Q62" s="416"/>
      <c r="R62" s="416"/>
      <c r="S62" s="416"/>
      <c r="T62" s="416"/>
      <c r="U62" s="416"/>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spans="1:52" x14ac:dyDescent="0.25">
      <c r="A63" s="230"/>
      <c r="B63" s="230"/>
      <c r="C63" s="230"/>
      <c r="D63" s="230"/>
      <c r="E63" s="230"/>
      <c r="F63" s="375"/>
      <c r="G63" s="375"/>
      <c r="H63" s="375"/>
      <c r="I63" s="376"/>
      <c r="J63" s="376"/>
      <c r="K63" s="376"/>
      <c r="L63" s="376"/>
      <c r="M63" s="376"/>
      <c r="N63" s="377"/>
      <c r="O63" s="377"/>
      <c r="P63" s="377"/>
      <c r="Q63" s="377"/>
      <c r="R63" s="377"/>
      <c r="S63" s="377"/>
      <c r="T63" s="377"/>
      <c r="U63" s="377"/>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spans="1:52" x14ac:dyDescent="0.25">
      <c r="A64" s="230"/>
      <c r="B64" s="230"/>
      <c r="C64" s="230"/>
      <c r="D64" s="230"/>
      <c r="E64" s="230"/>
      <c r="F64" s="375"/>
      <c r="G64" s="375"/>
      <c r="H64" s="375"/>
      <c r="I64" s="376"/>
      <c r="J64" s="376"/>
      <c r="K64" s="376"/>
      <c r="L64" s="376"/>
      <c r="M64" s="376"/>
      <c r="N64" s="377"/>
      <c r="O64" s="377"/>
      <c r="P64" s="377"/>
      <c r="Q64" s="377"/>
      <c r="R64" s="377"/>
      <c r="S64" s="377"/>
      <c r="T64" s="377"/>
      <c r="U64" s="377"/>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spans="1:52" x14ac:dyDescent="0.25">
      <c r="A65" s="230"/>
      <c r="B65" s="230"/>
      <c r="C65" s="230"/>
      <c r="D65" s="230"/>
      <c r="E65" s="230"/>
      <c r="F65" s="375"/>
      <c r="G65" s="375"/>
      <c r="H65" s="375"/>
      <c r="I65" s="376"/>
      <c r="J65" s="376"/>
      <c r="K65" s="376"/>
      <c r="L65" s="376"/>
      <c r="M65" s="376"/>
      <c r="N65" s="377"/>
      <c r="O65" s="377"/>
      <c r="P65" s="377"/>
      <c r="Q65" s="377"/>
      <c r="R65" s="377"/>
      <c r="S65" s="377"/>
      <c r="T65" s="377"/>
      <c r="U65" s="377"/>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spans="1:52" x14ac:dyDescent="0.25">
      <c r="A66" s="230"/>
      <c r="B66" s="230"/>
      <c r="C66" s="230"/>
      <c r="D66" s="230"/>
      <c r="E66" s="230"/>
      <c r="F66" s="230"/>
      <c r="G66" s="230"/>
      <c r="H66" s="230"/>
      <c r="I66" s="376"/>
      <c r="J66" s="376"/>
      <c r="K66" s="376"/>
      <c r="L66" s="376"/>
      <c r="M66" s="376"/>
      <c r="N66" s="377"/>
      <c r="O66" s="377"/>
      <c r="P66" s="377"/>
      <c r="Q66" s="377"/>
      <c r="R66" s="377"/>
      <c r="S66" s="377"/>
      <c r="T66" s="377"/>
      <c r="U66" s="377"/>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spans="1:52" x14ac:dyDescent="0.25">
      <c r="A67" s="230"/>
      <c r="B67" s="230"/>
      <c r="C67" s="230"/>
      <c r="D67" s="230"/>
      <c r="E67" s="230"/>
      <c r="F67" s="230"/>
      <c r="G67" s="230"/>
      <c r="H67" s="230"/>
      <c r="I67" s="376"/>
      <c r="J67" s="376"/>
      <c r="K67" s="376"/>
      <c r="L67" s="376"/>
      <c r="M67" s="376"/>
      <c r="N67" s="377"/>
      <c r="O67" s="377"/>
      <c r="P67" s="377"/>
      <c r="Q67" s="377"/>
      <c r="R67" s="377"/>
      <c r="S67" s="377"/>
      <c r="T67" s="377"/>
      <c r="U67" s="377"/>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spans="1:52" x14ac:dyDescent="0.25">
      <c r="A68" s="230"/>
      <c r="B68" s="230"/>
      <c r="C68" s="230"/>
      <c r="D68" s="230"/>
      <c r="E68" s="230"/>
      <c r="F68" s="230"/>
      <c r="G68" s="230"/>
      <c r="H68" s="230"/>
      <c r="I68" s="230"/>
      <c r="J68" s="230"/>
      <c r="K68" s="230"/>
      <c r="L68" s="230"/>
      <c r="M68" s="230"/>
      <c r="N68" s="133"/>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spans="1:52" x14ac:dyDescent="0.25">
      <c r="A69" s="230"/>
      <c r="B69" s="230"/>
      <c r="C69" s="230"/>
      <c r="D69" s="230"/>
      <c r="E69" s="230"/>
      <c r="F69" s="287"/>
      <c r="G69" s="287"/>
      <c r="H69" s="230"/>
      <c r="I69" s="230"/>
      <c r="J69" s="230"/>
      <c r="K69" s="230"/>
      <c r="L69" s="230"/>
      <c r="M69" s="230"/>
      <c r="N69" s="133"/>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spans="1:52" x14ac:dyDescent="0.25">
      <c r="A70" s="17"/>
      <c r="B70" s="17"/>
      <c r="C70" s="2"/>
      <c r="D70" s="2"/>
      <c r="G70" s="287"/>
      <c r="H70" s="133"/>
      <c r="I70" s="133"/>
      <c r="J70" s="133"/>
      <c r="K70" s="133"/>
      <c r="L70" s="133"/>
      <c r="M70" s="133"/>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spans="1:52" x14ac:dyDescent="0.25">
      <c r="A71" s="17"/>
      <c r="B71" s="17"/>
      <c r="C71" s="11"/>
      <c r="D71" s="11"/>
      <c r="G71" s="287"/>
      <c r="H71" s="33"/>
      <c r="I71" s="33"/>
      <c r="J71" s="33"/>
      <c r="K71" s="33"/>
      <c r="L71" s="33"/>
      <c r="M71" s="33"/>
      <c r="N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spans="1:52" x14ac:dyDescent="0.25">
      <c r="A72" s="17"/>
      <c r="B72" s="17"/>
      <c r="C72" s="2"/>
      <c r="D72" s="2"/>
      <c r="G72" s="288" t="s">
        <v>657</v>
      </c>
      <c r="H72" s="33"/>
      <c r="I72" s="33"/>
      <c r="J72" s="33"/>
      <c r="K72" s="33"/>
      <c r="L72" s="33"/>
      <c r="M72" s="33"/>
      <c r="N72" s="2"/>
      <c r="O72" s="2" t="s">
        <v>652</v>
      </c>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spans="1:52" x14ac:dyDescent="0.25">
      <c r="G73" s="287">
        <v>52824</v>
      </c>
      <c r="H73" s="286">
        <v>52546</v>
      </c>
      <c r="I73" s="286">
        <v>53647</v>
      </c>
      <c r="J73" s="286">
        <v>51750</v>
      </c>
      <c r="K73" s="286">
        <v>41908</v>
      </c>
      <c r="L73" s="286">
        <v>81288</v>
      </c>
      <c r="M73" s="286">
        <v>100330</v>
      </c>
      <c r="N73" s="1"/>
      <c r="O73" s="2" t="s">
        <v>67</v>
      </c>
      <c r="P73" s="2"/>
      <c r="Q73" s="2"/>
      <c r="R73" s="2"/>
      <c r="S73" s="1"/>
      <c r="T73" s="1"/>
      <c r="U73" s="1"/>
      <c r="V73" s="1"/>
      <c r="W73" s="1"/>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spans="1:52" x14ac:dyDescent="0.25">
      <c r="G74" s="287"/>
      <c r="H74" s="2"/>
      <c r="I74" s="2" t="e">
        <f>I73=#REF!</f>
        <v>#REF!</v>
      </c>
      <c r="J74" s="2" t="e">
        <f>J73=#REF!</f>
        <v>#REF!</v>
      </c>
      <c r="K74" s="2" t="e">
        <f>K73=#REF!</f>
        <v>#REF!</v>
      </c>
      <c r="L74" s="2" t="e">
        <f>L73=#REF!</f>
        <v>#REF!</v>
      </c>
      <c r="M74" s="2" t="e">
        <f>M73=#REF!</f>
        <v>#REF!</v>
      </c>
      <c r="N74" s="1"/>
      <c r="O74" s="2" t="s">
        <v>68</v>
      </c>
      <c r="P74" s="2"/>
      <c r="Q74" s="2" t="s">
        <v>621</v>
      </c>
      <c r="R74" s="1"/>
      <c r="S74" s="1"/>
      <c r="T74" s="1"/>
      <c r="U74" s="1"/>
      <c r="V74" s="1"/>
      <c r="W74" s="1"/>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spans="1:52" x14ac:dyDescent="0.25">
      <c r="G75" s="287"/>
      <c r="H75" s="2"/>
      <c r="I75" s="2" t="s">
        <v>651</v>
      </c>
      <c r="J75" s="2"/>
      <c r="K75" s="2"/>
      <c r="L75" s="2"/>
      <c r="M75" s="2"/>
      <c r="N75" s="9"/>
      <c r="O75" s="2" t="s">
        <v>653</v>
      </c>
      <c r="P75" s="1"/>
      <c r="Q75" s="1"/>
      <c r="R75" s="1"/>
      <c r="S75" s="9"/>
      <c r="T75" s="9"/>
      <c r="U75" s="9"/>
      <c r="V75" s="9"/>
      <c r="W75" s="9"/>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spans="1:52" x14ac:dyDescent="0.25">
      <c r="G76" s="287"/>
      <c r="N76" s="19"/>
      <c r="O76" s="9"/>
      <c r="P76" s="9"/>
      <c r="Q76" s="9"/>
      <c r="R76" s="9"/>
      <c r="S76" s="9"/>
      <c r="T76" s="9"/>
      <c r="U76" s="9"/>
      <c r="V76" s="9"/>
      <c r="W76" s="9"/>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spans="1:52" x14ac:dyDescent="0.25">
      <c r="G77" s="287"/>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spans="1:52" x14ac:dyDescent="0.25">
      <c r="G78" s="287"/>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spans="1:52" x14ac:dyDescent="0.25">
      <c r="G79" s="287"/>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spans="1:52" x14ac:dyDescent="0.25">
      <c r="A80" s="17"/>
      <c r="B80" s="17"/>
      <c r="C80" s="2"/>
      <c r="D80" s="2"/>
      <c r="G80" s="287"/>
      <c r="H80" s="133"/>
      <c r="I80" s="133"/>
      <c r="J80" s="133"/>
      <c r="K80" s="133"/>
      <c r="L80" s="133"/>
      <c r="M80" s="133"/>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spans="1:52" x14ac:dyDescent="0.25">
      <c r="A81" s="17"/>
      <c r="B81" s="17"/>
      <c r="C81" s="2"/>
      <c r="D81" s="2"/>
      <c r="G81" s="287"/>
      <c r="H81" s="133"/>
      <c r="I81" s="133"/>
      <c r="J81" s="133"/>
      <c r="K81" s="133"/>
      <c r="L81" s="133"/>
      <c r="M81" s="133"/>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spans="1:52" x14ac:dyDescent="0.25">
      <c r="A82" s="17"/>
      <c r="B82" s="17"/>
      <c r="C82" s="32"/>
      <c r="D82" s="32"/>
      <c r="G82" s="287"/>
      <c r="H82" s="133"/>
      <c r="I82" s="133"/>
      <c r="J82" s="133"/>
      <c r="K82" s="133"/>
      <c r="L82" s="133"/>
      <c r="M82" s="133"/>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spans="1:52" x14ac:dyDescent="0.25">
      <c r="A83" s="17"/>
      <c r="B83" s="17"/>
      <c r="C83" s="2"/>
      <c r="D83" s="2"/>
      <c r="G83" s="287"/>
      <c r="H83" s="133"/>
      <c r="I83" s="133"/>
      <c r="J83" s="133"/>
      <c r="K83" s="133"/>
      <c r="L83" s="133"/>
      <c r="M83" s="133"/>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spans="1:52" x14ac:dyDescent="0.25">
      <c r="A84" s="17"/>
      <c r="B84" s="17"/>
      <c r="C84" s="11"/>
      <c r="D84" s="11"/>
      <c r="G84" s="287"/>
      <c r="H84" s="133"/>
      <c r="I84" s="133"/>
      <c r="J84" s="133"/>
      <c r="K84" s="133"/>
      <c r="L84" s="133"/>
      <c r="M84" s="133"/>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spans="1:52" x14ac:dyDescent="0.25">
      <c r="A85" s="17"/>
      <c r="B85" s="17"/>
      <c r="C85" s="2"/>
      <c r="D85" s="2"/>
      <c r="G85" s="287"/>
      <c r="H85" s="133"/>
      <c r="I85" s="133"/>
      <c r="J85" s="133"/>
      <c r="K85" s="133"/>
      <c r="L85" s="133"/>
      <c r="M85" s="133"/>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spans="1:52" x14ac:dyDescent="0.25">
      <c r="G86" s="287"/>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spans="1:52" x14ac:dyDescent="0.25">
      <c r="G87" s="287"/>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spans="1:52" x14ac:dyDescent="0.25">
      <c r="A88" s="17"/>
      <c r="B88" s="17"/>
      <c r="C88" s="11"/>
      <c r="D88" s="11"/>
      <c r="G88" s="287"/>
      <c r="H88" s="133"/>
      <c r="I88" s="133"/>
      <c r="J88" s="133"/>
      <c r="K88" s="133"/>
      <c r="L88" s="133"/>
      <c r="M88" s="133"/>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spans="1:52" x14ac:dyDescent="0.25">
      <c r="A89" s="17"/>
      <c r="B89" s="17"/>
      <c r="C89" s="2"/>
      <c r="D89" s="2"/>
      <c r="G89" s="287"/>
      <c r="H89" s="133"/>
      <c r="I89" s="133"/>
      <c r="J89" s="133"/>
      <c r="K89" s="133"/>
      <c r="L89" s="133"/>
      <c r="M89" s="133"/>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spans="1:52" x14ac:dyDescent="0.25">
      <c r="A90" s="17"/>
      <c r="B90" s="17"/>
      <c r="C90" s="11"/>
      <c r="D90" s="11"/>
      <c r="G90" s="287"/>
      <c r="H90" s="133"/>
      <c r="I90" s="133"/>
      <c r="J90" s="133"/>
      <c r="K90" s="133"/>
      <c r="L90" s="133"/>
      <c r="M90" s="133"/>
      <c r="N90" s="20"/>
      <c r="O90" s="1"/>
      <c r="P90" s="1"/>
      <c r="Q90" s="1"/>
      <c r="R90" s="1"/>
      <c r="S90" s="1"/>
      <c r="T90" s="1"/>
      <c r="U90" s="1"/>
      <c r="V90" s="1"/>
      <c r="W90" s="1"/>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spans="1:52" x14ac:dyDescent="0.25">
      <c r="A91" s="20"/>
      <c r="B91" s="20"/>
      <c r="C91" s="12"/>
      <c r="D91" s="12"/>
      <c r="E91" s="20"/>
      <c r="F91" s="21"/>
      <c r="G91" s="287"/>
      <c r="H91" s="133"/>
      <c r="I91" s="133"/>
      <c r="J91" s="133"/>
      <c r="K91" s="133"/>
      <c r="L91" s="133"/>
      <c r="M91" s="133"/>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spans="1:52" x14ac:dyDescent="0.25">
      <c r="A92" s="17"/>
      <c r="B92" s="17"/>
      <c r="C92" s="2"/>
      <c r="D92" s="2"/>
      <c r="G92" s="287"/>
      <c r="H92" s="133"/>
      <c r="I92" s="133"/>
      <c r="J92" s="133"/>
      <c r="K92" s="133"/>
      <c r="L92" s="133"/>
      <c r="M92" s="133"/>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spans="1:52" x14ac:dyDescent="0.25">
      <c r="A93" s="17"/>
      <c r="B93" s="17"/>
      <c r="C93" s="11"/>
      <c r="D93" s="11"/>
      <c r="G93" s="287"/>
      <c r="H93" s="133"/>
      <c r="I93" s="133"/>
      <c r="J93" s="133"/>
      <c r="K93" s="133"/>
      <c r="L93" s="133"/>
      <c r="M93" s="133"/>
      <c r="N93" s="20"/>
      <c r="O93" s="1"/>
      <c r="P93" s="1"/>
      <c r="Q93" s="1"/>
      <c r="R93" s="1"/>
      <c r="S93" s="1"/>
      <c r="T93" s="1"/>
      <c r="U93" s="1"/>
      <c r="V93" s="1"/>
      <c r="W93" s="1"/>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spans="1:52" x14ac:dyDescent="0.25">
      <c r="G94" s="287"/>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spans="1:52" x14ac:dyDescent="0.25">
      <c r="G95" s="287"/>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spans="1:52" x14ac:dyDescent="0.25">
      <c r="A96" s="17"/>
      <c r="B96" s="17"/>
      <c r="C96" s="2"/>
      <c r="D96" s="2"/>
      <c r="G96" s="287"/>
      <c r="H96" s="133"/>
      <c r="I96" s="133"/>
      <c r="J96" s="133"/>
      <c r="K96" s="133"/>
      <c r="L96" s="133"/>
      <c r="M96" s="133"/>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spans="1:52" x14ac:dyDescent="0.25">
      <c r="A97" s="17"/>
      <c r="B97" s="17"/>
      <c r="C97" s="2"/>
      <c r="D97" s="2"/>
      <c r="G97" s="287"/>
      <c r="H97" s="133"/>
      <c r="I97" s="133"/>
      <c r="J97" s="133"/>
      <c r="K97" s="133"/>
      <c r="L97" s="133"/>
      <c r="M97" s="133"/>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spans="1:52" x14ac:dyDescent="0.25">
      <c r="A98" s="17"/>
      <c r="B98" s="17"/>
      <c r="C98" s="2"/>
      <c r="D98" s="2"/>
      <c r="G98" s="287"/>
      <c r="H98" s="133"/>
      <c r="I98" s="133"/>
      <c r="J98" s="133"/>
      <c r="K98" s="133"/>
      <c r="L98" s="133"/>
      <c r="M98" s="133"/>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spans="1:52" x14ac:dyDescent="0.25">
      <c r="A99" s="17"/>
      <c r="B99" s="17"/>
      <c r="C99" s="2"/>
      <c r="D99" s="2"/>
      <c r="G99" s="287"/>
      <c r="H99" s="133"/>
      <c r="I99" s="133"/>
      <c r="J99" s="133"/>
      <c r="K99" s="133"/>
      <c r="L99" s="133"/>
      <c r="M99" s="133"/>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spans="1:52" x14ac:dyDescent="0.25">
      <c r="C100" s="2"/>
      <c r="D100" s="2"/>
      <c r="G100" s="287"/>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spans="1:52" x14ac:dyDescent="0.25">
      <c r="C101" s="2"/>
      <c r="D101" s="2"/>
      <c r="G101" s="287"/>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spans="1:52" x14ac:dyDescent="0.25">
      <c r="C102" s="2"/>
      <c r="D102" s="2"/>
      <c r="G102" s="287"/>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spans="1:52" x14ac:dyDescent="0.25">
      <c r="C103" s="2"/>
      <c r="D103" s="2"/>
      <c r="G103" s="287"/>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spans="1:52" x14ac:dyDescent="0.25">
      <c r="C104" s="2"/>
      <c r="D104" s="2"/>
      <c r="G104" s="287"/>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spans="1:52" x14ac:dyDescent="0.25">
      <c r="C105" s="2"/>
      <c r="D105" s="2"/>
      <c r="G105" s="287"/>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spans="1:52" x14ac:dyDescent="0.25">
      <c r="C106" s="2"/>
      <c r="D106" s="2"/>
      <c r="G106" s="287"/>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spans="1:52" x14ac:dyDescent="0.25">
      <c r="C107" s="2"/>
      <c r="D107" s="2"/>
      <c r="G107" s="287"/>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spans="1:52" x14ac:dyDescent="0.25">
      <c r="C108" s="2"/>
      <c r="D108" s="2"/>
      <c r="G108" s="287"/>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spans="1:52" x14ac:dyDescent="0.25">
      <c r="C109" s="2"/>
      <c r="D109" s="2"/>
      <c r="G109" s="287"/>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spans="1:52" x14ac:dyDescent="0.25">
      <c r="C110" s="2"/>
      <c r="D110" s="2"/>
      <c r="G110" s="287"/>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spans="1:52" x14ac:dyDescent="0.25">
      <c r="C111" s="2"/>
      <c r="D111" s="2"/>
      <c r="G111" s="287"/>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spans="1:52" x14ac:dyDescent="0.25">
      <c r="C112" s="2"/>
      <c r="D112" s="2"/>
      <c r="G112" s="287"/>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spans="3:52" x14ac:dyDescent="0.25">
      <c r="C113" s="2"/>
      <c r="D113" s="2"/>
      <c r="G113" s="287"/>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spans="3:52" x14ac:dyDescent="0.25">
      <c r="C114" s="2"/>
      <c r="D114" s="2"/>
      <c r="G114" s="287"/>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spans="3:52" x14ac:dyDescent="0.25">
      <c r="C115" s="2"/>
      <c r="D115" s="2"/>
      <c r="G115" s="287"/>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spans="3:52" x14ac:dyDescent="0.25">
      <c r="C116" s="2"/>
      <c r="D116" s="2"/>
      <c r="G116" s="287"/>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spans="3:52" x14ac:dyDescent="0.25">
      <c r="C117" s="2"/>
      <c r="D117" s="2"/>
      <c r="G117" s="287"/>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spans="3:52" x14ac:dyDescent="0.25">
      <c r="C118" s="2"/>
      <c r="D118" s="2"/>
      <c r="G118" s="287"/>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spans="3:52" x14ac:dyDescent="0.25">
      <c r="C119" s="2"/>
      <c r="D119" s="2"/>
      <c r="G119" s="287"/>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spans="3:52" x14ac:dyDescent="0.25">
      <c r="C120" s="2"/>
      <c r="D120" s="2"/>
      <c r="G120" s="287"/>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spans="3:52" x14ac:dyDescent="0.25">
      <c r="C121" s="2"/>
      <c r="D121" s="2"/>
      <c r="G121" s="287"/>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spans="3:52" x14ac:dyDescent="0.25">
      <c r="C122" s="2"/>
      <c r="D122" s="2"/>
      <c r="G122" s="287"/>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spans="3:52" x14ac:dyDescent="0.25">
      <c r="C123" s="2"/>
      <c r="D123" s="2"/>
      <c r="G123" s="287"/>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spans="3:52" x14ac:dyDescent="0.25">
      <c r="C124" s="2"/>
      <c r="D124" s="2"/>
      <c r="G124" s="287"/>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spans="3:52" x14ac:dyDescent="0.25">
      <c r="C125" s="2"/>
      <c r="D125" s="2"/>
      <c r="G125" s="287"/>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spans="3:52" x14ac:dyDescent="0.25">
      <c r="C126" s="2"/>
      <c r="D126" s="2"/>
      <c r="G126" s="287"/>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spans="3:52" x14ac:dyDescent="0.25">
      <c r="C127" s="2"/>
      <c r="D127" s="2"/>
      <c r="G127" s="287"/>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spans="3:52" x14ac:dyDescent="0.25">
      <c r="C128" s="2"/>
      <c r="D128" s="2"/>
      <c r="G128" s="287"/>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spans="3:52" x14ac:dyDescent="0.25">
      <c r="C129" s="2"/>
      <c r="D129" s="2"/>
      <c r="G129" s="287"/>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spans="3:52" x14ac:dyDescent="0.25">
      <c r="C130" s="2"/>
      <c r="D130" s="2"/>
      <c r="G130" s="287"/>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spans="3:52" x14ac:dyDescent="0.25">
      <c r="C131" s="2"/>
      <c r="D131" s="2"/>
      <c r="G131" s="287"/>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spans="3:52" x14ac:dyDescent="0.25">
      <c r="C132" s="2"/>
      <c r="D132" s="2"/>
      <c r="G132" s="287"/>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spans="3:52" x14ac:dyDescent="0.25">
      <c r="C133" s="2"/>
      <c r="D133" s="2"/>
      <c r="G133" s="287"/>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spans="3:52" x14ac:dyDescent="0.25">
      <c r="C134" s="2"/>
      <c r="D134" s="2"/>
      <c r="G134" s="287"/>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spans="3:52" x14ac:dyDescent="0.25">
      <c r="C135" s="2"/>
      <c r="D135" s="2"/>
      <c r="G135" s="287"/>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spans="3:52" x14ac:dyDescent="0.25">
      <c r="C136" s="2"/>
      <c r="D136" s="2"/>
      <c r="G136" s="287"/>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spans="3:52" x14ac:dyDescent="0.25">
      <c r="C137" s="2"/>
      <c r="D137" s="2"/>
      <c r="G137" s="287"/>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spans="3:52" x14ac:dyDescent="0.25">
      <c r="C138" s="2"/>
      <c r="D138" s="2"/>
      <c r="G138" s="287"/>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spans="3:52" x14ac:dyDescent="0.25">
      <c r="C139" s="2"/>
      <c r="D139" s="2"/>
      <c r="G139" s="287"/>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spans="3:52" x14ac:dyDescent="0.25">
      <c r="C140" s="2"/>
      <c r="D140" s="2"/>
      <c r="G140" s="287"/>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spans="3:52" x14ac:dyDescent="0.25">
      <c r="C141" s="2"/>
      <c r="D141" s="2"/>
      <c r="G141" s="193"/>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spans="3:52" x14ac:dyDescent="0.25">
      <c r="C142" s="2"/>
      <c r="D142" s="2"/>
      <c r="G142" s="193"/>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spans="3:52" x14ac:dyDescent="0.25">
      <c r="C143" s="2"/>
      <c r="D143" s="2"/>
      <c r="G143" s="193"/>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spans="3:52" x14ac:dyDescent="0.25">
      <c r="C144" s="2"/>
      <c r="D144" s="2"/>
      <c r="G144" s="193"/>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spans="3:52" x14ac:dyDescent="0.25">
      <c r="C145" s="2"/>
      <c r="D145" s="2"/>
      <c r="G145" s="193"/>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spans="3:52" x14ac:dyDescent="0.25">
      <c r="C146" s="2"/>
      <c r="D146" s="2"/>
      <c r="G146" s="193"/>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spans="3:52" x14ac:dyDescent="0.25">
      <c r="C147" s="2"/>
      <c r="D147" s="2"/>
      <c r="G147" s="193"/>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spans="3:52" x14ac:dyDescent="0.25">
      <c r="C148" s="2"/>
      <c r="D148" s="2"/>
      <c r="G148" s="193"/>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spans="3:52" x14ac:dyDescent="0.25">
      <c r="C149" s="2"/>
      <c r="D149" s="2"/>
      <c r="G149" s="193"/>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spans="3:52" x14ac:dyDescent="0.25">
      <c r="C150" s="2"/>
      <c r="D150" s="2"/>
      <c r="G150" s="193"/>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spans="3:52" x14ac:dyDescent="0.25">
      <c r="C151" s="2"/>
      <c r="D151" s="2"/>
      <c r="G151" s="193"/>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spans="3:52" x14ac:dyDescent="0.25">
      <c r="C152" s="2"/>
      <c r="D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spans="3:52" x14ac:dyDescent="0.25">
      <c r="C153" s="2"/>
      <c r="D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spans="3:52" x14ac:dyDescent="0.25">
      <c r="C154" s="2"/>
      <c r="D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spans="3:52" x14ac:dyDescent="0.25">
      <c r="C155" s="2"/>
      <c r="D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spans="3:52" x14ac:dyDescent="0.25">
      <c r="C156" s="2"/>
      <c r="D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spans="3:52" x14ac:dyDescent="0.25">
      <c r="C157" s="2"/>
      <c r="D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spans="3:52" x14ac:dyDescent="0.25">
      <c r="C158" s="2"/>
      <c r="D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spans="3:52" x14ac:dyDescent="0.25">
      <c r="C159" s="2"/>
      <c r="D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spans="3:52" x14ac:dyDescent="0.25">
      <c r="C160" s="2"/>
      <c r="D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spans="3:52" x14ac:dyDescent="0.25">
      <c r="C161" s="2"/>
      <c r="D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spans="3:52" x14ac:dyDescent="0.25">
      <c r="C162" s="2"/>
      <c r="D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spans="3:52" x14ac:dyDescent="0.25">
      <c r="C163" s="2"/>
      <c r="D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spans="3:52" x14ac:dyDescent="0.25">
      <c r="C164" s="2"/>
      <c r="D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spans="3:52" x14ac:dyDescent="0.25">
      <c r="C165" s="2"/>
      <c r="D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spans="3:52" x14ac:dyDescent="0.25">
      <c r="C166" s="2"/>
      <c r="D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spans="3:52" x14ac:dyDescent="0.25">
      <c r="C167" s="2"/>
      <c r="D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spans="3:52" x14ac:dyDescent="0.25">
      <c r="C168" s="2"/>
      <c r="D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spans="3:52" x14ac:dyDescent="0.25">
      <c r="C169" s="2"/>
      <c r="D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spans="3:52" x14ac:dyDescent="0.25">
      <c r="C170" s="2"/>
      <c r="D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spans="3:52" x14ac:dyDescent="0.25">
      <c r="C171" s="2"/>
      <c r="D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spans="3:52" x14ac:dyDescent="0.25">
      <c r="C172" s="2"/>
      <c r="D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spans="3:52" x14ac:dyDescent="0.25">
      <c r="C173" s="2"/>
      <c r="D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spans="3:52" x14ac:dyDescent="0.25">
      <c r="C174" s="2"/>
      <c r="D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spans="3:52" x14ac:dyDescent="0.25">
      <c r="C175" s="2"/>
      <c r="D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spans="3:52" x14ac:dyDescent="0.25">
      <c r="C176" s="2"/>
      <c r="D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spans="3:52" x14ac:dyDescent="0.25">
      <c r="C177" s="2"/>
      <c r="D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spans="3:52" x14ac:dyDescent="0.25">
      <c r="C178" s="2"/>
      <c r="D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spans="3:52" x14ac:dyDescent="0.25">
      <c r="C179" s="2"/>
      <c r="D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spans="3:52" x14ac:dyDescent="0.25">
      <c r="C180" s="2"/>
      <c r="D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spans="3:52" x14ac:dyDescent="0.25">
      <c r="C181" s="2"/>
      <c r="D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spans="3:52" x14ac:dyDescent="0.25">
      <c r="C182" s="2"/>
      <c r="D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spans="3:52" x14ac:dyDescent="0.25">
      <c r="C183" s="2"/>
      <c r="D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spans="3:52" x14ac:dyDescent="0.25">
      <c r="C184" s="2"/>
      <c r="D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spans="3:52" x14ac:dyDescent="0.25">
      <c r="C185" s="2"/>
      <c r="D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spans="3:52" x14ac:dyDescent="0.25">
      <c r="C186" s="2"/>
      <c r="D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spans="3:52" x14ac:dyDescent="0.25">
      <c r="C187" s="2"/>
      <c r="D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spans="3:52" x14ac:dyDescent="0.25">
      <c r="C188" s="2"/>
      <c r="D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spans="3:52" x14ac:dyDescent="0.25">
      <c r="C189" s="2"/>
      <c r="D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spans="3:52" x14ac:dyDescent="0.25">
      <c r="C190" s="2"/>
      <c r="D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spans="3:52" x14ac:dyDescent="0.25">
      <c r="C191" s="2"/>
      <c r="D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row r="192" spans="3:52" x14ac:dyDescent="0.25">
      <c r="C192" s="2"/>
      <c r="D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row>
    <row r="193" spans="3:52" x14ac:dyDescent="0.25">
      <c r="C193" s="2"/>
      <c r="D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row>
    <row r="194" spans="3:52" x14ac:dyDescent="0.25">
      <c r="C194" s="2"/>
      <c r="D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row>
    <row r="195" spans="3:52" x14ac:dyDescent="0.25">
      <c r="C195" s="2"/>
      <c r="D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row>
    <row r="196" spans="3:52" x14ac:dyDescent="0.25">
      <c r="C196" s="2"/>
      <c r="D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row>
    <row r="197" spans="3:52" x14ac:dyDescent="0.25">
      <c r="C197" s="2"/>
      <c r="D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row>
    <row r="198" spans="3:52" x14ac:dyDescent="0.25">
      <c r="C198" s="2"/>
      <c r="D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row>
    <row r="199" spans="3:52" x14ac:dyDescent="0.25">
      <c r="C199" s="2"/>
      <c r="D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row>
    <row r="200" spans="3:52" x14ac:dyDescent="0.25">
      <c r="C200" s="2"/>
      <c r="D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row>
    <row r="201" spans="3:52" x14ac:dyDescent="0.25">
      <c r="C201" s="2"/>
      <c r="D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row>
    <row r="202" spans="3:52" x14ac:dyDescent="0.25">
      <c r="C202" s="2"/>
      <c r="D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row>
    <row r="203" spans="3:52" x14ac:dyDescent="0.25">
      <c r="C203" s="2"/>
      <c r="D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row>
    <row r="204" spans="3:52" x14ac:dyDescent="0.25">
      <c r="C204" s="2"/>
      <c r="D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row>
    <row r="205" spans="3:52" x14ac:dyDescent="0.25">
      <c r="C205" s="2"/>
      <c r="D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row>
    <row r="206" spans="3:52" x14ac:dyDescent="0.25">
      <c r="C206" s="2"/>
      <c r="D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row>
    <row r="207" spans="3:52" x14ac:dyDescent="0.25">
      <c r="C207" s="2"/>
      <c r="D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row>
    <row r="208" spans="3:52" x14ac:dyDescent="0.25">
      <c r="C208" s="2"/>
      <c r="D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row>
    <row r="209" spans="3:52" x14ac:dyDescent="0.25">
      <c r="C209" s="2"/>
      <c r="D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row>
    <row r="210" spans="3:52" x14ac:dyDescent="0.25">
      <c r="C210" s="2"/>
      <c r="D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row>
    <row r="211" spans="3:52" x14ac:dyDescent="0.25">
      <c r="C211" s="2"/>
      <c r="D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row>
    <row r="212" spans="3:52" x14ac:dyDescent="0.25">
      <c r="C212" s="2"/>
      <c r="D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row>
    <row r="213" spans="3:52" x14ac:dyDescent="0.25">
      <c r="C213" s="2"/>
      <c r="D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row>
    <row r="214" spans="3:52" x14ac:dyDescent="0.25">
      <c r="C214" s="2"/>
      <c r="D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row>
    <row r="215" spans="3:52" x14ac:dyDescent="0.25">
      <c r="C215" s="2"/>
      <c r="D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row>
    <row r="216" spans="3:52" x14ac:dyDescent="0.25">
      <c r="C216" s="2"/>
      <c r="D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row>
    <row r="217" spans="3:52" x14ac:dyDescent="0.25">
      <c r="C217" s="2"/>
      <c r="D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row>
    <row r="218" spans="3:52" x14ac:dyDescent="0.25">
      <c r="C218" s="2"/>
      <c r="D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row>
    <row r="219" spans="3:52" x14ac:dyDescent="0.25">
      <c r="C219" s="2"/>
      <c r="D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row>
    <row r="220" spans="3:52" x14ac:dyDescent="0.25">
      <c r="C220" s="2"/>
      <c r="D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row>
    <row r="221" spans="3:52" x14ac:dyDescent="0.25">
      <c r="C221" s="2"/>
      <c r="D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row>
    <row r="222" spans="3:52" x14ac:dyDescent="0.25">
      <c r="C222" s="2"/>
      <c r="D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row>
    <row r="223" spans="3:52" x14ac:dyDescent="0.25">
      <c r="C223" s="2"/>
      <c r="D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row>
    <row r="224" spans="3:52" x14ac:dyDescent="0.25">
      <c r="C224" s="2"/>
      <c r="D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row>
    <row r="225" spans="3:52" x14ac:dyDescent="0.25">
      <c r="C225" s="2"/>
      <c r="D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row>
    <row r="226" spans="3:52" x14ac:dyDescent="0.25">
      <c r="C226" s="2"/>
      <c r="D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row>
    <row r="227" spans="3:52" x14ac:dyDescent="0.25">
      <c r="C227" s="2"/>
      <c r="D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row>
    <row r="228" spans="3:52" x14ac:dyDescent="0.25">
      <c r="C228" s="2"/>
      <c r="D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row>
    <row r="229" spans="3:52" x14ac:dyDescent="0.25">
      <c r="C229" s="2"/>
      <c r="D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row>
    <row r="230" spans="3:52" x14ac:dyDescent="0.25">
      <c r="C230" s="2"/>
      <c r="D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row>
    <row r="231" spans="3:52" x14ac:dyDescent="0.25">
      <c r="C231" s="2"/>
      <c r="D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row>
    <row r="232" spans="3:52" x14ac:dyDescent="0.25">
      <c r="C232" s="2"/>
      <c r="D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row>
    <row r="233" spans="3:52" x14ac:dyDescent="0.25">
      <c r="C233" s="2"/>
      <c r="D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row>
    <row r="234" spans="3:52" x14ac:dyDescent="0.25">
      <c r="C234" s="2"/>
      <c r="D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row>
    <row r="235" spans="3:52" x14ac:dyDescent="0.25">
      <c r="C235" s="2"/>
      <c r="D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row>
    <row r="236" spans="3:52" x14ac:dyDescent="0.25">
      <c r="C236" s="2"/>
      <c r="D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row>
    <row r="237" spans="3:52" x14ac:dyDescent="0.25">
      <c r="C237" s="2"/>
      <c r="D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row>
    <row r="238" spans="3:52" x14ac:dyDescent="0.25">
      <c r="C238" s="2"/>
      <c r="D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row>
    <row r="239" spans="3:52" x14ac:dyDescent="0.25">
      <c r="C239" s="2"/>
      <c r="D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row>
    <row r="240" spans="3:52" x14ac:dyDescent="0.25">
      <c r="C240" s="2"/>
      <c r="D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row>
    <row r="241" spans="3:52" x14ac:dyDescent="0.25">
      <c r="C241" s="2"/>
      <c r="D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row>
    <row r="242" spans="3:52" x14ac:dyDescent="0.25">
      <c r="C242" s="2"/>
      <c r="D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row>
    <row r="243" spans="3:52" x14ac:dyDescent="0.25">
      <c r="C243" s="2"/>
      <c r="D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row>
    <row r="244" spans="3:52" x14ac:dyDescent="0.25">
      <c r="C244" s="2"/>
      <c r="D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row>
    <row r="245" spans="3:52" x14ac:dyDescent="0.25">
      <c r="C245" s="2"/>
      <c r="D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row>
    <row r="246" spans="3:52" x14ac:dyDescent="0.25">
      <c r="C246" s="2"/>
      <c r="D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row>
    <row r="247" spans="3:52" x14ac:dyDescent="0.25">
      <c r="C247" s="2"/>
      <c r="D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row>
    <row r="248" spans="3:52" x14ac:dyDescent="0.25">
      <c r="C248" s="2"/>
      <c r="D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row>
    <row r="249" spans="3:52" x14ac:dyDescent="0.25">
      <c r="C249" s="2"/>
      <c r="D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row>
    <row r="250" spans="3:52" x14ac:dyDescent="0.25">
      <c r="C250" s="2"/>
      <c r="D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row>
    <row r="251" spans="3:52" x14ac:dyDescent="0.25">
      <c r="C251" s="2"/>
      <c r="D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row>
    <row r="252" spans="3:52" x14ac:dyDescent="0.25">
      <c r="C252" s="2"/>
      <c r="D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row>
    <row r="253" spans="3:52" x14ac:dyDescent="0.25">
      <c r="C253" s="2"/>
      <c r="D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row>
    <row r="254" spans="3:52" x14ac:dyDescent="0.25">
      <c r="C254" s="2"/>
      <c r="D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row>
    <row r="255" spans="3:52" x14ac:dyDescent="0.25">
      <c r="C255" s="2"/>
      <c r="D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row>
    <row r="256" spans="3:52" x14ac:dyDescent="0.25">
      <c r="C256" s="2"/>
      <c r="D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row>
    <row r="257" spans="3:52" x14ac:dyDescent="0.25">
      <c r="C257" s="2"/>
      <c r="D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row>
    <row r="258" spans="3:52" x14ac:dyDescent="0.25">
      <c r="C258" s="2"/>
      <c r="D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row>
    <row r="259" spans="3:52" x14ac:dyDescent="0.25">
      <c r="C259" s="2"/>
      <c r="D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row>
    <row r="260" spans="3:52" x14ac:dyDescent="0.25">
      <c r="C260" s="2"/>
      <c r="D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row>
    <row r="261" spans="3:52" x14ac:dyDescent="0.25">
      <c r="C261" s="2"/>
      <c r="D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row>
    <row r="262" spans="3:52" x14ac:dyDescent="0.25">
      <c r="C262" s="2"/>
      <c r="D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row>
    <row r="263" spans="3:52" x14ac:dyDescent="0.25">
      <c r="C263" s="2"/>
      <c r="D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row>
    <row r="264" spans="3:52" x14ac:dyDescent="0.25">
      <c r="C264" s="2"/>
      <c r="D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row>
    <row r="265" spans="3:52" x14ac:dyDescent="0.25">
      <c r="C265" s="2"/>
      <c r="D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row>
    <row r="266" spans="3:52" x14ac:dyDescent="0.25">
      <c r="C266" s="2"/>
      <c r="D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row>
    <row r="267" spans="3:52" x14ac:dyDescent="0.25">
      <c r="C267" s="2"/>
      <c r="D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row>
    <row r="268" spans="3:52" x14ac:dyDescent="0.25">
      <c r="C268" s="2"/>
      <c r="D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row>
    <row r="269" spans="3:52" x14ac:dyDescent="0.25">
      <c r="C269" s="2"/>
      <c r="D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row>
    <row r="270" spans="3:52" x14ac:dyDescent="0.25">
      <c r="C270" s="2"/>
      <c r="D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row>
    <row r="271" spans="3:52" x14ac:dyDescent="0.25">
      <c r="C271" s="2"/>
      <c r="D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row>
    <row r="272" spans="3:52" x14ac:dyDescent="0.25">
      <c r="C272" s="2"/>
      <c r="D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row>
    <row r="273" spans="3:52" x14ac:dyDescent="0.25">
      <c r="C273" s="2"/>
      <c r="D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row>
    <row r="274" spans="3:52" x14ac:dyDescent="0.25">
      <c r="C274" s="2"/>
      <c r="D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row>
    <row r="275" spans="3:52" x14ac:dyDescent="0.25">
      <c r="C275" s="2"/>
      <c r="D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row>
    <row r="276" spans="3:52" x14ac:dyDescent="0.25">
      <c r="C276" s="2"/>
      <c r="D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row>
    <row r="277" spans="3:52" x14ac:dyDescent="0.25">
      <c r="C277" s="2"/>
      <c r="D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row>
    <row r="278" spans="3:52" x14ac:dyDescent="0.25">
      <c r="C278" s="2"/>
      <c r="D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row>
    <row r="279" spans="3:52" x14ac:dyDescent="0.25">
      <c r="C279" s="2"/>
      <c r="D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row>
    <row r="280" spans="3:52" x14ac:dyDescent="0.25">
      <c r="C280" s="2"/>
      <c r="D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row>
    <row r="281" spans="3:52" x14ac:dyDescent="0.25">
      <c r="C281" s="2"/>
      <c r="D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row>
    <row r="282" spans="3:52" x14ac:dyDescent="0.25">
      <c r="C282" s="2"/>
      <c r="D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row>
    <row r="283" spans="3:52" x14ac:dyDescent="0.25">
      <c r="C283" s="2"/>
      <c r="D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row>
    <row r="284" spans="3:52" x14ac:dyDescent="0.25">
      <c r="C284" s="2"/>
      <c r="D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row>
    <row r="285" spans="3:52" x14ac:dyDescent="0.25">
      <c r="C285" s="2"/>
      <c r="D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row>
    <row r="286" spans="3:52" x14ac:dyDescent="0.25">
      <c r="C286" s="2"/>
      <c r="D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row>
    <row r="287" spans="3:52" x14ac:dyDescent="0.25">
      <c r="C287" s="2"/>
      <c r="D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row>
    <row r="288" spans="3:52" x14ac:dyDescent="0.25">
      <c r="C288" s="2"/>
      <c r="D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row>
    <row r="289" spans="3:52" x14ac:dyDescent="0.25">
      <c r="C289" s="2"/>
      <c r="D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row>
    <row r="290" spans="3:52" x14ac:dyDescent="0.25">
      <c r="C290" s="2"/>
      <c r="D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row>
    <row r="291" spans="3:52" x14ac:dyDescent="0.25">
      <c r="C291" s="2"/>
      <c r="D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row>
    <row r="292" spans="3:52" x14ac:dyDescent="0.25">
      <c r="C292" s="2"/>
      <c r="D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row>
    <row r="293" spans="3:52" x14ac:dyDescent="0.25">
      <c r="C293" s="2"/>
      <c r="D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row>
    <row r="294" spans="3:52" x14ac:dyDescent="0.25">
      <c r="C294" s="2"/>
      <c r="D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row>
    <row r="295" spans="3:52" x14ac:dyDescent="0.25">
      <c r="C295" s="2"/>
      <c r="D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row>
    <row r="296" spans="3:52" x14ac:dyDescent="0.25">
      <c r="C296" s="2"/>
      <c r="D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row>
    <row r="297" spans="3:52" x14ac:dyDescent="0.25">
      <c r="C297" s="2"/>
      <c r="D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row>
    <row r="298" spans="3:52" x14ac:dyDescent="0.25">
      <c r="C298" s="2"/>
      <c r="D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row>
    <row r="299" spans="3:52" x14ac:dyDescent="0.25">
      <c r="C299" s="2"/>
      <c r="D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row>
    <row r="300" spans="3:52" x14ac:dyDescent="0.25">
      <c r="C300" s="2"/>
      <c r="D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row>
    <row r="301" spans="3:52" x14ac:dyDescent="0.25">
      <c r="C301" s="2"/>
      <c r="D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row>
    <row r="302" spans="3:52" x14ac:dyDescent="0.25">
      <c r="C302" s="2"/>
      <c r="D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row>
    <row r="303" spans="3:52" x14ac:dyDescent="0.25">
      <c r="C303" s="2"/>
      <c r="D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row>
    <row r="304" spans="3:52" x14ac:dyDescent="0.25">
      <c r="C304" s="2"/>
      <c r="D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row>
    <row r="305" spans="3:52" x14ac:dyDescent="0.25">
      <c r="C305" s="2"/>
      <c r="D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row>
    <row r="306" spans="3:52" x14ac:dyDescent="0.25">
      <c r="C306" s="2"/>
      <c r="D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row>
    <row r="307" spans="3:52" x14ac:dyDescent="0.25">
      <c r="C307" s="2"/>
      <c r="D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row>
    <row r="308" spans="3:52" x14ac:dyDescent="0.25">
      <c r="C308" s="2"/>
      <c r="D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row>
    <row r="309" spans="3:52" x14ac:dyDescent="0.25">
      <c r="C309" s="2"/>
      <c r="D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row>
    <row r="310" spans="3:52" x14ac:dyDescent="0.25">
      <c r="C310" s="2"/>
      <c r="D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row>
    <row r="311" spans="3:52" x14ac:dyDescent="0.25">
      <c r="C311" s="2"/>
      <c r="D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row>
    <row r="312" spans="3:52" x14ac:dyDescent="0.25">
      <c r="C312" s="2"/>
      <c r="D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row>
    <row r="313" spans="3:52" x14ac:dyDescent="0.25">
      <c r="C313" s="2"/>
      <c r="D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row>
    <row r="314" spans="3:52" x14ac:dyDescent="0.25">
      <c r="C314" s="2"/>
      <c r="D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row>
    <row r="315" spans="3:52" x14ac:dyDescent="0.25">
      <c r="C315" s="2"/>
      <c r="D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row>
    <row r="316" spans="3:52" x14ac:dyDescent="0.25">
      <c r="C316" s="2"/>
      <c r="D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row>
    <row r="317" spans="3:52" x14ac:dyDescent="0.25">
      <c r="C317" s="2"/>
      <c r="D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row>
    <row r="318" spans="3:52" x14ac:dyDescent="0.25">
      <c r="C318" s="2"/>
      <c r="D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row>
    <row r="319" spans="3:52" x14ac:dyDescent="0.25">
      <c r="C319" s="2"/>
      <c r="D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row>
    <row r="320" spans="3:52" x14ac:dyDescent="0.25">
      <c r="C320" s="2"/>
      <c r="D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row>
    <row r="321" spans="3:52" x14ac:dyDescent="0.25">
      <c r="C321" s="2"/>
      <c r="D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row>
    <row r="322" spans="3:52" x14ac:dyDescent="0.25">
      <c r="C322" s="2"/>
      <c r="D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row>
    <row r="323" spans="3:52" x14ac:dyDescent="0.25">
      <c r="C323" s="2"/>
      <c r="D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row>
    <row r="324" spans="3:52" x14ac:dyDescent="0.25">
      <c r="C324" s="2"/>
      <c r="D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row>
    <row r="325" spans="3:52" x14ac:dyDescent="0.25">
      <c r="C325" s="2"/>
      <c r="D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row>
    <row r="326" spans="3:52" x14ac:dyDescent="0.25">
      <c r="C326" s="2"/>
      <c r="D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row>
    <row r="327" spans="3:52" x14ac:dyDescent="0.25">
      <c r="C327" s="2"/>
      <c r="D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row>
    <row r="328" spans="3:52" x14ac:dyDescent="0.25">
      <c r="C328" s="2"/>
      <c r="D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row>
    <row r="329" spans="3:52" x14ac:dyDescent="0.25">
      <c r="C329" s="2"/>
      <c r="D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row>
    <row r="330" spans="3:52" x14ac:dyDescent="0.25">
      <c r="C330" s="2"/>
      <c r="D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row>
    <row r="331" spans="3:52" x14ac:dyDescent="0.25">
      <c r="C331" s="2"/>
      <c r="D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row>
    <row r="332" spans="3:52" x14ac:dyDescent="0.25">
      <c r="C332" s="2"/>
      <c r="D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row>
    <row r="333" spans="3:52" x14ac:dyDescent="0.25">
      <c r="C333" s="2"/>
      <c r="D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row>
    <row r="334" spans="3:52" x14ac:dyDescent="0.25">
      <c r="C334" s="2"/>
      <c r="D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row>
    <row r="335" spans="3:52" x14ac:dyDescent="0.25">
      <c r="C335" s="2"/>
      <c r="D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row>
    <row r="336" spans="3:52" x14ac:dyDescent="0.25">
      <c r="C336" s="2"/>
      <c r="D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row>
    <row r="337" spans="3:52" x14ac:dyDescent="0.25">
      <c r="C337" s="2"/>
      <c r="D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row>
    <row r="338" spans="3:52" x14ac:dyDescent="0.25">
      <c r="C338" s="2"/>
      <c r="D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row>
    <row r="339" spans="3:52" x14ac:dyDescent="0.25">
      <c r="C339" s="2"/>
      <c r="D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row>
    <row r="340" spans="3:52" x14ac:dyDescent="0.25">
      <c r="C340" s="2"/>
      <c r="D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row>
    <row r="341" spans="3:52" x14ac:dyDescent="0.25">
      <c r="C341" s="2"/>
      <c r="D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row>
    <row r="342" spans="3:52" x14ac:dyDescent="0.25">
      <c r="C342" s="2"/>
      <c r="D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row>
    <row r="343" spans="3:52" x14ac:dyDescent="0.25">
      <c r="C343" s="2"/>
      <c r="D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row>
    <row r="344" spans="3:52" x14ac:dyDescent="0.25">
      <c r="C344" s="2"/>
      <c r="D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row>
    <row r="345" spans="3:52" x14ac:dyDescent="0.25">
      <c r="C345" s="2"/>
      <c r="D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row>
    <row r="346" spans="3:52" x14ac:dyDescent="0.25">
      <c r="C346" s="2"/>
      <c r="D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row>
    <row r="347" spans="3:52" x14ac:dyDescent="0.25">
      <c r="C347" s="2"/>
      <c r="D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row>
    <row r="348" spans="3:52" x14ac:dyDescent="0.25">
      <c r="C348" s="2"/>
      <c r="D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row>
    <row r="349" spans="3:52" x14ac:dyDescent="0.25">
      <c r="C349" s="2"/>
      <c r="D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row>
    <row r="350" spans="3:52" x14ac:dyDescent="0.25">
      <c r="C350" s="2"/>
      <c r="D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row>
    <row r="351" spans="3:52" x14ac:dyDescent="0.25">
      <c r="C351" s="2"/>
      <c r="D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row>
    <row r="352" spans="3:52" x14ac:dyDescent="0.25">
      <c r="C352" s="2"/>
      <c r="D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row>
    <row r="353" spans="3:52" x14ac:dyDescent="0.25">
      <c r="C353" s="2"/>
      <c r="D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row>
    <row r="354" spans="3:52" x14ac:dyDescent="0.25">
      <c r="C354" s="2"/>
      <c r="D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row>
    <row r="355" spans="3:52" x14ac:dyDescent="0.25">
      <c r="C355" s="2"/>
      <c r="D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row>
    <row r="356" spans="3:52" x14ac:dyDescent="0.25">
      <c r="C356" s="2"/>
      <c r="D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row>
    <row r="357" spans="3:52" x14ac:dyDescent="0.25">
      <c r="C357" s="2"/>
      <c r="D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row>
    <row r="358" spans="3:52" x14ac:dyDescent="0.25">
      <c r="C358" s="2"/>
      <c r="D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row>
    <row r="359" spans="3:52" x14ac:dyDescent="0.25">
      <c r="C359" s="2"/>
      <c r="D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row>
    <row r="360" spans="3:52" x14ac:dyDescent="0.25">
      <c r="C360" s="2"/>
      <c r="D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row>
    <row r="361" spans="3:52" x14ac:dyDescent="0.25">
      <c r="C361" s="2"/>
      <c r="D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row>
    <row r="362" spans="3:52" x14ac:dyDescent="0.25">
      <c r="C362" s="2"/>
      <c r="D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row>
    <row r="363" spans="3:52" x14ac:dyDescent="0.25">
      <c r="C363" s="2"/>
      <c r="D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row>
    <row r="364" spans="3:52" x14ac:dyDescent="0.25">
      <c r="C364" s="2"/>
      <c r="D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row>
    <row r="365" spans="3:52" x14ac:dyDescent="0.25">
      <c r="C365" s="2"/>
      <c r="D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row>
    <row r="366" spans="3:52" x14ac:dyDescent="0.25">
      <c r="C366" s="2"/>
      <c r="D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row>
    <row r="367" spans="3:52" x14ac:dyDescent="0.25">
      <c r="C367" s="2"/>
      <c r="D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row>
    <row r="368" spans="3:52" x14ac:dyDescent="0.25">
      <c r="C368" s="2"/>
      <c r="D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row>
    <row r="369" spans="3:52" x14ac:dyDescent="0.25">
      <c r="C369" s="2"/>
      <c r="D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row>
    <row r="370" spans="3:52" x14ac:dyDescent="0.25">
      <c r="C370" s="2"/>
      <c r="D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row>
    <row r="371" spans="3:52" x14ac:dyDescent="0.25">
      <c r="C371" s="2"/>
      <c r="D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row>
    <row r="372" spans="3:52" x14ac:dyDescent="0.25">
      <c r="C372" s="2"/>
      <c r="D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row>
    <row r="373" spans="3:52" x14ac:dyDescent="0.25">
      <c r="C373" s="2"/>
      <c r="D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row>
    <row r="374" spans="3:52" x14ac:dyDescent="0.25">
      <c r="C374" s="2"/>
      <c r="D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row>
    <row r="375" spans="3:52" x14ac:dyDescent="0.25">
      <c r="C375" s="2"/>
      <c r="D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row>
    <row r="376" spans="3:52" x14ac:dyDescent="0.25">
      <c r="C376" s="2"/>
      <c r="D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row>
    <row r="377" spans="3:52" x14ac:dyDescent="0.25">
      <c r="C377" s="2"/>
      <c r="D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row>
    <row r="378" spans="3:52" x14ac:dyDescent="0.25">
      <c r="C378" s="2"/>
      <c r="D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row>
    <row r="379" spans="3:52" x14ac:dyDescent="0.25">
      <c r="C379" s="2"/>
      <c r="D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row>
    <row r="380" spans="3:52" x14ac:dyDescent="0.25">
      <c r="C380" s="2"/>
      <c r="D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row>
    <row r="381" spans="3:52" x14ac:dyDescent="0.25">
      <c r="C381" s="2"/>
      <c r="D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row>
    <row r="382" spans="3:52" x14ac:dyDescent="0.25">
      <c r="C382" s="2"/>
      <c r="D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row>
    <row r="383" spans="3:52" x14ac:dyDescent="0.25">
      <c r="C383" s="2"/>
      <c r="D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row>
    <row r="384" spans="3:52" x14ac:dyDescent="0.25">
      <c r="C384" s="2"/>
      <c r="D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row>
    <row r="385" spans="3:52" x14ac:dyDescent="0.25">
      <c r="C385" s="2"/>
      <c r="D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row>
    <row r="386" spans="3:52" x14ac:dyDescent="0.25">
      <c r="C386" s="2"/>
      <c r="D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row>
    <row r="387" spans="3:52" x14ac:dyDescent="0.25">
      <c r="C387" s="2"/>
      <c r="D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row>
    <row r="388" spans="3:52" x14ac:dyDescent="0.25">
      <c r="C388" s="2"/>
      <c r="D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row>
    <row r="389" spans="3:52" x14ac:dyDescent="0.25">
      <c r="C389" s="2"/>
      <c r="D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row>
    <row r="390" spans="3:52" x14ac:dyDescent="0.25">
      <c r="C390" s="2"/>
      <c r="D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row>
    <row r="391" spans="3:52" x14ac:dyDescent="0.25">
      <c r="C391" s="2"/>
      <c r="D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row>
    <row r="392" spans="3:52" x14ac:dyDescent="0.25">
      <c r="C392" s="2"/>
      <c r="D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row>
    <row r="393" spans="3:52" x14ac:dyDescent="0.25">
      <c r="C393" s="2"/>
      <c r="D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row>
    <row r="394" spans="3:52" x14ac:dyDescent="0.25">
      <c r="C394" s="2"/>
      <c r="D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row>
    <row r="395" spans="3:52" x14ac:dyDescent="0.25">
      <c r="C395" s="2"/>
      <c r="D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row>
    <row r="396" spans="3:52" x14ac:dyDescent="0.25">
      <c r="C396" s="2"/>
      <c r="D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row>
    <row r="397" spans="3:52" x14ac:dyDescent="0.25">
      <c r="C397" s="2"/>
      <c r="D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row>
    <row r="398" spans="3:52" x14ac:dyDescent="0.25">
      <c r="C398" s="2"/>
      <c r="D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row>
    <row r="399" spans="3:52" x14ac:dyDescent="0.25">
      <c r="C399" s="2"/>
      <c r="D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row>
    <row r="400" spans="3:52" x14ac:dyDescent="0.25">
      <c r="C400" s="2"/>
      <c r="D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row>
    <row r="401" spans="3:52" x14ac:dyDescent="0.25">
      <c r="C401" s="2"/>
      <c r="D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row>
    <row r="402" spans="3:52" x14ac:dyDescent="0.25">
      <c r="C402" s="2"/>
      <c r="D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row>
    <row r="403" spans="3:52" x14ac:dyDescent="0.25">
      <c r="C403" s="2"/>
      <c r="D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row>
    <row r="404" spans="3:52" x14ac:dyDescent="0.25">
      <c r="C404" s="2"/>
      <c r="D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row>
    <row r="405" spans="3:52" x14ac:dyDescent="0.25">
      <c r="C405" s="2"/>
      <c r="D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row>
    <row r="406" spans="3:52" x14ac:dyDescent="0.25">
      <c r="C406" s="2"/>
      <c r="D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row>
    <row r="407" spans="3:52" x14ac:dyDescent="0.25">
      <c r="C407" s="2"/>
      <c r="D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row>
    <row r="408" spans="3:52" x14ac:dyDescent="0.25">
      <c r="C408" s="2"/>
      <c r="D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row>
    <row r="409" spans="3:52" x14ac:dyDescent="0.25">
      <c r="C409" s="2"/>
      <c r="D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row>
    <row r="410" spans="3:52" x14ac:dyDescent="0.25">
      <c r="C410" s="2"/>
      <c r="D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row>
    <row r="411" spans="3:52" x14ac:dyDescent="0.25">
      <c r="C411" s="2"/>
      <c r="D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row>
    <row r="412" spans="3:52" x14ac:dyDescent="0.25">
      <c r="C412" s="2"/>
      <c r="D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row>
    <row r="413" spans="3:52" x14ac:dyDescent="0.25">
      <c r="C413" s="2"/>
      <c r="D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row>
    <row r="414" spans="3:52" x14ac:dyDescent="0.25">
      <c r="C414" s="2"/>
      <c r="D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row>
    <row r="415" spans="3:52" x14ac:dyDescent="0.25">
      <c r="C415" s="2"/>
      <c r="D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row>
    <row r="416" spans="3:52" x14ac:dyDescent="0.25">
      <c r="C416" s="2"/>
      <c r="D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row>
    <row r="417" spans="3:52" x14ac:dyDescent="0.25">
      <c r="C417" s="2"/>
      <c r="D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row>
    <row r="418" spans="3:52" x14ac:dyDescent="0.25">
      <c r="C418" s="2"/>
      <c r="D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row>
    <row r="419" spans="3:52" x14ac:dyDescent="0.25">
      <c r="C419" s="2"/>
      <c r="D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row>
    <row r="420" spans="3:52" x14ac:dyDescent="0.25">
      <c r="C420" s="2"/>
      <c r="D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row>
    <row r="421" spans="3:52" x14ac:dyDescent="0.25">
      <c r="C421" s="2"/>
      <c r="D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row>
    <row r="422" spans="3:52" x14ac:dyDescent="0.25">
      <c r="C422" s="2"/>
      <c r="D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row>
    <row r="423" spans="3:52" x14ac:dyDescent="0.25">
      <c r="C423" s="2"/>
      <c r="D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row>
    <row r="424" spans="3:52" x14ac:dyDescent="0.25">
      <c r="C424" s="2"/>
      <c r="D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row>
    <row r="425" spans="3:52" x14ac:dyDescent="0.25">
      <c r="C425" s="2"/>
      <c r="D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row>
    <row r="426" spans="3:52" x14ac:dyDescent="0.25">
      <c r="C426" s="2"/>
      <c r="D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row>
    <row r="427" spans="3:52" x14ac:dyDescent="0.25">
      <c r="C427" s="2"/>
      <c r="D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row>
    <row r="428" spans="3:52" x14ac:dyDescent="0.25">
      <c r="C428" s="2"/>
      <c r="D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row>
    <row r="429" spans="3:52" x14ac:dyDescent="0.25">
      <c r="C429" s="2"/>
      <c r="D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row>
    <row r="430" spans="3:52" x14ac:dyDescent="0.25">
      <c r="C430" s="2"/>
      <c r="D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row>
    <row r="431" spans="3:52" x14ac:dyDescent="0.25">
      <c r="C431" s="2"/>
      <c r="D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row>
    <row r="432" spans="3:52" x14ac:dyDescent="0.25">
      <c r="C432" s="2"/>
      <c r="D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row>
    <row r="433" spans="3:52" x14ac:dyDescent="0.25">
      <c r="C433" s="2"/>
      <c r="D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row>
    <row r="434" spans="3:52" x14ac:dyDescent="0.25">
      <c r="C434" s="2"/>
      <c r="D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row>
    <row r="435" spans="3:52" x14ac:dyDescent="0.25">
      <c r="C435" s="2"/>
      <c r="D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row>
    <row r="436" spans="3:52" x14ac:dyDescent="0.25">
      <c r="C436" s="2"/>
      <c r="D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row>
    <row r="437" spans="3:52" x14ac:dyDescent="0.25">
      <c r="C437" s="2"/>
      <c r="D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row>
    <row r="438" spans="3:52" x14ac:dyDescent="0.25">
      <c r="C438" s="2"/>
      <c r="D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row>
    <row r="439" spans="3:52" x14ac:dyDescent="0.25">
      <c r="C439" s="2"/>
      <c r="D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row>
    <row r="440" spans="3:52" x14ac:dyDescent="0.25">
      <c r="C440" s="2"/>
      <c r="D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row>
    <row r="441" spans="3:52" x14ac:dyDescent="0.25">
      <c r="C441" s="2"/>
      <c r="D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row>
    <row r="442" spans="3:52" x14ac:dyDescent="0.25">
      <c r="C442" s="2"/>
      <c r="D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row>
    <row r="443" spans="3:52" x14ac:dyDescent="0.25">
      <c r="C443" s="2"/>
      <c r="D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row>
    <row r="444" spans="3:52" x14ac:dyDescent="0.25">
      <c r="C444" s="2"/>
      <c r="D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row>
    <row r="445" spans="3:52" x14ac:dyDescent="0.25">
      <c r="C445" s="2"/>
      <c r="D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row>
    <row r="446" spans="3:52" x14ac:dyDescent="0.25">
      <c r="C446" s="2"/>
      <c r="D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row>
    <row r="447" spans="3:52" x14ac:dyDescent="0.25">
      <c r="C447" s="2"/>
      <c r="D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row>
    <row r="448" spans="3:52" x14ac:dyDescent="0.25">
      <c r="C448" s="2"/>
      <c r="D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row>
    <row r="449" spans="3:52" x14ac:dyDescent="0.25">
      <c r="C449" s="2"/>
      <c r="D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row>
    <row r="450" spans="3:52" x14ac:dyDescent="0.25">
      <c r="C450" s="2"/>
      <c r="D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row>
    <row r="451" spans="3:52" x14ac:dyDescent="0.25">
      <c r="C451" s="2"/>
      <c r="D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row>
    <row r="452" spans="3:52" x14ac:dyDescent="0.25">
      <c r="C452" s="2"/>
      <c r="D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row>
    <row r="453" spans="3:52" x14ac:dyDescent="0.25">
      <c r="C453" s="2"/>
      <c r="D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row>
    <row r="454" spans="3:52" x14ac:dyDescent="0.25">
      <c r="C454" s="2"/>
      <c r="D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row>
    <row r="455" spans="3:52" x14ac:dyDescent="0.25">
      <c r="C455" s="2"/>
      <c r="D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row>
    <row r="456" spans="3:52" x14ac:dyDescent="0.25">
      <c r="C456" s="2"/>
      <c r="D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row>
    <row r="457" spans="3:52" x14ac:dyDescent="0.25">
      <c r="C457" s="2"/>
      <c r="D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row>
    <row r="458" spans="3:52" x14ac:dyDescent="0.25">
      <c r="C458" s="2"/>
      <c r="D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row>
    <row r="459" spans="3:52" x14ac:dyDescent="0.25">
      <c r="C459" s="2"/>
      <c r="D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row>
    <row r="460" spans="3:52" x14ac:dyDescent="0.25">
      <c r="C460" s="2"/>
      <c r="D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row>
    <row r="461" spans="3:52" x14ac:dyDescent="0.25">
      <c r="C461" s="2"/>
      <c r="D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row>
    <row r="462" spans="3:52" x14ac:dyDescent="0.25">
      <c r="C462" s="2"/>
      <c r="D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row>
    <row r="463" spans="3:52" x14ac:dyDescent="0.25">
      <c r="C463" s="2"/>
      <c r="D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row>
    <row r="464" spans="3:52" x14ac:dyDescent="0.25">
      <c r="C464" s="2"/>
      <c r="D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row>
    <row r="465" spans="3:52" x14ac:dyDescent="0.25">
      <c r="C465" s="2"/>
      <c r="D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row>
    <row r="466" spans="3:52" x14ac:dyDescent="0.25">
      <c r="C466" s="2"/>
      <c r="D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row>
    <row r="467" spans="3:52" x14ac:dyDescent="0.25">
      <c r="C467" s="2"/>
      <c r="D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row>
    <row r="468" spans="3:52" x14ac:dyDescent="0.25">
      <c r="C468" s="2"/>
      <c r="D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row>
    <row r="469" spans="3:52" x14ac:dyDescent="0.25">
      <c r="C469" s="2"/>
      <c r="D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row>
    <row r="470" spans="3:52" x14ac:dyDescent="0.25">
      <c r="C470" s="2"/>
      <c r="D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row>
    <row r="471" spans="3:52" x14ac:dyDescent="0.25">
      <c r="C471" s="2"/>
      <c r="D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row>
    <row r="472" spans="3:52" x14ac:dyDescent="0.25">
      <c r="C472" s="2"/>
      <c r="D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row>
    <row r="473" spans="3:52" x14ac:dyDescent="0.25">
      <c r="C473" s="2"/>
      <c r="D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row>
    <row r="474" spans="3:52" x14ac:dyDescent="0.25">
      <c r="C474" s="2"/>
      <c r="D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row>
    <row r="475" spans="3:52" x14ac:dyDescent="0.25">
      <c r="C475" s="2"/>
      <c r="D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row>
    <row r="476" spans="3:52" x14ac:dyDescent="0.25">
      <c r="C476" s="2"/>
      <c r="D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row>
    <row r="477" spans="3:52" x14ac:dyDescent="0.25">
      <c r="C477" s="2"/>
      <c r="D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row>
    <row r="478" spans="3:52" x14ac:dyDescent="0.25">
      <c r="C478" s="2"/>
      <c r="D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row>
    <row r="479" spans="3:52" x14ac:dyDescent="0.25">
      <c r="C479" s="2"/>
      <c r="D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row>
    <row r="480" spans="3:52" x14ac:dyDescent="0.25">
      <c r="C480" s="2"/>
      <c r="D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row>
    <row r="481" spans="3:52" x14ac:dyDescent="0.25">
      <c r="C481" s="2"/>
      <c r="D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row>
    <row r="482" spans="3:52" x14ac:dyDescent="0.25">
      <c r="C482" s="2"/>
      <c r="D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row>
    <row r="483" spans="3:52" x14ac:dyDescent="0.25">
      <c r="C483" s="2"/>
      <c r="D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row>
    <row r="484" spans="3:52" x14ac:dyDescent="0.25">
      <c r="C484" s="2"/>
      <c r="D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row>
    <row r="485" spans="3:52" x14ac:dyDescent="0.25">
      <c r="C485" s="2"/>
      <c r="D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row>
    <row r="486" spans="3:52" x14ac:dyDescent="0.25">
      <c r="C486" s="2"/>
      <c r="D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row>
    <row r="487" spans="3:52" x14ac:dyDescent="0.25">
      <c r="C487" s="2"/>
      <c r="D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row>
    <row r="488" spans="3:52" x14ac:dyDescent="0.25">
      <c r="C488" s="2"/>
      <c r="D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row>
    <row r="489" spans="3:52" x14ac:dyDescent="0.25">
      <c r="C489" s="2"/>
      <c r="D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row>
    <row r="490" spans="3:52" x14ac:dyDescent="0.25">
      <c r="C490" s="2"/>
      <c r="D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row>
    <row r="491" spans="3:52" x14ac:dyDescent="0.25">
      <c r="C491" s="2"/>
      <c r="D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row>
    <row r="492" spans="3:52" x14ac:dyDescent="0.25">
      <c r="C492" s="2"/>
      <c r="D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row>
    <row r="493" spans="3:52" x14ac:dyDescent="0.25">
      <c r="C493" s="2"/>
      <c r="D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row>
    <row r="494" spans="3:52" x14ac:dyDescent="0.25">
      <c r="C494" s="2"/>
      <c r="D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row>
    <row r="495" spans="3:52" x14ac:dyDescent="0.25">
      <c r="C495" s="2"/>
      <c r="D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row>
    <row r="496" spans="3:52" x14ac:dyDescent="0.25">
      <c r="C496" s="2"/>
      <c r="D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row>
    <row r="497" spans="3:52" x14ac:dyDescent="0.25">
      <c r="C497" s="2"/>
      <c r="D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row>
    <row r="498" spans="3:52" x14ac:dyDescent="0.25">
      <c r="C498" s="2"/>
      <c r="D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row>
    <row r="499" spans="3:52" x14ac:dyDescent="0.25">
      <c r="C499" s="2"/>
      <c r="D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row>
    <row r="500" spans="3:52" x14ac:dyDescent="0.25">
      <c r="C500" s="2"/>
      <c r="D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row>
    <row r="501" spans="3:52" x14ac:dyDescent="0.25">
      <c r="C501" s="2"/>
      <c r="D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row>
    <row r="502" spans="3:52" x14ac:dyDescent="0.25">
      <c r="C502" s="2"/>
      <c r="D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row>
    <row r="503" spans="3:52" x14ac:dyDescent="0.25">
      <c r="C503" s="2"/>
      <c r="D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row>
    <row r="504" spans="3:52" x14ac:dyDescent="0.25">
      <c r="C504" s="2"/>
      <c r="D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row>
    <row r="505" spans="3:52" x14ac:dyDescent="0.25">
      <c r="C505" s="2"/>
      <c r="D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row>
    <row r="506" spans="3:52" x14ac:dyDescent="0.25">
      <c r="C506" s="2"/>
      <c r="D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row>
    <row r="507" spans="3:52" x14ac:dyDescent="0.25">
      <c r="C507" s="2"/>
      <c r="D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row>
    <row r="508" spans="3:52" x14ac:dyDescent="0.25">
      <c r="C508" s="2"/>
      <c r="D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row>
    <row r="509" spans="3:52" x14ac:dyDescent="0.25">
      <c r="C509" s="2"/>
      <c r="D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row>
    <row r="510" spans="3:52" x14ac:dyDescent="0.25">
      <c r="C510" s="2"/>
      <c r="D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row>
    <row r="511" spans="3:52" x14ac:dyDescent="0.25">
      <c r="C511" s="2"/>
      <c r="D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row>
    <row r="512" spans="3:52" x14ac:dyDescent="0.25">
      <c r="C512" s="2"/>
      <c r="D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row>
    <row r="513" spans="3:52" x14ac:dyDescent="0.25">
      <c r="C513" s="2"/>
      <c r="D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row>
    <row r="514" spans="3:52" x14ac:dyDescent="0.25">
      <c r="C514" s="2"/>
      <c r="D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row>
    <row r="515" spans="3:52" x14ac:dyDescent="0.25">
      <c r="C515" s="2"/>
      <c r="D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row>
    <row r="516" spans="3:52" x14ac:dyDescent="0.25">
      <c r="C516" s="2"/>
      <c r="D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row>
    <row r="517" spans="3:52" x14ac:dyDescent="0.25">
      <c r="C517" s="2"/>
      <c r="D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row>
    <row r="518" spans="3:52" x14ac:dyDescent="0.25">
      <c r="C518" s="2"/>
      <c r="D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row>
    <row r="519" spans="3:52" x14ac:dyDescent="0.25">
      <c r="C519" s="2"/>
      <c r="D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row>
    <row r="520" spans="3:52" x14ac:dyDescent="0.25">
      <c r="C520" s="2"/>
      <c r="D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row>
    <row r="521" spans="3:52" x14ac:dyDescent="0.25">
      <c r="C521" s="2"/>
      <c r="D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row>
    <row r="522" spans="3:52" x14ac:dyDescent="0.25">
      <c r="C522" s="2"/>
      <c r="D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row>
    <row r="523" spans="3:52" x14ac:dyDescent="0.25">
      <c r="C523" s="2"/>
      <c r="D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row>
    <row r="524" spans="3:52" x14ac:dyDescent="0.25">
      <c r="C524" s="2"/>
      <c r="D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row>
    <row r="525" spans="3:52" x14ac:dyDescent="0.25">
      <c r="C525" s="2"/>
      <c r="D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row>
    <row r="526" spans="3:52" x14ac:dyDescent="0.25">
      <c r="C526" s="2"/>
      <c r="D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row>
    <row r="527" spans="3:52" x14ac:dyDescent="0.25">
      <c r="C527" s="2"/>
      <c r="D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row>
    <row r="528" spans="3:52" x14ac:dyDescent="0.25">
      <c r="C528" s="2"/>
      <c r="D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row>
    <row r="529" spans="3:52" x14ac:dyDescent="0.25">
      <c r="C529" s="2"/>
      <c r="D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row>
    <row r="530" spans="3:52" x14ac:dyDescent="0.25">
      <c r="C530" s="2"/>
      <c r="D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row>
    <row r="531" spans="3:52" x14ac:dyDescent="0.25">
      <c r="C531" s="2"/>
      <c r="D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row>
    <row r="532" spans="3:52" x14ac:dyDescent="0.25">
      <c r="C532" s="2"/>
      <c r="D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row>
    <row r="533" spans="3:52" x14ac:dyDescent="0.25">
      <c r="C533" s="2"/>
      <c r="D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row>
    <row r="534" spans="3:52" x14ac:dyDescent="0.25">
      <c r="C534" s="2"/>
      <c r="D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row>
    <row r="535" spans="3:52" x14ac:dyDescent="0.25">
      <c r="C535" s="2"/>
      <c r="D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row>
    <row r="536" spans="3:52" x14ac:dyDescent="0.25">
      <c r="C536" s="2"/>
      <c r="D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row>
    <row r="537" spans="3:52" x14ac:dyDescent="0.25">
      <c r="C537" s="2"/>
      <c r="D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row>
    <row r="538" spans="3:52" x14ac:dyDescent="0.25">
      <c r="C538" s="2"/>
      <c r="D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row>
    <row r="539" spans="3:52" x14ac:dyDescent="0.25">
      <c r="C539" s="2"/>
      <c r="D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row>
    <row r="540" spans="3:52" x14ac:dyDescent="0.25">
      <c r="C540" s="2"/>
      <c r="D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row>
    <row r="541" spans="3:52" x14ac:dyDescent="0.25">
      <c r="C541" s="2"/>
      <c r="D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row>
    <row r="542" spans="3:52" x14ac:dyDescent="0.25">
      <c r="C542" s="2"/>
      <c r="D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row>
    <row r="543" spans="3:52" x14ac:dyDescent="0.25">
      <c r="C543" s="2"/>
      <c r="D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row>
    <row r="544" spans="3:52" x14ac:dyDescent="0.25">
      <c r="C544" s="2"/>
      <c r="D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row>
    <row r="545" spans="3:52" x14ac:dyDescent="0.25">
      <c r="C545" s="2"/>
      <c r="D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row>
    <row r="546" spans="3:52" x14ac:dyDescent="0.25">
      <c r="C546" s="2"/>
      <c r="D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row>
    <row r="547" spans="3:52" x14ac:dyDescent="0.25">
      <c r="C547" s="2"/>
      <c r="D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row>
    <row r="548" spans="3:52" x14ac:dyDescent="0.25">
      <c r="C548" s="2"/>
      <c r="D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row>
    <row r="549" spans="3:52" x14ac:dyDescent="0.25">
      <c r="C549" s="2"/>
      <c r="D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row>
    <row r="550" spans="3:52" x14ac:dyDescent="0.25">
      <c r="C550" s="2"/>
      <c r="D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row>
    <row r="551" spans="3:52" x14ac:dyDescent="0.25">
      <c r="C551" s="2"/>
      <c r="D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row>
    <row r="552" spans="3:52" x14ac:dyDescent="0.25">
      <c r="C552" s="2"/>
      <c r="D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row>
    <row r="553" spans="3:52" x14ac:dyDescent="0.25">
      <c r="C553" s="2"/>
      <c r="D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row>
    <row r="554" spans="3:52" x14ac:dyDescent="0.25">
      <c r="C554" s="2"/>
      <c r="D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row>
    <row r="555" spans="3:52" x14ac:dyDescent="0.25">
      <c r="C555" s="2"/>
      <c r="D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row>
    <row r="556" spans="3:52" x14ac:dyDescent="0.25">
      <c r="C556" s="2"/>
      <c r="D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row>
    <row r="557" spans="3:52" x14ac:dyDescent="0.25">
      <c r="C557" s="2"/>
      <c r="D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row>
    <row r="558" spans="3:52" x14ac:dyDescent="0.25">
      <c r="C558" s="2"/>
      <c r="D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row>
    <row r="559" spans="3:52" x14ac:dyDescent="0.25">
      <c r="C559" s="2"/>
      <c r="D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row>
    <row r="560" spans="3:52" x14ac:dyDescent="0.25">
      <c r="C560" s="2"/>
      <c r="D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row>
    <row r="561" spans="3:52" x14ac:dyDescent="0.25">
      <c r="C561" s="2"/>
      <c r="D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row>
    <row r="562" spans="3:52" x14ac:dyDescent="0.25">
      <c r="C562" s="2"/>
      <c r="D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row>
    <row r="563" spans="3:52" x14ac:dyDescent="0.25">
      <c r="C563" s="2"/>
      <c r="D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row>
    <row r="564" spans="3:52" x14ac:dyDescent="0.25">
      <c r="C564" s="2"/>
      <c r="D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row>
    <row r="565" spans="3:52" x14ac:dyDescent="0.25">
      <c r="C565" s="2"/>
      <c r="D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row>
    <row r="566" spans="3:52" x14ac:dyDescent="0.25">
      <c r="C566" s="2"/>
      <c r="D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row>
    <row r="567" spans="3:52" x14ac:dyDescent="0.25">
      <c r="C567" s="2"/>
      <c r="D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row>
    <row r="568" spans="3:52" x14ac:dyDescent="0.25">
      <c r="C568" s="2"/>
      <c r="D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row>
    <row r="569" spans="3:52" x14ac:dyDescent="0.25">
      <c r="C569" s="2"/>
      <c r="D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row>
    <row r="570" spans="3:52" x14ac:dyDescent="0.25">
      <c r="C570" s="2"/>
      <c r="D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row>
    <row r="571" spans="3:52" x14ac:dyDescent="0.25">
      <c r="C571" s="2"/>
      <c r="D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row>
    <row r="572" spans="3:52" x14ac:dyDescent="0.25">
      <c r="C572" s="2"/>
      <c r="D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row>
    <row r="573" spans="3:52" x14ac:dyDescent="0.25">
      <c r="C573" s="2"/>
      <c r="D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row>
    <row r="574" spans="3:52" x14ac:dyDescent="0.25">
      <c r="C574" s="2"/>
      <c r="D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row>
    <row r="575" spans="3:52" x14ac:dyDescent="0.25">
      <c r="C575" s="2"/>
      <c r="D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row>
    <row r="576" spans="3:52" x14ac:dyDescent="0.25">
      <c r="C576" s="2"/>
      <c r="D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row>
    <row r="577" spans="3:52" x14ac:dyDescent="0.25">
      <c r="C577" s="2"/>
      <c r="D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row>
    <row r="578" spans="3:52" x14ac:dyDescent="0.25">
      <c r="C578" s="2"/>
      <c r="D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row>
    <row r="579" spans="3:52" x14ac:dyDescent="0.25">
      <c r="C579" s="2"/>
      <c r="D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row>
    <row r="580" spans="3:52" x14ac:dyDescent="0.25">
      <c r="C580" s="2"/>
      <c r="D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row>
    <row r="581" spans="3:52" x14ac:dyDescent="0.25">
      <c r="C581" s="2"/>
      <c r="D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row>
    <row r="582" spans="3:52" x14ac:dyDescent="0.25">
      <c r="C582" s="2"/>
      <c r="D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row>
    <row r="583" spans="3:52" x14ac:dyDescent="0.25">
      <c r="C583" s="2"/>
      <c r="D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row>
    <row r="584" spans="3:52" x14ac:dyDescent="0.25">
      <c r="C584" s="2"/>
      <c r="D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row>
    <row r="585" spans="3:52" x14ac:dyDescent="0.25">
      <c r="C585" s="2"/>
      <c r="D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row>
    <row r="586" spans="3:52" x14ac:dyDescent="0.25">
      <c r="C586" s="2"/>
      <c r="D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row>
    <row r="587" spans="3:52" x14ac:dyDescent="0.25">
      <c r="C587" s="2"/>
      <c r="D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row>
    <row r="588" spans="3:52" x14ac:dyDescent="0.25">
      <c r="C588" s="2"/>
      <c r="D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row>
    <row r="589" spans="3:52" x14ac:dyDescent="0.25">
      <c r="C589" s="2"/>
      <c r="D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row>
    <row r="590" spans="3:52" x14ac:dyDescent="0.25">
      <c r="C590" s="2"/>
      <c r="D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row>
    <row r="591" spans="3:52" x14ac:dyDescent="0.25">
      <c r="C591" s="2"/>
      <c r="D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row>
    <row r="592" spans="3:52" x14ac:dyDescent="0.25">
      <c r="C592" s="2"/>
      <c r="D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row>
    <row r="593" spans="3:52" x14ac:dyDescent="0.25">
      <c r="C593" s="2"/>
      <c r="D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row>
    <row r="594" spans="3:52" x14ac:dyDescent="0.25">
      <c r="C594" s="2"/>
      <c r="D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row>
    <row r="595" spans="3:52" x14ac:dyDescent="0.25">
      <c r="C595" s="2"/>
      <c r="D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row>
    <row r="596" spans="3:52" x14ac:dyDescent="0.25">
      <c r="C596" s="2"/>
      <c r="D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row>
    <row r="597" spans="3:52" x14ac:dyDescent="0.25">
      <c r="C597" s="2"/>
      <c r="D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row>
    <row r="598" spans="3:52" x14ac:dyDescent="0.25">
      <c r="C598" s="2"/>
      <c r="D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row>
    <row r="599" spans="3:52" x14ac:dyDescent="0.25">
      <c r="C599" s="2"/>
      <c r="D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row>
    <row r="600" spans="3:52" x14ac:dyDescent="0.25">
      <c r="C600" s="2"/>
      <c r="D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row>
    <row r="601" spans="3:52" x14ac:dyDescent="0.25">
      <c r="C601" s="2"/>
      <c r="D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row>
    <row r="602" spans="3:52" x14ac:dyDescent="0.25">
      <c r="C602" s="2"/>
      <c r="D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row>
    <row r="603" spans="3:52" x14ac:dyDescent="0.25">
      <c r="C603" s="2"/>
      <c r="D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row>
    <row r="604" spans="3:52" x14ac:dyDescent="0.25">
      <c r="C604" s="2"/>
      <c r="D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row>
    <row r="605" spans="3:52" x14ac:dyDescent="0.25">
      <c r="C605" s="2"/>
      <c r="D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row>
    <row r="606" spans="3:52" x14ac:dyDescent="0.25">
      <c r="C606" s="2"/>
      <c r="D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row>
    <row r="607" spans="3:52" x14ac:dyDescent="0.25">
      <c r="C607" s="2"/>
      <c r="D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row>
    <row r="608" spans="3:52" x14ac:dyDescent="0.25">
      <c r="C608" s="2"/>
      <c r="D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row>
    <row r="609" spans="3:52" x14ac:dyDescent="0.25">
      <c r="C609" s="2"/>
      <c r="D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row>
    <row r="610" spans="3:52" x14ac:dyDescent="0.25">
      <c r="C610" s="2"/>
      <c r="D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row>
    <row r="611" spans="3:52" x14ac:dyDescent="0.25">
      <c r="C611" s="2"/>
      <c r="D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row>
    <row r="612" spans="3:52" x14ac:dyDescent="0.25">
      <c r="C612" s="2"/>
      <c r="D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row>
    <row r="613" spans="3:52" x14ac:dyDescent="0.25">
      <c r="C613" s="2"/>
      <c r="D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row>
    <row r="614" spans="3:52" x14ac:dyDescent="0.25">
      <c r="C614" s="2"/>
      <c r="D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row>
    <row r="615" spans="3:52" x14ac:dyDescent="0.25">
      <c r="C615" s="2"/>
      <c r="D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row>
    <row r="616" spans="3:52" x14ac:dyDescent="0.25">
      <c r="C616" s="2"/>
      <c r="D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row>
    <row r="617" spans="3:52" x14ac:dyDescent="0.25">
      <c r="C617" s="2"/>
      <c r="D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row>
    <row r="618" spans="3:52" x14ac:dyDescent="0.25">
      <c r="C618" s="2"/>
      <c r="D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row>
    <row r="619" spans="3:52" x14ac:dyDescent="0.25">
      <c r="C619" s="2"/>
      <c r="D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row>
    <row r="620" spans="3:52" x14ac:dyDescent="0.25">
      <c r="C620" s="2"/>
      <c r="D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row>
    <row r="621" spans="3:52" x14ac:dyDescent="0.25">
      <c r="C621" s="2"/>
      <c r="D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row>
    <row r="622" spans="3:52" x14ac:dyDescent="0.25">
      <c r="C622" s="2"/>
      <c r="D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row>
    <row r="623" spans="3:52" x14ac:dyDescent="0.25">
      <c r="C623" s="2"/>
      <c r="D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row>
    <row r="624" spans="3:52" x14ac:dyDescent="0.25">
      <c r="C624" s="2"/>
      <c r="D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row>
    <row r="625" spans="3:52" x14ac:dyDescent="0.25">
      <c r="C625" s="2"/>
      <c r="D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row>
    <row r="626" spans="3:52" x14ac:dyDescent="0.25">
      <c r="C626" s="2"/>
      <c r="D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row>
    <row r="627" spans="3:52" x14ac:dyDescent="0.25">
      <c r="C627" s="2"/>
      <c r="D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row>
    <row r="628" spans="3:52" x14ac:dyDescent="0.25">
      <c r="C628" s="2"/>
      <c r="D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row>
    <row r="629" spans="3:52" x14ac:dyDescent="0.25">
      <c r="C629" s="2"/>
      <c r="D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row>
    <row r="630" spans="3:52" x14ac:dyDescent="0.25">
      <c r="C630" s="2"/>
      <c r="D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row>
    <row r="631" spans="3:52" x14ac:dyDescent="0.25">
      <c r="C631" s="2"/>
      <c r="D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row>
    <row r="632" spans="3:52" x14ac:dyDescent="0.25">
      <c r="C632" s="2"/>
      <c r="D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row>
    <row r="633" spans="3:52" x14ac:dyDescent="0.25">
      <c r="C633" s="2"/>
      <c r="D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row>
    <row r="634" spans="3:52" x14ac:dyDescent="0.25">
      <c r="C634" s="2"/>
      <c r="D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row>
    <row r="635" spans="3:52" x14ac:dyDescent="0.25">
      <c r="C635" s="2"/>
      <c r="D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row>
    <row r="636" spans="3:52" x14ac:dyDescent="0.25">
      <c r="C636" s="2"/>
      <c r="D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row>
    <row r="637" spans="3:52" x14ac:dyDescent="0.25">
      <c r="C637" s="2"/>
      <c r="D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row>
    <row r="638" spans="3:52" x14ac:dyDescent="0.25">
      <c r="C638" s="2"/>
      <c r="D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row>
    <row r="639" spans="3:52" x14ac:dyDescent="0.25">
      <c r="C639" s="2"/>
      <c r="D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row>
    <row r="640" spans="3:52" x14ac:dyDescent="0.25">
      <c r="C640" s="2"/>
      <c r="D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row>
    <row r="641" spans="3:52" x14ac:dyDescent="0.25">
      <c r="C641" s="2"/>
      <c r="D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row>
    <row r="642" spans="3:52" x14ac:dyDescent="0.25">
      <c r="C642" s="2"/>
      <c r="D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row>
    <row r="643" spans="3:52" x14ac:dyDescent="0.25">
      <c r="C643" s="2"/>
      <c r="D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row>
    <row r="644" spans="3:52" x14ac:dyDescent="0.25">
      <c r="C644" s="2"/>
      <c r="D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row>
    <row r="645" spans="3:52" x14ac:dyDescent="0.25">
      <c r="C645" s="2"/>
      <c r="D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row>
    <row r="646" spans="3:52" x14ac:dyDescent="0.25">
      <c r="C646" s="2"/>
      <c r="D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row>
    <row r="647" spans="3:52" x14ac:dyDescent="0.25">
      <c r="C647" s="2"/>
      <c r="D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row>
    <row r="648" spans="3:52" x14ac:dyDescent="0.25">
      <c r="C648" s="2"/>
      <c r="D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row>
    <row r="649" spans="3:52" x14ac:dyDescent="0.25">
      <c r="C649" s="2"/>
      <c r="D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row>
    <row r="650" spans="3:52" x14ac:dyDescent="0.25">
      <c r="C650" s="2"/>
      <c r="D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row>
    <row r="651" spans="3:52" x14ac:dyDescent="0.25">
      <c r="C651" s="2"/>
      <c r="D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row>
    <row r="652" spans="3:52" x14ac:dyDescent="0.25">
      <c r="C652" s="2"/>
      <c r="D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row>
    <row r="653" spans="3:52" x14ac:dyDescent="0.25">
      <c r="C653" s="2"/>
      <c r="D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row>
    <row r="654" spans="3:52" x14ac:dyDescent="0.25">
      <c r="C654" s="2"/>
      <c r="D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row>
    <row r="655" spans="3:52" x14ac:dyDescent="0.25">
      <c r="C655" s="2"/>
      <c r="D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row>
    <row r="656" spans="3:52" x14ac:dyDescent="0.25">
      <c r="C656" s="2"/>
      <c r="D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row>
    <row r="657" spans="3:52" x14ac:dyDescent="0.25">
      <c r="C657" s="2"/>
      <c r="D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row>
    <row r="658" spans="3:52" x14ac:dyDescent="0.25">
      <c r="C658" s="2"/>
      <c r="D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row>
    <row r="659" spans="3:52" x14ac:dyDescent="0.25">
      <c r="C659" s="2"/>
      <c r="D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row>
    <row r="660" spans="3:52" x14ac:dyDescent="0.25">
      <c r="C660" s="2"/>
      <c r="D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row>
    <row r="661" spans="3:52" x14ac:dyDescent="0.25">
      <c r="C661" s="2"/>
      <c r="D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row>
    <row r="662" spans="3:52" x14ac:dyDescent="0.25">
      <c r="C662" s="2"/>
      <c r="D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row>
    <row r="663" spans="3:52" x14ac:dyDescent="0.25">
      <c r="C663" s="2"/>
      <c r="D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row>
    <row r="664" spans="3:52" x14ac:dyDescent="0.25">
      <c r="C664" s="2"/>
      <c r="D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row>
    <row r="665" spans="3:52" x14ac:dyDescent="0.25">
      <c r="C665" s="2"/>
      <c r="D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row>
    <row r="666" spans="3:52" x14ac:dyDescent="0.25">
      <c r="C666" s="2"/>
      <c r="D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row>
    <row r="667" spans="3:52" x14ac:dyDescent="0.25">
      <c r="C667" s="2"/>
      <c r="D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row>
    <row r="668" spans="3:52" x14ac:dyDescent="0.25">
      <c r="C668" s="2"/>
      <c r="D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row>
    <row r="669" spans="3:52" x14ac:dyDescent="0.25">
      <c r="C669" s="2"/>
      <c r="D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row>
    <row r="670" spans="3:52" x14ac:dyDescent="0.25">
      <c r="C670" s="2"/>
      <c r="D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row>
    <row r="671" spans="3:52" x14ac:dyDescent="0.25">
      <c r="C671" s="2"/>
      <c r="D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row>
    <row r="672" spans="3:52" x14ac:dyDescent="0.25">
      <c r="C672" s="2"/>
      <c r="D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row>
    <row r="673" spans="3:52" x14ac:dyDescent="0.25">
      <c r="C673" s="2"/>
      <c r="D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row>
    <row r="674" spans="3:52" x14ac:dyDescent="0.25">
      <c r="C674" s="2"/>
      <c r="D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row>
    <row r="675" spans="3:52" x14ac:dyDescent="0.25">
      <c r="C675" s="2"/>
      <c r="D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row>
    <row r="676" spans="3:52" x14ac:dyDescent="0.25">
      <c r="C676" s="2"/>
      <c r="D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row>
    <row r="677" spans="3:52" x14ac:dyDescent="0.25">
      <c r="C677" s="2"/>
      <c r="D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row>
    <row r="678" spans="3:52" x14ac:dyDescent="0.25">
      <c r="C678" s="2"/>
      <c r="D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row>
    <row r="679" spans="3:52" x14ac:dyDescent="0.25">
      <c r="C679" s="2"/>
      <c r="D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row>
    <row r="680" spans="3:52" x14ac:dyDescent="0.25">
      <c r="C680" s="2"/>
      <c r="D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row>
    <row r="681" spans="3:52" x14ac:dyDescent="0.25">
      <c r="C681" s="2"/>
      <c r="D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row>
    <row r="682" spans="3:52" x14ac:dyDescent="0.25">
      <c r="C682" s="2"/>
      <c r="D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row>
    <row r="683" spans="3:52" x14ac:dyDescent="0.25">
      <c r="C683" s="2"/>
      <c r="D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row>
    <row r="684" spans="3:52" x14ac:dyDescent="0.25">
      <c r="C684" s="2"/>
      <c r="D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row>
    <row r="685" spans="3:52" x14ac:dyDescent="0.25">
      <c r="C685" s="2"/>
      <c r="D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row>
    <row r="686" spans="3:52" x14ac:dyDescent="0.25">
      <c r="C686" s="2"/>
      <c r="D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row>
    <row r="687" spans="3:52" x14ac:dyDescent="0.25">
      <c r="C687" s="2"/>
      <c r="D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row>
    <row r="688" spans="3:52" x14ac:dyDescent="0.25">
      <c r="C688" s="2"/>
      <c r="D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row>
    <row r="689" spans="3:52" x14ac:dyDescent="0.25">
      <c r="C689" s="2"/>
      <c r="D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row>
    <row r="690" spans="3:52" x14ac:dyDescent="0.25">
      <c r="C690" s="2"/>
      <c r="D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row>
    <row r="691" spans="3:52" x14ac:dyDescent="0.25">
      <c r="C691" s="2"/>
      <c r="D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row>
    <row r="692" spans="3:52" x14ac:dyDescent="0.25">
      <c r="C692" s="2"/>
      <c r="D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row>
    <row r="693" spans="3:52" x14ac:dyDescent="0.25">
      <c r="C693" s="2"/>
      <c r="D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row>
    <row r="694" spans="3:52" x14ac:dyDescent="0.25">
      <c r="C694" s="2"/>
      <c r="D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row>
    <row r="695" spans="3:52" x14ac:dyDescent="0.25">
      <c r="C695" s="2"/>
      <c r="D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row>
    <row r="696" spans="3:52" x14ac:dyDescent="0.25">
      <c r="C696" s="2"/>
      <c r="D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row>
    <row r="697" spans="3:52" x14ac:dyDescent="0.25">
      <c r="C697" s="2"/>
      <c r="D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row>
    <row r="698" spans="3:52" x14ac:dyDescent="0.25">
      <c r="C698" s="2"/>
      <c r="D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row>
    <row r="699" spans="3:52" x14ac:dyDescent="0.25">
      <c r="C699" s="2"/>
      <c r="D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row>
    <row r="700" spans="3:52" x14ac:dyDescent="0.25">
      <c r="C700" s="2"/>
      <c r="D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row>
    <row r="701" spans="3:52" x14ac:dyDescent="0.25">
      <c r="C701" s="2"/>
      <c r="D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row>
    <row r="702" spans="3:52" x14ac:dyDescent="0.25">
      <c r="C702" s="2"/>
      <c r="D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row>
    <row r="703" spans="3:52" x14ac:dyDescent="0.25">
      <c r="C703" s="2"/>
      <c r="D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row>
    <row r="704" spans="3:52" x14ac:dyDescent="0.25">
      <c r="C704" s="2"/>
      <c r="D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row>
    <row r="705" spans="3:52" x14ac:dyDescent="0.25">
      <c r="C705" s="2"/>
      <c r="D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row>
    <row r="706" spans="3:52" x14ac:dyDescent="0.25">
      <c r="C706" s="2"/>
      <c r="D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row>
    <row r="707" spans="3:52" x14ac:dyDescent="0.25">
      <c r="C707" s="2"/>
      <c r="D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row>
    <row r="708" spans="3:52" x14ac:dyDescent="0.25">
      <c r="C708" s="2"/>
      <c r="D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row>
    <row r="709" spans="3:52" x14ac:dyDescent="0.25">
      <c r="C709" s="2"/>
      <c r="D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row>
    <row r="710" spans="3:52" x14ac:dyDescent="0.25">
      <c r="C710" s="2"/>
      <c r="D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row>
    <row r="711" spans="3:52" x14ac:dyDescent="0.25">
      <c r="C711" s="2"/>
      <c r="D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row>
    <row r="712" spans="3:52" x14ac:dyDescent="0.25">
      <c r="C712" s="2"/>
      <c r="D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row>
    <row r="713" spans="3:52" x14ac:dyDescent="0.25">
      <c r="C713" s="2"/>
      <c r="D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row>
    <row r="714" spans="3:52" x14ac:dyDescent="0.25">
      <c r="C714" s="2"/>
      <c r="D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row>
    <row r="715" spans="3:52" x14ac:dyDescent="0.25">
      <c r="C715" s="2"/>
      <c r="D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row>
    <row r="716" spans="3:52" x14ac:dyDescent="0.25">
      <c r="C716" s="2"/>
      <c r="D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row>
    <row r="717" spans="3:52" x14ac:dyDescent="0.25">
      <c r="C717" s="2"/>
      <c r="D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row>
    <row r="718" spans="3:52" x14ac:dyDescent="0.25">
      <c r="C718" s="2"/>
      <c r="D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row>
    <row r="719" spans="3:52" x14ac:dyDescent="0.25">
      <c r="C719" s="2"/>
      <c r="D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row>
    <row r="720" spans="3:52" x14ac:dyDescent="0.25">
      <c r="C720" s="2"/>
      <c r="D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row>
    <row r="721" spans="3:52" x14ac:dyDescent="0.25">
      <c r="C721" s="2"/>
      <c r="D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row>
    <row r="722" spans="3:52" x14ac:dyDescent="0.25">
      <c r="C722" s="2"/>
      <c r="D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row>
    <row r="723" spans="3:52" x14ac:dyDescent="0.25">
      <c r="C723" s="2"/>
      <c r="D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row>
    <row r="724" spans="3:52" x14ac:dyDescent="0.25">
      <c r="C724" s="2"/>
      <c r="D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row>
    <row r="725" spans="3:52" x14ac:dyDescent="0.25">
      <c r="C725" s="2"/>
      <c r="D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row>
    <row r="726" spans="3:52" x14ac:dyDescent="0.25">
      <c r="C726" s="2"/>
      <c r="D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row>
    <row r="727" spans="3:52" x14ac:dyDescent="0.25">
      <c r="C727" s="2"/>
      <c r="D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row>
    <row r="728" spans="3:52" x14ac:dyDescent="0.25">
      <c r="C728" s="2"/>
      <c r="D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row>
    <row r="729" spans="3:52" x14ac:dyDescent="0.25">
      <c r="C729" s="2"/>
      <c r="D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row>
    <row r="730" spans="3:52" x14ac:dyDescent="0.25">
      <c r="C730" s="2"/>
      <c r="D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row>
    <row r="731" spans="3:52" x14ac:dyDescent="0.25">
      <c r="C731" s="2"/>
      <c r="D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row>
    <row r="732" spans="3:52" x14ac:dyDescent="0.25">
      <c r="C732" s="2"/>
      <c r="D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row>
    <row r="733" spans="3:52" x14ac:dyDescent="0.25">
      <c r="C733" s="2"/>
      <c r="D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row>
    <row r="734" spans="3:52" x14ac:dyDescent="0.25">
      <c r="C734" s="2"/>
      <c r="D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row>
    <row r="735" spans="3:52" x14ac:dyDescent="0.25">
      <c r="C735" s="2"/>
      <c r="D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row>
    <row r="736" spans="3:52" x14ac:dyDescent="0.25">
      <c r="C736" s="2"/>
      <c r="D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row>
    <row r="737" spans="3:52" x14ac:dyDescent="0.25">
      <c r="C737" s="2"/>
      <c r="D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row>
    <row r="738" spans="3:52" x14ac:dyDescent="0.25">
      <c r="C738" s="2"/>
      <c r="D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row>
    <row r="739" spans="3:52" x14ac:dyDescent="0.25">
      <c r="C739" s="2"/>
      <c r="D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row>
    <row r="740" spans="3:52" x14ac:dyDescent="0.25">
      <c r="C740" s="2"/>
      <c r="D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row>
    <row r="741" spans="3:52" x14ac:dyDescent="0.25">
      <c r="C741" s="2"/>
      <c r="D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row>
    <row r="742" spans="3:52" x14ac:dyDescent="0.25">
      <c r="C742" s="2"/>
      <c r="D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row>
    <row r="743" spans="3:52" x14ac:dyDescent="0.25">
      <c r="C743" s="2"/>
      <c r="D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row>
    <row r="744" spans="3:52" x14ac:dyDescent="0.25">
      <c r="C744" s="2"/>
      <c r="D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row>
    <row r="745" spans="3:52" x14ac:dyDescent="0.25">
      <c r="C745" s="2"/>
      <c r="D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row>
    <row r="746" spans="3:52" x14ac:dyDescent="0.25">
      <c r="C746" s="2"/>
      <c r="D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row>
    <row r="747" spans="3:52" x14ac:dyDescent="0.25">
      <c r="C747" s="2"/>
      <c r="D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row>
    <row r="748" spans="3:52" x14ac:dyDescent="0.25">
      <c r="C748" s="2"/>
      <c r="D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row>
    <row r="749" spans="3:52" x14ac:dyDescent="0.25">
      <c r="C749" s="2"/>
      <c r="D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row>
    <row r="750" spans="3:52" x14ac:dyDescent="0.25">
      <c r="C750" s="2"/>
      <c r="D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row>
    <row r="751" spans="3:52" x14ac:dyDescent="0.25">
      <c r="C751" s="2"/>
      <c r="D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row>
    <row r="752" spans="3:52" x14ac:dyDescent="0.25">
      <c r="C752" s="2"/>
      <c r="D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row>
    <row r="753" spans="3:52" x14ac:dyDescent="0.25">
      <c r="C753" s="2"/>
      <c r="D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row>
    <row r="754" spans="3:52" x14ac:dyDescent="0.25">
      <c r="C754" s="2"/>
      <c r="D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row>
    <row r="755" spans="3:52" x14ac:dyDescent="0.25">
      <c r="C755" s="2"/>
      <c r="D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row>
    <row r="756" spans="3:52" x14ac:dyDescent="0.25">
      <c r="C756" s="2"/>
      <c r="D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row>
    <row r="757" spans="3:52" x14ac:dyDescent="0.25">
      <c r="C757" s="2"/>
      <c r="D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row>
    <row r="758" spans="3:52" x14ac:dyDescent="0.25">
      <c r="C758" s="2"/>
      <c r="D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row>
    <row r="759" spans="3:52" x14ac:dyDescent="0.25">
      <c r="C759" s="2"/>
      <c r="D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row>
    <row r="760" spans="3:52" x14ac:dyDescent="0.25">
      <c r="C760" s="2"/>
      <c r="D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row>
    <row r="761" spans="3:52" x14ac:dyDescent="0.25">
      <c r="C761" s="2"/>
      <c r="D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row>
    <row r="762" spans="3:52" x14ac:dyDescent="0.25">
      <c r="C762" s="2"/>
      <c r="D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row>
    <row r="763" spans="3:52" x14ac:dyDescent="0.25">
      <c r="C763" s="2"/>
      <c r="D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row>
    <row r="764" spans="3:52" x14ac:dyDescent="0.25">
      <c r="C764" s="2"/>
      <c r="D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row>
    <row r="765" spans="3:52" x14ac:dyDescent="0.25">
      <c r="C765" s="2"/>
      <c r="D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row>
    <row r="766" spans="3:52" x14ac:dyDescent="0.25">
      <c r="C766" s="2"/>
      <c r="D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row>
    <row r="767" spans="3:52" x14ac:dyDescent="0.25">
      <c r="C767" s="2"/>
      <c r="D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row>
    <row r="768" spans="3:52" x14ac:dyDescent="0.25">
      <c r="C768" s="2"/>
      <c r="D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row>
    <row r="769" spans="3:52" x14ac:dyDescent="0.25">
      <c r="C769" s="2"/>
      <c r="D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row>
    <row r="770" spans="3:52" x14ac:dyDescent="0.25">
      <c r="C770" s="2"/>
      <c r="D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row>
    <row r="771" spans="3:52" x14ac:dyDescent="0.25">
      <c r="C771" s="2"/>
      <c r="D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row>
    <row r="772" spans="3:52" x14ac:dyDescent="0.25">
      <c r="C772" s="2"/>
      <c r="D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row>
    <row r="773" spans="3:52" x14ac:dyDescent="0.25">
      <c r="C773" s="2"/>
      <c r="D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row>
    <row r="774" spans="3:52" x14ac:dyDescent="0.25">
      <c r="C774" s="2"/>
      <c r="D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row>
    <row r="775" spans="3:52" x14ac:dyDescent="0.25">
      <c r="C775" s="2"/>
      <c r="D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row>
    <row r="776" spans="3:52" x14ac:dyDescent="0.25">
      <c r="C776" s="2"/>
      <c r="D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row>
    <row r="777" spans="3:52" x14ac:dyDescent="0.25">
      <c r="C777" s="2"/>
      <c r="D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row>
    <row r="778" spans="3:52" x14ac:dyDescent="0.25">
      <c r="C778" s="2"/>
      <c r="D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row>
    <row r="779" spans="3:52" x14ac:dyDescent="0.25">
      <c r="C779" s="2"/>
      <c r="D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row>
    <row r="780" spans="3:52" x14ac:dyDescent="0.25">
      <c r="C780" s="2"/>
      <c r="D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row>
    <row r="781" spans="3:52" x14ac:dyDescent="0.25">
      <c r="C781" s="2"/>
      <c r="D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row>
    <row r="782" spans="3:52" x14ac:dyDescent="0.25">
      <c r="C782" s="2"/>
      <c r="D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row>
    <row r="783" spans="3:52" x14ac:dyDescent="0.25">
      <c r="C783" s="2"/>
      <c r="D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row>
    <row r="784" spans="3:52" x14ac:dyDescent="0.25">
      <c r="C784" s="2"/>
      <c r="D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row>
    <row r="785" spans="3:52" x14ac:dyDescent="0.25">
      <c r="C785" s="2"/>
      <c r="D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row>
    <row r="786" spans="3:52" x14ac:dyDescent="0.25">
      <c r="C786" s="2"/>
      <c r="D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row>
    <row r="787" spans="3:52" x14ac:dyDescent="0.25">
      <c r="C787" s="2"/>
      <c r="D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row>
    <row r="788" spans="3:52" x14ac:dyDescent="0.25">
      <c r="C788" s="2"/>
      <c r="D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row>
    <row r="789" spans="3:52" x14ac:dyDescent="0.25">
      <c r="C789" s="2"/>
      <c r="D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row>
    <row r="790" spans="3:52" x14ac:dyDescent="0.25">
      <c r="C790" s="2"/>
      <c r="D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row>
    <row r="791" spans="3:52" x14ac:dyDescent="0.25">
      <c r="C791" s="2"/>
      <c r="D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row>
    <row r="792" spans="3:52" x14ac:dyDescent="0.25">
      <c r="C792" s="2"/>
      <c r="D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row>
    <row r="793" spans="3:52" x14ac:dyDescent="0.25">
      <c r="C793" s="2"/>
      <c r="D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row>
    <row r="794" spans="3:52" x14ac:dyDescent="0.25">
      <c r="C794" s="2"/>
      <c r="D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row>
    <row r="795" spans="3:52" x14ac:dyDescent="0.25">
      <c r="C795" s="2"/>
      <c r="D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row>
    <row r="796" spans="3:52" x14ac:dyDescent="0.25">
      <c r="C796" s="2"/>
      <c r="D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row>
    <row r="797" spans="3:52" x14ac:dyDescent="0.25">
      <c r="C797" s="2"/>
      <c r="D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row>
    <row r="798" spans="3:52" x14ac:dyDescent="0.25">
      <c r="C798" s="2"/>
      <c r="D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row>
    <row r="799" spans="3:52" x14ac:dyDescent="0.25">
      <c r="C799" s="2"/>
      <c r="D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row>
    <row r="800" spans="3:52" x14ac:dyDescent="0.25">
      <c r="C800" s="2"/>
      <c r="D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row>
    <row r="801" spans="3:52" x14ac:dyDescent="0.25">
      <c r="C801" s="2"/>
      <c r="D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row>
    <row r="802" spans="3:52" x14ac:dyDescent="0.25">
      <c r="C802" s="2"/>
      <c r="D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row>
    <row r="803" spans="3:52" x14ac:dyDescent="0.25">
      <c r="C803" s="2"/>
      <c r="D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row>
    <row r="804" spans="3:52" x14ac:dyDescent="0.25">
      <c r="C804" s="2"/>
      <c r="D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row>
    <row r="805" spans="3:52" x14ac:dyDescent="0.25">
      <c r="C805" s="2"/>
      <c r="D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row>
    <row r="806" spans="3:52" x14ac:dyDescent="0.25">
      <c r="C806" s="2"/>
      <c r="D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row>
    <row r="807" spans="3:52" x14ac:dyDescent="0.25">
      <c r="C807" s="2"/>
      <c r="D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row>
    <row r="808" spans="3:52" x14ac:dyDescent="0.25">
      <c r="C808" s="2"/>
      <c r="D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row>
    <row r="809" spans="3:52" x14ac:dyDescent="0.25">
      <c r="C809" s="2"/>
      <c r="D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row>
    <row r="810" spans="3:52" x14ac:dyDescent="0.25">
      <c r="C810" s="2"/>
      <c r="D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row>
    <row r="811" spans="3:52" x14ac:dyDescent="0.25">
      <c r="C811" s="2"/>
      <c r="D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row>
    <row r="812" spans="3:52" x14ac:dyDescent="0.25">
      <c r="C812" s="2"/>
      <c r="D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row>
    <row r="813" spans="3:52" x14ac:dyDescent="0.25">
      <c r="C813" s="2"/>
      <c r="D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row>
    <row r="814" spans="3:52" x14ac:dyDescent="0.25">
      <c r="C814" s="2"/>
      <c r="D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row>
    <row r="815" spans="3:52" x14ac:dyDescent="0.25">
      <c r="C815" s="2"/>
      <c r="D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row>
    <row r="816" spans="3:52" x14ac:dyDescent="0.25">
      <c r="C816" s="2"/>
      <c r="D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row>
    <row r="817" spans="3:52" x14ac:dyDescent="0.25">
      <c r="C817" s="2"/>
      <c r="D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row>
    <row r="818" spans="3:52" x14ac:dyDescent="0.25">
      <c r="C818" s="2"/>
      <c r="D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row>
    <row r="819" spans="3:52" x14ac:dyDescent="0.25">
      <c r="C819" s="2"/>
      <c r="D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row>
    <row r="820" spans="3:52" x14ac:dyDescent="0.25">
      <c r="C820" s="2"/>
      <c r="D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row>
    <row r="821" spans="3:52" x14ac:dyDescent="0.25">
      <c r="C821" s="2"/>
      <c r="D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row>
    <row r="822" spans="3:52" x14ac:dyDescent="0.25">
      <c r="C822" s="2"/>
      <c r="D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row>
    <row r="823" spans="3:52" x14ac:dyDescent="0.25">
      <c r="C823" s="2"/>
      <c r="D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row>
    <row r="824" spans="3:52" x14ac:dyDescent="0.25">
      <c r="C824" s="2"/>
      <c r="D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row>
    <row r="825" spans="3:52" x14ac:dyDescent="0.25">
      <c r="C825" s="2"/>
      <c r="D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row>
    <row r="826" spans="3:52" x14ac:dyDescent="0.25">
      <c r="C826" s="2"/>
      <c r="D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row>
    <row r="827" spans="3:52" x14ac:dyDescent="0.25">
      <c r="C827" s="2"/>
      <c r="D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row>
    <row r="828" spans="3:52" x14ac:dyDescent="0.25">
      <c r="C828" s="2"/>
      <c r="D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row>
    <row r="829" spans="3:52" x14ac:dyDescent="0.25">
      <c r="C829" s="2"/>
      <c r="D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row>
    <row r="830" spans="3:52" x14ac:dyDescent="0.25">
      <c r="C830" s="2"/>
      <c r="D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row>
    <row r="831" spans="3:52" x14ac:dyDescent="0.25">
      <c r="C831" s="2"/>
      <c r="D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row>
    <row r="832" spans="3:52" x14ac:dyDescent="0.25">
      <c r="C832" s="2"/>
      <c r="D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row>
    <row r="833" spans="3:52" x14ac:dyDescent="0.25">
      <c r="C833" s="2"/>
      <c r="D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row>
    <row r="834" spans="3:52" x14ac:dyDescent="0.25">
      <c r="C834" s="2"/>
      <c r="D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row>
    <row r="835" spans="3:52" x14ac:dyDescent="0.25">
      <c r="C835" s="2"/>
      <c r="D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row>
    <row r="836" spans="3:52" x14ac:dyDescent="0.25">
      <c r="C836" s="2"/>
      <c r="D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row>
    <row r="837" spans="3:52" x14ac:dyDescent="0.25">
      <c r="C837" s="2"/>
      <c r="D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row>
    <row r="838" spans="3:52" x14ac:dyDescent="0.25">
      <c r="C838" s="2"/>
      <c r="D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row>
    <row r="839" spans="3:52" x14ac:dyDescent="0.25">
      <c r="C839" s="2"/>
      <c r="D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row>
    <row r="840" spans="3:52" x14ac:dyDescent="0.25">
      <c r="C840" s="2"/>
      <c r="D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row>
    <row r="841" spans="3:52" x14ac:dyDescent="0.25">
      <c r="C841" s="2"/>
      <c r="D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row>
    <row r="842" spans="3:52" x14ac:dyDescent="0.25">
      <c r="C842" s="2"/>
      <c r="D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row>
    <row r="843" spans="3:52" x14ac:dyDescent="0.25">
      <c r="C843" s="2"/>
      <c r="D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row>
    <row r="844" spans="3:52" x14ac:dyDescent="0.25">
      <c r="C844" s="2"/>
      <c r="D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row>
    <row r="845" spans="3:52" x14ac:dyDescent="0.25">
      <c r="C845" s="2"/>
      <c r="D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row>
    <row r="846" spans="3:52" x14ac:dyDescent="0.25">
      <c r="C846" s="2"/>
      <c r="D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row>
    <row r="847" spans="3:52" x14ac:dyDescent="0.25">
      <c r="C847" s="2"/>
      <c r="D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row>
    <row r="848" spans="3:52" x14ac:dyDescent="0.25">
      <c r="C848" s="2"/>
      <c r="D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row>
    <row r="849" spans="3:52" x14ac:dyDescent="0.25">
      <c r="C849" s="2"/>
      <c r="D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row>
    <row r="850" spans="3:52" x14ac:dyDescent="0.25">
      <c r="C850" s="2"/>
      <c r="D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row>
    <row r="851" spans="3:52" x14ac:dyDescent="0.25">
      <c r="C851" s="2"/>
      <c r="D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row>
    <row r="852" spans="3:52" x14ac:dyDescent="0.25">
      <c r="C852" s="2"/>
      <c r="D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row>
    <row r="853" spans="3:52" x14ac:dyDescent="0.25">
      <c r="C853" s="2"/>
      <c r="D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row>
    <row r="854" spans="3:52" x14ac:dyDescent="0.25">
      <c r="C854" s="2"/>
      <c r="D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row>
    <row r="855" spans="3:52" x14ac:dyDescent="0.25">
      <c r="C855" s="2"/>
      <c r="D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row>
    <row r="856" spans="3:52" x14ac:dyDescent="0.25">
      <c r="C856" s="2"/>
      <c r="D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row>
    <row r="857" spans="3:52" x14ac:dyDescent="0.25">
      <c r="C857" s="2"/>
      <c r="D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row>
    <row r="858" spans="3:52" x14ac:dyDescent="0.25">
      <c r="C858" s="2"/>
      <c r="D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row>
    <row r="859" spans="3:52" x14ac:dyDescent="0.25">
      <c r="C859" s="2"/>
      <c r="D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row>
    <row r="860" spans="3:52" x14ac:dyDescent="0.25">
      <c r="C860" s="2"/>
      <c r="D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row>
    <row r="861" spans="3:52" x14ac:dyDescent="0.25">
      <c r="C861" s="2"/>
      <c r="D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row>
    <row r="862" spans="3:52" x14ac:dyDescent="0.25">
      <c r="C862" s="2"/>
      <c r="D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row>
    <row r="863" spans="3:52" x14ac:dyDescent="0.25">
      <c r="C863" s="2"/>
      <c r="D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row>
    <row r="864" spans="3:52" x14ac:dyDescent="0.25">
      <c r="C864" s="2"/>
      <c r="D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row>
    <row r="865" spans="3:52" x14ac:dyDescent="0.25">
      <c r="C865" s="2"/>
      <c r="D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row>
    <row r="866" spans="3:52" x14ac:dyDescent="0.25">
      <c r="C866" s="2"/>
      <c r="D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row>
    <row r="867" spans="3:52" x14ac:dyDescent="0.25">
      <c r="C867" s="2"/>
      <c r="D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row>
    <row r="868" spans="3:52" x14ac:dyDescent="0.25">
      <c r="C868" s="2"/>
      <c r="D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row>
    <row r="869" spans="3:52" x14ac:dyDescent="0.25">
      <c r="C869" s="2"/>
      <c r="D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row>
    <row r="870" spans="3:52" x14ac:dyDescent="0.25">
      <c r="C870" s="2"/>
      <c r="D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row>
    <row r="871" spans="3:52" x14ac:dyDescent="0.25">
      <c r="C871" s="2"/>
      <c r="D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row>
    <row r="872" spans="3:52" x14ac:dyDescent="0.25">
      <c r="C872" s="2"/>
      <c r="D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row>
    <row r="873" spans="3:52" x14ac:dyDescent="0.25">
      <c r="C873" s="2"/>
      <c r="D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row>
    <row r="874" spans="3:52" x14ac:dyDescent="0.25">
      <c r="C874" s="2"/>
      <c r="D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row>
    <row r="875" spans="3:52" x14ac:dyDescent="0.25">
      <c r="C875" s="2"/>
      <c r="D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row>
    <row r="876" spans="3:52" x14ac:dyDescent="0.25">
      <c r="C876" s="2"/>
      <c r="D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row>
    <row r="877" spans="3:52" x14ac:dyDescent="0.25">
      <c r="C877" s="2"/>
      <c r="D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row>
    <row r="878" spans="3:52" x14ac:dyDescent="0.25">
      <c r="C878" s="2"/>
      <c r="D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row>
    <row r="879" spans="3:52" x14ac:dyDescent="0.25">
      <c r="C879" s="2"/>
      <c r="D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row>
    <row r="880" spans="3:52" x14ac:dyDescent="0.25">
      <c r="C880" s="2"/>
      <c r="D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row>
    <row r="881" spans="3:52" x14ac:dyDescent="0.25">
      <c r="C881" s="2"/>
      <c r="D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row>
    <row r="882" spans="3:52" x14ac:dyDescent="0.25">
      <c r="C882" s="2"/>
      <c r="D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row>
    <row r="883" spans="3:52" x14ac:dyDescent="0.25">
      <c r="C883" s="2"/>
      <c r="D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row>
    <row r="884" spans="3:52" x14ac:dyDescent="0.25">
      <c r="C884" s="2"/>
      <c r="D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row>
    <row r="885" spans="3:52" x14ac:dyDescent="0.25">
      <c r="C885" s="2"/>
      <c r="D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row>
    <row r="886" spans="3:52" x14ac:dyDescent="0.25">
      <c r="C886" s="2"/>
      <c r="D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row>
    <row r="887" spans="3:52" x14ac:dyDescent="0.25">
      <c r="C887" s="2"/>
      <c r="D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row>
    <row r="888" spans="3:52" x14ac:dyDescent="0.25">
      <c r="C888" s="2"/>
      <c r="D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row>
    <row r="889" spans="3:52" x14ac:dyDescent="0.25">
      <c r="C889" s="2"/>
      <c r="D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row>
    <row r="890" spans="3:52" x14ac:dyDescent="0.25">
      <c r="C890" s="2"/>
      <c r="D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row>
    <row r="891" spans="3:52" x14ac:dyDescent="0.25">
      <c r="C891" s="2"/>
      <c r="D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row>
    <row r="892" spans="3:52" x14ac:dyDescent="0.25">
      <c r="C892" s="2"/>
      <c r="D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row>
    <row r="893" spans="3:52" x14ac:dyDescent="0.25">
      <c r="C893" s="2"/>
      <c r="D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row>
    <row r="894" spans="3:52" x14ac:dyDescent="0.25">
      <c r="C894" s="2"/>
      <c r="D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row>
    <row r="895" spans="3:52" x14ac:dyDescent="0.25">
      <c r="C895" s="2"/>
      <c r="D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row>
    <row r="896" spans="3:52" x14ac:dyDescent="0.25">
      <c r="C896" s="2"/>
      <c r="D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row>
    <row r="897" spans="3:52" x14ac:dyDescent="0.25">
      <c r="C897" s="2"/>
      <c r="D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row>
    <row r="898" spans="3:52" x14ac:dyDescent="0.25">
      <c r="C898" s="2"/>
      <c r="D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row>
    <row r="899" spans="3:52" x14ac:dyDescent="0.25">
      <c r="C899" s="2"/>
      <c r="D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row>
    <row r="900" spans="3:52" x14ac:dyDescent="0.25">
      <c r="C900" s="2"/>
      <c r="D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row>
    <row r="901" spans="3:52" x14ac:dyDescent="0.25">
      <c r="C901" s="2"/>
      <c r="D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row>
    <row r="902" spans="3:52" x14ac:dyDescent="0.25">
      <c r="C902" s="2"/>
      <c r="D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row>
    <row r="903" spans="3:52" x14ac:dyDescent="0.25">
      <c r="C903" s="2"/>
      <c r="D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row>
    <row r="904" spans="3:52" x14ac:dyDescent="0.25">
      <c r="C904" s="2"/>
      <c r="D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row>
    <row r="905" spans="3:52" x14ac:dyDescent="0.25">
      <c r="C905" s="2"/>
      <c r="D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row>
    <row r="906" spans="3:52" x14ac:dyDescent="0.25">
      <c r="C906" s="2"/>
      <c r="D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row>
    <row r="907" spans="3:52" x14ac:dyDescent="0.25">
      <c r="C907" s="2"/>
      <c r="D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row>
    <row r="908" spans="3:52" x14ac:dyDescent="0.25">
      <c r="C908" s="2"/>
      <c r="D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row>
    <row r="909" spans="3:52" x14ac:dyDescent="0.25">
      <c r="C909" s="2"/>
      <c r="D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row>
    <row r="910" spans="3:52" x14ac:dyDescent="0.25">
      <c r="C910" s="2"/>
      <c r="D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row>
    <row r="911" spans="3:52" x14ac:dyDescent="0.25">
      <c r="C911" s="2"/>
      <c r="D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row>
    <row r="912" spans="3:52" x14ac:dyDescent="0.25">
      <c r="C912" s="2"/>
      <c r="D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row>
    <row r="913" spans="3:52" x14ac:dyDescent="0.25">
      <c r="C913" s="2"/>
      <c r="D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row>
    <row r="914" spans="3:52" x14ac:dyDescent="0.25">
      <c r="C914" s="2"/>
      <c r="D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row>
    <row r="915" spans="3:52" x14ac:dyDescent="0.25">
      <c r="C915" s="2"/>
      <c r="D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row>
    <row r="916" spans="3:52" x14ac:dyDescent="0.25">
      <c r="C916" s="2"/>
      <c r="D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row>
    <row r="917" spans="3:52" x14ac:dyDescent="0.25">
      <c r="C917" s="2"/>
      <c r="D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row>
    <row r="918" spans="3:52" x14ac:dyDescent="0.25">
      <c r="C918" s="2"/>
      <c r="D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row>
    <row r="919" spans="3:52" x14ac:dyDescent="0.25">
      <c r="C919" s="2"/>
      <c r="D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row>
    <row r="920" spans="3:52" x14ac:dyDescent="0.25">
      <c r="C920" s="2"/>
      <c r="D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row>
    <row r="921" spans="3:52" x14ac:dyDescent="0.25">
      <c r="C921" s="2"/>
      <c r="D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row>
    <row r="922" spans="3:52" x14ac:dyDescent="0.25">
      <c r="C922" s="2"/>
      <c r="D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row>
    <row r="923" spans="3:52" x14ac:dyDescent="0.25">
      <c r="C923" s="2"/>
      <c r="D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row>
    <row r="924" spans="3:52" x14ac:dyDescent="0.25">
      <c r="C924" s="2"/>
      <c r="D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row>
    <row r="925" spans="3:52" x14ac:dyDescent="0.25">
      <c r="C925" s="2"/>
      <c r="D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row>
    <row r="926" spans="3:52" x14ac:dyDescent="0.25">
      <c r="C926" s="2"/>
      <c r="D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row>
    <row r="927" spans="3:52" x14ac:dyDescent="0.25">
      <c r="C927" s="2"/>
      <c r="D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row>
    <row r="928" spans="3:52" x14ac:dyDescent="0.25">
      <c r="C928" s="2"/>
      <c r="D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row>
    <row r="929" spans="3:52" x14ac:dyDescent="0.25">
      <c r="C929" s="2"/>
      <c r="D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row>
    <row r="930" spans="3:52" x14ac:dyDescent="0.25">
      <c r="C930" s="2"/>
      <c r="D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row>
    <row r="931" spans="3:52" x14ac:dyDescent="0.25">
      <c r="C931" s="2"/>
      <c r="D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row>
    <row r="932" spans="3:52" x14ac:dyDescent="0.25">
      <c r="C932" s="2"/>
      <c r="D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row>
    <row r="933" spans="3:52" x14ac:dyDescent="0.25">
      <c r="C933" s="2"/>
      <c r="D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row>
    <row r="934" spans="3:52" x14ac:dyDescent="0.25">
      <c r="C934" s="2"/>
      <c r="D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row>
    <row r="935" spans="3:52" x14ac:dyDescent="0.25">
      <c r="C935" s="2"/>
      <c r="D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row>
    <row r="936" spans="3:52" x14ac:dyDescent="0.25">
      <c r="C936" s="2"/>
      <c r="D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row>
    <row r="937" spans="3:52" x14ac:dyDescent="0.25">
      <c r="C937" s="2"/>
      <c r="D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row>
    <row r="938" spans="3:52" x14ac:dyDescent="0.25">
      <c r="C938" s="2"/>
      <c r="D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row>
    <row r="939" spans="3:52" x14ac:dyDescent="0.25">
      <c r="C939" s="2"/>
      <c r="D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row>
    <row r="940" spans="3:52" x14ac:dyDescent="0.25">
      <c r="C940" s="2"/>
      <c r="D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row>
    <row r="941" spans="3:52" x14ac:dyDescent="0.25">
      <c r="C941" s="2"/>
      <c r="D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row>
    <row r="942" spans="3:52" x14ac:dyDescent="0.25">
      <c r="C942" s="2"/>
      <c r="D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row>
    <row r="943" spans="3:52" x14ac:dyDescent="0.25">
      <c r="C943" s="2"/>
      <c r="D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row>
    <row r="944" spans="3:52" x14ac:dyDescent="0.25">
      <c r="C944" s="2"/>
      <c r="D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row>
    <row r="945" spans="3:52" x14ac:dyDescent="0.25">
      <c r="C945" s="2"/>
      <c r="D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row>
    <row r="946" spans="3:52" x14ac:dyDescent="0.25">
      <c r="C946" s="2"/>
      <c r="D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row>
    <row r="947" spans="3:52" x14ac:dyDescent="0.25">
      <c r="C947" s="2"/>
      <c r="D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row>
    <row r="948" spans="3:52" x14ac:dyDescent="0.25">
      <c r="C948" s="2"/>
      <c r="D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row>
    <row r="949" spans="3:52" x14ac:dyDescent="0.25">
      <c r="C949" s="2"/>
      <c r="D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row>
    <row r="950" spans="3:52" x14ac:dyDescent="0.25">
      <c r="C950" s="2"/>
      <c r="D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row>
    <row r="951" spans="3:52" x14ac:dyDescent="0.25">
      <c r="C951" s="2"/>
      <c r="D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row>
    <row r="952" spans="3:52" x14ac:dyDescent="0.25">
      <c r="C952" s="2"/>
      <c r="D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row>
    <row r="953" spans="3:52" x14ac:dyDescent="0.25">
      <c r="C953" s="2"/>
      <c r="D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row>
    <row r="954" spans="3:52" x14ac:dyDescent="0.25">
      <c r="C954" s="2"/>
      <c r="D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row>
    <row r="955" spans="3:52" x14ac:dyDescent="0.25">
      <c r="C955" s="2"/>
      <c r="D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row>
    <row r="956" spans="3:52" x14ac:dyDescent="0.25">
      <c r="C956" s="2"/>
      <c r="D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row>
    <row r="957" spans="3:52" x14ac:dyDescent="0.25">
      <c r="C957" s="2"/>
      <c r="D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row>
    <row r="958" spans="3:52" x14ac:dyDescent="0.25">
      <c r="C958" s="2"/>
      <c r="D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row>
    <row r="959" spans="3:52" x14ac:dyDescent="0.25">
      <c r="C959" s="2"/>
      <c r="D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row>
    <row r="960" spans="3:52" x14ac:dyDescent="0.25">
      <c r="C960" s="2"/>
      <c r="D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row>
    <row r="961" spans="3:52" x14ac:dyDescent="0.25">
      <c r="C961" s="2"/>
      <c r="D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row>
    <row r="962" spans="3:52" x14ac:dyDescent="0.25">
      <c r="C962" s="2"/>
      <c r="D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row>
    <row r="963" spans="3:52" x14ac:dyDescent="0.25">
      <c r="C963" s="2"/>
      <c r="D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row>
    <row r="964" spans="3:52" x14ac:dyDescent="0.25">
      <c r="C964" s="2"/>
      <c r="D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row>
    <row r="965" spans="3:52" x14ac:dyDescent="0.25">
      <c r="C965" s="2"/>
      <c r="D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row>
    <row r="966" spans="3:52" x14ac:dyDescent="0.25">
      <c r="C966" s="2"/>
      <c r="D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row>
    <row r="967" spans="3:52" x14ac:dyDescent="0.25">
      <c r="C967" s="2"/>
      <c r="D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row>
    <row r="968" spans="3:52" x14ac:dyDescent="0.25">
      <c r="C968" s="2"/>
      <c r="D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row>
    <row r="969" spans="3:52" x14ac:dyDescent="0.25">
      <c r="C969" s="2"/>
      <c r="D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row>
    <row r="970" spans="3:52" x14ac:dyDescent="0.25">
      <c r="C970" s="2"/>
      <c r="D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row>
    <row r="971" spans="3:52" x14ac:dyDescent="0.25">
      <c r="C971" s="2"/>
      <c r="D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row>
    <row r="972" spans="3:52" x14ac:dyDescent="0.25">
      <c r="C972" s="2"/>
      <c r="D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row>
    <row r="973" spans="3:52" x14ac:dyDescent="0.25">
      <c r="C973" s="2"/>
      <c r="D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row>
    <row r="974" spans="3:52" x14ac:dyDescent="0.25">
      <c r="C974" s="2"/>
      <c r="D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row>
    <row r="975" spans="3:52" x14ac:dyDescent="0.25">
      <c r="C975" s="2"/>
      <c r="D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row>
    <row r="976" spans="3:52" x14ac:dyDescent="0.25">
      <c r="C976" s="2"/>
      <c r="D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row>
    <row r="977" spans="3:52" x14ac:dyDescent="0.25">
      <c r="C977" s="2"/>
      <c r="D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row>
    <row r="978" spans="3:52" x14ac:dyDescent="0.25">
      <c r="C978" s="2"/>
      <c r="D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row>
    <row r="979" spans="3:52" x14ac:dyDescent="0.25">
      <c r="C979" s="2"/>
      <c r="D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row>
    <row r="980" spans="3:52" x14ac:dyDescent="0.25">
      <c r="C980" s="2"/>
      <c r="D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row>
    <row r="981" spans="3:52" x14ac:dyDescent="0.25">
      <c r="C981" s="2"/>
      <c r="D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row>
    <row r="982" spans="3:52" x14ac:dyDescent="0.25">
      <c r="C982" s="2"/>
      <c r="D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row>
    <row r="983" spans="3:52" x14ac:dyDescent="0.25">
      <c r="C983" s="2"/>
      <c r="D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row>
    <row r="984" spans="3:52" x14ac:dyDescent="0.25">
      <c r="C984" s="2"/>
      <c r="D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row>
    <row r="985" spans="3:52" x14ac:dyDescent="0.25">
      <c r="C985" s="2"/>
      <c r="D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row>
    <row r="986" spans="3:52" x14ac:dyDescent="0.25">
      <c r="C986" s="2"/>
      <c r="D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row>
    <row r="987" spans="3:52" x14ac:dyDescent="0.25">
      <c r="C987" s="2"/>
      <c r="D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row>
    <row r="988" spans="3:52" x14ac:dyDescent="0.25">
      <c r="C988" s="2"/>
      <c r="D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row>
    <row r="989" spans="3:52" x14ac:dyDescent="0.25">
      <c r="C989" s="2"/>
      <c r="D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row>
    <row r="990" spans="3:52" x14ac:dyDescent="0.25">
      <c r="C990" s="2"/>
      <c r="D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row>
    <row r="991" spans="3:52" x14ac:dyDescent="0.25">
      <c r="C991" s="2"/>
      <c r="D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row>
    <row r="992" spans="3:52" x14ac:dyDescent="0.25">
      <c r="C992" s="2"/>
      <c r="D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row>
    <row r="993" spans="3:52" x14ac:dyDescent="0.25">
      <c r="C993" s="2"/>
      <c r="D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row>
    <row r="994" spans="3:52" x14ac:dyDescent="0.25">
      <c r="C994" s="2"/>
      <c r="D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row>
    <row r="995" spans="3:52" x14ac:dyDescent="0.25">
      <c r="C995" s="2"/>
      <c r="D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row>
    <row r="996" spans="3:52" x14ac:dyDescent="0.25">
      <c r="C996" s="2"/>
      <c r="D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row>
    <row r="997" spans="3:52" x14ac:dyDescent="0.25">
      <c r="C997" s="2"/>
      <c r="D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row>
    <row r="998" spans="3:52" x14ac:dyDescent="0.25">
      <c r="C998" s="2"/>
      <c r="D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row>
    <row r="999" spans="3:52" x14ac:dyDescent="0.25">
      <c r="C999" s="2"/>
      <c r="D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row>
    <row r="1000" spans="3:52" x14ac:dyDescent="0.25">
      <c r="C1000" s="2"/>
      <c r="D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row>
    <row r="1001" spans="3:52" x14ac:dyDescent="0.25">
      <c r="C1001" s="2"/>
      <c r="D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row>
    <row r="1002" spans="3:52" x14ac:dyDescent="0.25">
      <c r="C1002" s="2"/>
      <c r="D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row>
    <row r="1003" spans="3:52" x14ac:dyDescent="0.25">
      <c r="C1003" s="2"/>
      <c r="D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row>
    <row r="1004" spans="3:52" x14ac:dyDescent="0.25">
      <c r="C1004" s="2"/>
      <c r="D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row>
    <row r="1005" spans="3:52" x14ac:dyDescent="0.25">
      <c r="C1005" s="2"/>
      <c r="D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row>
    <row r="1006" spans="3:52" x14ac:dyDescent="0.25">
      <c r="C1006" s="2"/>
      <c r="D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row>
    <row r="1007" spans="3:52" x14ac:dyDescent="0.25">
      <c r="C1007" s="2"/>
      <c r="D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row>
    <row r="1008" spans="3:52" x14ac:dyDescent="0.25">
      <c r="C1008" s="2"/>
      <c r="D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row>
    <row r="1009" spans="3:52" x14ac:dyDescent="0.25">
      <c r="C1009" s="2"/>
      <c r="D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row>
    <row r="1010" spans="3:52" x14ac:dyDescent="0.25">
      <c r="C1010" s="2"/>
      <c r="D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row>
    <row r="1011" spans="3:52" x14ac:dyDescent="0.25">
      <c r="C1011" s="2"/>
      <c r="D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row>
    <row r="1012" spans="3:52" x14ac:dyDescent="0.25">
      <c r="C1012" s="2"/>
      <c r="D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row>
    <row r="1013" spans="3:52" x14ac:dyDescent="0.25">
      <c r="C1013" s="2"/>
      <c r="D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row>
    <row r="1014" spans="3:52" x14ac:dyDescent="0.25">
      <c r="C1014" s="2"/>
      <c r="D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row>
    <row r="1015" spans="3:52" x14ac:dyDescent="0.25">
      <c r="C1015" s="2"/>
      <c r="D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row>
    <row r="1016" spans="3:52" x14ac:dyDescent="0.25">
      <c r="C1016" s="2"/>
      <c r="D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row>
    <row r="1017" spans="3:52" x14ac:dyDescent="0.25">
      <c r="C1017" s="2"/>
      <c r="D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row>
    <row r="1018" spans="3:52" x14ac:dyDescent="0.25">
      <c r="C1018" s="2"/>
      <c r="D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row>
    <row r="1019" spans="3:52" x14ac:dyDescent="0.25">
      <c r="C1019" s="2"/>
      <c r="D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row>
    <row r="1020" spans="3:52" x14ac:dyDescent="0.25">
      <c r="C1020" s="2"/>
      <c r="D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row>
    <row r="1021" spans="3:52" x14ac:dyDescent="0.25">
      <c r="C1021" s="2"/>
      <c r="D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row>
    <row r="1022" spans="3:52" x14ac:dyDescent="0.25">
      <c r="C1022" s="2"/>
      <c r="D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row>
    <row r="1023" spans="3:52" x14ac:dyDescent="0.25">
      <c r="C1023" s="2"/>
      <c r="D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row>
    <row r="1024" spans="3:52" x14ac:dyDescent="0.25">
      <c r="C1024" s="2"/>
      <c r="D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row>
    <row r="1025" spans="3:52" x14ac:dyDescent="0.25">
      <c r="C1025" s="2"/>
      <c r="D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row>
    <row r="1026" spans="3:52" x14ac:dyDescent="0.25">
      <c r="C1026" s="2"/>
      <c r="D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row>
    <row r="1027" spans="3:52" x14ac:dyDescent="0.25">
      <c r="C1027" s="2"/>
      <c r="D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row>
    <row r="1028" spans="3:52" x14ac:dyDescent="0.25">
      <c r="C1028" s="2"/>
      <c r="D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row>
    <row r="1029" spans="3:52" x14ac:dyDescent="0.25">
      <c r="C1029" s="2"/>
      <c r="D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row>
    <row r="1030" spans="3:52" x14ac:dyDescent="0.25">
      <c r="C1030" s="2"/>
      <c r="D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row>
    <row r="1031" spans="3:52" x14ac:dyDescent="0.25">
      <c r="C1031" s="2"/>
      <c r="D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row>
    <row r="1032" spans="3:52" x14ac:dyDescent="0.25">
      <c r="C1032" s="2"/>
      <c r="D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row>
    <row r="1033" spans="3:52" x14ac:dyDescent="0.25">
      <c r="C1033" s="2"/>
      <c r="D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row>
    <row r="1034" spans="3:52" x14ac:dyDescent="0.25">
      <c r="C1034" s="2"/>
      <c r="D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row>
    <row r="1035" spans="3:52" x14ac:dyDescent="0.25">
      <c r="C1035" s="2"/>
      <c r="D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row>
    <row r="1036" spans="3:52" x14ac:dyDescent="0.25">
      <c r="C1036" s="2"/>
      <c r="D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row>
    <row r="1037" spans="3:52" x14ac:dyDescent="0.25">
      <c r="C1037" s="2"/>
      <c r="D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row>
    <row r="1038" spans="3:52" x14ac:dyDescent="0.25">
      <c r="C1038" s="2"/>
      <c r="D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row>
    <row r="1039" spans="3:52" x14ac:dyDescent="0.25">
      <c r="C1039" s="2"/>
      <c r="D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row>
    <row r="1040" spans="3:52" x14ac:dyDescent="0.25">
      <c r="C1040" s="2"/>
      <c r="D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row>
    <row r="1041" spans="3:52" x14ac:dyDescent="0.25">
      <c r="C1041" s="2"/>
      <c r="D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row>
    <row r="1042" spans="3:52" x14ac:dyDescent="0.25">
      <c r="C1042" s="2"/>
      <c r="D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row>
    <row r="1043" spans="3:52" x14ac:dyDescent="0.25">
      <c r="C1043" s="2"/>
      <c r="D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row>
    <row r="1044" spans="3:52" x14ac:dyDescent="0.25">
      <c r="C1044" s="2"/>
      <c r="D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row>
    <row r="1045" spans="3:52" x14ac:dyDescent="0.25">
      <c r="C1045" s="2"/>
      <c r="D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row>
    <row r="1046" spans="3:52" x14ac:dyDescent="0.25">
      <c r="C1046" s="2"/>
      <c r="D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row>
    <row r="1047" spans="3:52" x14ac:dyDescent="0.25">
      <c r="C1047" s="2"/>
      <c r="D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row>
    <row r="1048" spans="3:52" x14ac:dyDescent="0.25">
      <c r="C1048" s="2"/>
      <c r="D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row>
    <row r="1049" spans="3:52" x14ac:dyDescent="0.25">
      <c r="C1049" s="2"/>
      <c r="D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row>
    <row r="1050" spans="3:52" x14ac:dyDescent="0.25">
      <c r="C1050" s="2"/>
      <c r="D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row>
    <row r="1051" spans="3:52" x14ac:dyDescent="0.25">
      <c r="C1051" s="2"/>
      <c r="D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row>
    <row r="1052" spans="3:52" x14ac:dyDescent="0.25">
      <c r="C1052" s="2"/>
      <c r="D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row>
    <row r="1053" spans="3:52" x14ac:dyDescent="0.25">
      <c r="C1053" s="2"/>
      <c r="D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row>
    <row r="1054" spans="3:52" x14ac:dyDescent="0.25">
      <c r="C1054" s="2"/>
      <c r="D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row>
    <row r="1055" spans="3:52" x14ac:dyDescent="0.25">
      <c r="C1055" s="2"/>
      <c r="D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row>
    <row r="1056" spans="3:52" x14ac:dyDescent="0.25">
      <c r="C1056" s="2"/>
      <c r="D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row>
    <row r="1057" spans="3:52" x14ac:dyDescent="0.25">
      <c r="C1057" s="2"/>
      <c r="D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row>
    <row r="1058" spans="3:52" x14ac:dyDescent="0.25">
      <c r="C1058" s="2"/>
      <c r="D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row>
    <row r="1059" spans="3:52" x14ac:dyDescent="0.25">
      <c r="C1059" s="2"/>
      <c r="D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row>
    <row r="1060" spans="3:52" x14ac:dyDescent="0.25">
      <c r="C1060" s="2"/>
      <c r="D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row>
    <row r="1061" spans="3:52" x14ac:dyDescent="0.25">
      <c r="C1061" s="2"/>
      <c r="D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row>
    <row r="1062" spans="3:52" x14ac:dyDescent="0.25">
      <c r="C1062" s="2"/>
      <c r="D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row>
    <row r="1063" spans="3:52" x14ac:dyDescent="0.25">
      <c r="C1063" s="2"/>
      <c r="D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row>
    <row r="1064" spans="3:52" x14ac:dyDescent="0.25">
      <c r="C1064" s="2"/>
      <c r="D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row>
    <row r="1065" spans="3:52" x14ac:dyDescent="0.25">
      <c r="C1065" s="2"/>
      <c r="D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row>
    <row r="1066" spans="3:52" x14ac:dyDescent="0.25">
      <c r="C1066" s="2"/>
      <c r="D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row>
    <row r="1067" spans="3:52" x14ac:dyDescent="0.25">
      <c r="C1067" s="2"/>
      <c r="D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row>
    <row r="1068" spans="3:52" x14ac:dyDescent="0.25">
      <c r="C1068" s="2"/>
      <c r="D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row>
    <row r="1069" spans="3:52" x14ac:dyDescent="0.25">
      <c r="C1069" s="2"/>
      <c r="D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row>
    <row r="1070" spans="3:52" x14ac:dyDescent="0.25">
      <c r="C1070" s="2"/>
      <c r="D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row>
    <row r="1071" spans="3:52" x14ac:dyDescent="0.25">
      <c r="C1071" s="2"/>
      <c r="D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row>
    <row r="1072" spans="3:52" x14ac:dyDescent="0.25">
      <c r="C1072" s="2"/>
      <c r="D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row>
    <row r="1073" spans="3:52" x14ac:dyDescent="0.25">
      <c r="C1073" s="2"/>
      <c r="D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row>
    <row r="1074" spans="3:52" x14ac:dyDescent="0.25">
      <c r="C1074" s="2"/>
      <c r="D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row>
    <row r="1075" spans="3:52" x14ac:dyDescent="0.25">
      <c r="C1075" s="2"/>
      <c r="D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row>
    <row r="1076" spans="3:52" x14ac:dyDescent="0.25">
      <c r="C1076" s="2"/>
      <c r="D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row>
    <row r="1077" spans="3:52" x14ac:dyDescent="0.25">
      <c r="C1077" s="2"/>
      <c r="D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row>
    <row r="1078" spans="3:52" x14ac:dyDescent="0.25">
      <c r="C1078" s="2"/>
      <c r="D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row>
    <row r="1079" spans="3:52" x14ac:dyDescent="0.25">
      <c r="C1079" s="2"/>
      <c r="D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row>
    <row r="1080" spans="3:52" x14ac:dyDescent="0.25">
      <c r="C1080" s="2"/>
      <c r="D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row>
    <row r="1081" spans="3:52" x14ac:dyDescent="0.25">
      <c r="C1081" s="2"/>
      <c r="D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row>
    <row r="1082" spans="3:52" x14ac:dyDescent="0.25">
      <c r="C1082" s="2"/>
      <c r="D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row>
    <row r="1083" spans="3:52" x14ac:dyDescent="0.25">
      <c r="C1083" s="2"/>
      <c r="D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row>
    <row r="1084" spans="3:52" x14ac:dyDescent="0.25">
      <c r="C1084" s="2"/>
      <c r="D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row>
    <row r="1085" spans="3:52" x14ac:dyDescent="0.25">
      <c r="C1085" s="2"/>
      <c r="D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row>
    <row r="1086" spans="3:52" x14ac:dyDescent="0.25">
      <c r="C1086" s="2"/>
      <c r="D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row>
    <row r="1087" spans="3:52" x14ac:dyDescent="0.25">
      <c r="C1087" s="2"/>
      <c r="D1087" s="2"/>
    </row>
  </sheetData>
  <pageMargins left="0.7" right="0.7" top="0.75" bottom="0.75" header="0.3" footer="0.3"/>
  <pageSetup scale="45"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BF1094"/>
  <sheetViews>
    <sheetView workbookViewId="0"/>
  </sheetViews>
  <sheetFormatPr defaultColWidth="9.140625" defaultRowHeight="15" x14ac:dyDescent="0.25"/>
  <cols>
    <col min="1" max="1" width="29.7109375" style="6" customWidth="1"/>
    <col min="2" max="3" width="11.28515625" style="7" customWidth="1"/>
    <col min="4" max="4" width="11.28515625" style="17" customWidth="1"/>
    <col min="5" max="5" width="11.28515625" style="18" customWidth="1"/>
    <col min="6" max="13" width="11.28515625" style="17" customWidth="1"/>
    <col min="14" max="20" width="11.28515625" style="7" customWidth="1"/>
    <col min="21" max="26" width="10.7109375" style="7" customWidth="1"/>
    <col min="27" max="58" width="9.140625" style="7"/>
    <col min="59" max="16384" width="9.140625" style="2"/>
  </cols>
  <sheetData>
    <row r="1" spans="1:58" x14ac:dyDescent="0.25">
      <c r="A1" s="4" t="str">
        <f>Inputs!A1</f>
        <v>Pfizer</v>
      </c>
      <c r="B1" s="2"/>
      <c r="C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row>
    <row r="2" spans="1:58" x14ac:dyDescent="0.25">
      <c r="A2" s="5" t="s">
        <v>128</v>
      </c>
      <c r="B2" s="2"/>
      <c r="C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row>
    <row r="4" spans="1:58" s="81" customFormat="1" ht="15.75" thickBot="1" x14ac:dyDescent="0.3">
      <c r="A4" s="80" t="str">
        <f>CONCATENATE("Fiscal Years Ending ",Inputs!B7)</f>
        <v>Fiscal Years Ending Dec. 31</v>
      </c>
      <c r="B4" s="81">
        <v>2012</v>
      </c>
      <c r="C4" s="81">
        <v>2013</v>
      </c>
      <c r="D4" s="81">
        <v>2014</v>
      </c>
      <c r="E4" s="81">
        <v>2015</v>
      </c>
      <c r="F4" s="81">
        <v>2016</v>
      </c>
      <c r="G4" s="81">
        <v>2017</v>
      </c>
      <c r="H4" s="81">
        <v>2018</v>
      </c>
      <c r="I4" s="81">
        <v>2019</v>
      </c>
      <c r="J4" s="81">
        <v>2020</v>
      </c>
      <c r="K4" s="81">
        <v>2021</v>
      </c>
      <c r="L4" s="81">
        <v>2022</v>
      </c>
      <c r="M4" s="81" t="s">
        <v>28</v>
      </c>
      <c r="N4" s="81" t="s">
        <v>29</v>
      </c>
      <c r="O4" s="81" t="s">
        <v>30</v>
      </c>
      <c r="P4" s="81" t="s">
        <v>31</v>
      </c>
      <c r="Q4" s="81" t="s">
        <v>32</v>
      </c>
      <c r="R4" s="81" t="s">
        <v>33</v>
      </c>
      <c r="S4" s="81" t="s">
        <v>34</v>
      </c>
      <c r="T4" s="81" t="s">
        <v>35</v>
      </c>
      <c r="U4" s="81" t="s">
        <v>36</v>
      </c>
      <c r="V4" s="81" t="s">
        <v>37</v>
      </c>
    </row>
    <row r="5" spans="1:58" s="9" customFormat="1" x14ac:dyDescent="0.25">
      <c r="A5" s="156" t="s">
        <v>129</v>
      </c>
      <c r="F5" s="157" t="s">
        <v>130</v>
      </c>
      <c r="G5" s="157" t="s">
        <v>131</v>
      </c>
      <c r="H5" s="157" t="s">
        <v>132</v>
      </c>
      <c r="I5" s="157" t="s">
        <v>133</v>
      </c>
      <c r="J5" s="157" t="s">
        <v>134</v>
      </c>
      <c r="K5" s="157" t="s">
        <v>135</v>
      </c>
      <c r="L5" s="157" t="s">
        <v>136</v>
      </c>
      <c r="M5" s="157" t="s">
        <v>137</v>
      </c>
      <c r="N5" s="157" t="s">
        <v>138</v>
      </c>
      <c r="O5" s="157" t="s">
        <v>139</v>
      </c>
      <c r="P5" s="157" t="s">
        <v>140</v>
      </c>
      <c r="Q5" s="157" t="s">
        <v>141</v>
      </c>
      <c r="R5" s="157" t="s">
        <v>142</v>
      </c>
      <c r="S5" s="157" t="s">
        <v>143</v>
      </c>
      <c r="T5" s="157" t="s">
        <v>144</v>
      </c>
    </row>
    <row r="6" spans="1:58" s="9" customFormat="1" x14ac:dyDescent="0.25">
      <c r="A6" s="156" t="s">
        <v>145</v>
      </c>
      <c r="F6" s="157" t="s">
        <v>146</v>
      </c>
      <c r="G6" s="157" t="s">
        <v>146</v>
      </c>
      <c r="H6" s="157" t="s">
        <v>146</v>
      </c>
      <c r="I6" s="157" t="s">
        <v>146</v>
      </c>
      <c r="J6" s="157" t="s">
        <v>146</v>
      </c>
      <c r="K6" s="157" t="s">
        <v>146</v>
      </c>
      <c r="L6" s="157" t="s">
        <v>146</v>
      </c>
      <c r="M6" s="157" t="s">
        <v>146</v>
      </c>
      <c r="N6" s="157" t="s">
        <v>146</v>
      </c>
      <c r="O6" s="157" t="s">
        <v>146</v>
      </c>
      <c r="P6" s="157" t="s">
        <v>146</v>
      </c>
      <c r="Q6" s="157" t="s">
        <v>146</v>
      </c>
      <c r="R6" s="157" t="s">
        <v>146</v>
      </c>
      <c r="S6" s="157" t="s">
        <v>146</v>
      </c>
      <c r="T6" s="157" t="s">
        <v>146</v>
      </c>
    </row>
    <row r="7" spans="1:58" s="9" customFormat="1" ht="30" x14ac:dyDescent="0.25">
      <c r="A7" s="156" t="s">
        <v>147</v>
      </c>
      <c r="F7" s="157" t="s">
        <v>148</v>
      </c>
      <c r="G7" s="157" t="s">
        <v>148</v>
      </c>
      <c r="H7" s="157" t="s">
        <v>148</v>
      </c>
      <c r="I7" s="157" t="s">
        <v>148</v>
      </c>
      <c r="J7" s="157" t="s">
        <v>148</v>
      </c>
      <c r="K7" s="157" t="s">
        <v>148</v>
      </c>
      <c r="L7" s="157" t="s">
        <v>148</v>
      </c>
      <c r="M7" s="157" t="s">
        <v>148</v>
      </c>
      <c r="N7" s="157" t="s">
        <v>148</v>
      </c>
      <c r="O7" s="157" t="s">
        <v>148</v>
      </c>
      <c r="P7" s="157" t="s">
        <v>148</v>
      </c>
      <c r="Q7" s="157" t="s">
        <v>148</v>
      </c>
      <c r="R7" s="157" t="s">
        <v>148</v>
      </c>
      <c r="S7" s="157" t="s">
        <v>148</v>
      </c>
      <c r="T7" s="157" t="s">
        <v>148</v>
      </c>
    </row>
    <row r="8" spans="1:58" s="9" customFormat="1" x14ac:dyDescent="0.25">
      <c r="A8" s="156" t="s">
        <v>149</v>
      </c>
      <c r="F8" s="157" t="s">
        <v>150</v>
      </c>
      <c r="G8" s="157" t="s">
        <v>150</v>
      </c>
      <c r="H8" s="157" t="s">
        <v>150</v>
      </c>
      <c r="I8" s="157" t="s">
        <v>150</v>
      </c>
      <c r="J8" s="157" t="s">
        <v>150</v>
      </c>
      <c r="K8" s="157" t="s">
        <v>150</v>
      </c>
      <c r="L8" s="157" t="s">
        <v>150</v>
      </c>
      <c r="M8" s="157" t="s">
        <v>150</v>
      </c>
      <c r="N8" s="157" t="s">
        <v>150</v>
      </c>
      <c r="O8" s="157" t="s">
        <v>150</v>
      </c>
      <c r="P8" s="157" t="s">
        <v>150</v>
      </c>
      <c r="Q8" s="157" t="s">
        <v>150</v>
      </c>
      <c r="R8" s="157" t="s">
        <v>150</v>
      </c>
      <c r="S8" s="157" t="s">
        <v>150</v>
      </c>
      <c r="T8" s="157" t="s">
        <v>150</v>
      </c>
    </row>
    <row r="9" spans="1:58" s="9" customFormat="1" x14ac:dyDescent="0.25">
      <c r="A9" s="156" t="s">
        <v>151</v>
      </c>
      <c r="F9" s="157" t="s">
        <v>152</v>
      </c>
      <c r="G9" s="157" t="s">
        <v>152</v>
      </c>
      <c r="H9" s="157" t="s">
        <v>152</v>
      </c>
      <c r="I9" s="157" t="s">
        <v>152</v>
      </c>
      <c r="J9" s="157" t="s">
        <v>152</v>
      </c>
      <c r="K9" s="157" t="s">
        <v>152</v>
      </c>
      <c r="L9" s="157" t="s">
        <v>152</v>
      </c>
      <c r="M9" s="157" t="s">
        <v>152</v>
      </c>
      <c r="N9" s="157" t="s">
        <v>152</v>
      </c>
      <c r="O9" s="157" t="s">
        <v>152</v>
      </c>
      <c r="P9" s="157" t="s">
        <v>152</v>
      </c>
      <c r="Q9" s="157" t="s">
        <v>152</v>
      </c>
      <c r="R9" s="157" t="s">
        <v>152</v>
      </c>
      <c r="S9" s="157" t="s">
        <v>152</v>
      </c>
      <c r="T9" s="157" t="s">
        <v>152</v>
      </c>
    </row>
    <row r="10" spans="1:58" s="9" customFormat="1" x14ac:dyDescent="0.25">
      <c r="A10" s="158" t="s">
        <v>153</v>
      </c>
      <c r="F10" s="188">
        <v>52824</v>
      </c>
      <c r="G10" s="188">
        <v>52546</v>
      </c>
      <c r="H10" s="188">
        <v>53647</v>
      </c>
      <c r="I10" s="188">
        <v>51750</v>
      </c>
      <c r="J10" s="188">
        <v>41908</v>
      </c>
      <c r="K10" s="188">
        <v>81288</v>
      </c>
      <c r="L10" s="188">
        <v>100330</v>
      </c>
      <c r="M10" s="158"/>
      <c r="N10" s="158"/>
      <c r="O10" s="158"/>
      <c r="P10" s="158"/>
      <c r="Q10" s="158"/>
      <c r="R10" s="158"/>
      <c r="S10" s="158"/>
      <c r="T10" s="158"/>
    </row>
    <row r="11" spans="1:58" x14ac:dyDescent="0.25">
      <c r="A11" s="158" t="s">
        <v>154</v>
      </c>
      <c r="F11" s="188">
        <v>12329</v>
      </c>
      <c r="G11" s="188">
        <v>11240</v>
      </c>
      <c r="H11" s="188">
        <v>11248</v>
      </c>
      <c r="I11" s="188">
        <v>10219</v>
      </c>
      <c r="J11" s="188">
        <v>8692</v>
      </c>
      <c r="K11" s="188">
        <v>30821</v>
      </c>
      <c r="L11" s="188">
        <v>34344</v>
      </c>
      <c r="M11" s="158"/>
      <c r="N11" s="158"/>
      <c r="O11" s="158"/>
      <c r="P11" s="158"/>
      <c r="Q11" s="158"/>
      <c r="R11" s="158"/>
      <c r="S11" s="158"/>
      <c r="T11" s="158"/>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row>
    <row r="12" spans="1:58" x14ac:dyDescent="0.25">
      <c r="A12" s="158" t="s">
        <v>155</v>
      </c>
      <c r="F12" s="188">
        <v>14837</v>
      </c>
      <c r="G12" s="188">
        <v>14784</v>
      </c>
      <c r="H12" s="188">
        <v>14455</v>
      </c>
      <c r="I12" s="188">
        <v>14350</v>
      </c>
      <c r="J12" s="188">
        <v>11615</v>
      </c>
      <c r="K12" s="188">
        <v>12703</v>
      </c>
      <c r="L12" s="188">
        <v>13677</v>
      </c>
      <c r="M12" s="158"/>
      <c r="N12" s="158"/>
      <c r="O12" s="158"/>
      <c r="P12" s="158"/>
      <c r="Q12" s="158"/>
      <c r="R12" s="158"/>
      <c r="S12" s="158"/>
      <c r="T12" s="158"/>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row>
    <row r="13" spans="1:58" s="1" customFormat="1" x14ac:dyDescent="0.25">
      <c r="A13" s="158" t="s">
        <v>156</v>
      </c>
      <c r="F13" s="188">
        <v>7872</v>
      </c>
      <c r="G13" s="188">
        <v>7657</v>
      </c>
      <c r="H13" s="188">
        <v>8006</v>
      </c>
      <c r="I13" s="188">
        <v>8650</v>
      </c>
      <c r="J13" s="188">
        <v>9405</v>
      </c>
      <c r="K13" s="188">
        <v>13829</v>
      </c>
      <c r="L13" s="188">
        <v>11428</v>
      </c>
      <c r="M13" s="158"/>
      <c r="N13" s="158"/>
      <c r="O13" s="158"/>
      <c r="P13" s="158"/>
      <c r="Q13" s="158"/>
      <c r="R13" s="158"/>
      <c r="S13" s="158"/>
      <c r="T13" s="158"/>
    </row>
    <row r="14" spans="1:58" s="1" customFormat="1" x14ac:dyDescent="0.25">
      <c r="A14" s="158" t="s">
        <v>157</v>
      </c>
      <c r="F14" s="189" t="s">
        <v>54</v>
      </c>
      <c r="G14" s="189" t="s">
        <v>54</v>
      </c>
      <c r="H14" s="189" t="s">
        <v>54</v>
      </c>
      <c r="I14" s="189" t="s">
        <v>54</v>
      </c>
      <c r="J14" s="189" t="s">
        <v>54</v>
      </c>
      <c r="K14" s="189" t="s">
        <v>54</v>
      </c>
      <c r="L14" s="188">
        <v>953</v>
      </c>
      <c r="M14" s="158"/>
      <c r="N14" s="158"/>
    </row>
    <row r="15" spans="1:58" s="1" customFormat="1" x14ac:dyDescent="0.25">
      <c r="A15" s="158" t="s">
        <v>158</v>
      </c>
      <c r="F15" s="188">
        <v>4056</v>
      </c>
      <c r="G15" s="188">
        <v>4758</v>
      </c>
      <c r="H15" s="188">
        <v>4893</v>
      </c>
      <c r="I15" s="188">
        <v>4610</v>
      </c>
      <c r="J15" s="188">
        <v>3436</v>
      </c>
      <c r="K15" s="188">
        <v>3700</v>
      </c>
      <c r="L15" s="188">
        <v>3609</v>
      </c>
      <c r="M15" s="158"/>
      <c r="N15" s="158"/>
    </row>
    <row r="16" spans="1:58" x14ac:dyDescent="0.25">
      <c r="A16" s="158" t="s">
        <v>159</v>
      </c>
      <c r="F16" s="188">
        <v>1724</v>
      </c>
      <c r="G16" s="188">
        <v>487</v>
      </c>
      <c r="H16" s="188">
        <v>1044</v>
      </c>
      <c r="I16" s="188">
        <v>747</v>
      </c>
      <c r="J16" s="188">
        <v>600</v>
      </c>
      <c r="K16" s="188">
        <v>802</v>
      </c>
      <c r="L16" s="188">
        <v>1375</v>
      </c>
      <c r="M16" s="158"/>
      <c r="N16" s="158"/>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row>
    <row r="17" spans="1:14" s="1" customFormat="1" x14ac:dyDescent="0.25">
      <c r="A17" s="158" t="s">
        <v>160</v>
      </c>
      <c r="F17" s="189" t="s">
        <v>54</v>
      </c>
      <c r="G17" s="189" t="s">
        <v>54</v>
      </c>
      <c r="H17" s="189" t="s">
        <v>54</v>
      </c>
      <c r="I17" s="188">
        <v>8086</v>
      </c>
      <c r="J17" s="188">
        <v>6</v>
      </c>
      <c r="K17" s="189" t="s">
        <v>54</v>
      </c>
      <c r="L17" s="189" t="s">
        <v>54</v>
      </c>
      <c r="M17" s="158"/>
      <c r="N17" s="158"/>
    </row>
    <row r="18" spans="1:14" s="1" customFormat="1" x14ac:dyDescent="0.25">
      <c r="A18" s="223" t="s">
        <v>161</v>
      </c>
      <c r="F18" s="188">
        <v>470</v>
      </c>
      <c r="G18" s="188">
        <v>391</v>
      </c>
      <c r="H18" s="188">
        <v>333</v>
      </c>
      <c r="I18" s="188">
        <v>226</v>
      </c>
      <c r="J18" s="188">
        <v>73</v>
      </c>
      <c r="K18" s="188">
        <v>36</v>
      </c>
      <c r="L18" s="188">
        <v>251</v>
      </c>
      <c r="M18" s="158"/>
      <c r="N18" s="158"/>
    </row>
    <row r="19" spans="1:14" s="2" customFormat="1" x14ac:dyDescent="0.25">
      <c r="A19" s="223" t="s">
        <v>162</v>
      </c>
      <c r="F19" s="188">
        <v>1186</v>
      </c>
      <c r="G19" s="188">
        <v>1270</v>
      </c>
      <c r="H19" s="188">
        <v>1316</v>
      </c>
      <c r="I19" s="188">
        <v>1574</v>
      </c>
      <c r="J19" s="188">
        <v>1449</v>
      </c>
      <c r="K19" s="188">
        <v>1291</v>
      </c>
      <c r="L19" s="188">
        <v>1238</v>
      </c>
      <c r="M19" s="158"/>
      <c r="N19" s="158"/>
    </row>
    <row r="20" spans="1:14" s="2" customFormat="1" x14ac:dyDescent="0.25">
      <c r="A20" s="232" t="s">
        <v>163</v>
      </c>
      <c r="F20" s="188">
        <v>-716</v>
      </c>
      <c r="G20" s="188">
        <v>-879</v>
      </c>
      <c r="H20" s="188">
        <v>-983</v>
      </c>
      <c r="I20" s="188">
        <v>-1348</v>
      </c>
      <c r="J20" s="188">
        <v>-1376</v>
      </c>
      <c r="K20" s="188">
        <v>-1255</v>
      </c>
      <c r="L20" s="188">
        <v>-987</v>
      </c>
      <c r="M20" s="221">
        <f>SUM(L20:L33,-L34)</f>
        <v>-163</v>
      </c>
      <c r="N20" s="158"/>
    </row>
    <row r="21" spans="1:14" s="2" customFormat="1" x14ac:dyDescent="0.25">
      <c r="A21" s="223" t="s">
        <v>164</v>
      </c>
      <c r="F21" s="188">
        <v>905</v>
      </c>
      <c r="G21" s="188">
        <v>499</v>
      </c>
      <c r="H21" s="188">
        <v>495</v>
      </c>
      <c r="I21" s="188">
        <v>648</v>
      </c>
      <c r="J21" s="188">
        <v>770</v>
      </c>
      <c r="K21" s="188">
        <v>857</v>
      </c>
      <c r="L21" s="188">
        <v>845</v>
      </c>
      <c r="M21" s="158"/>
      <c r="N21" s="158"/>
    </row>
    <row r="22" spans="1:14" s="2" customFormat="1" x14ac:dyDescent="0.25">
      <c r="A22" s="223" t="s">
        <v>165</v>
      </c>
      <c r="F22" s="188">
        <v>171</v>
      </c>
      <c r="G22" s="188">
        <v>343</v>
      </c>
      <c r="H22" s="188">
        <v>71</v>
      </c>
      <c r="I22" s="188">
        <v>31</v>
      </c>
      <c r="J22" s="188">
        <v>-237</v>
      </c>
      <c r="K22" s="188">
        <v>99</v>
      </c>
      <c r="L22" s="189" t="s">
        <v>54</v>
      </c>
      <c r="M22" s="158"/>
      <c r="N22" s="158"/>
    </row>
    <row r="23" spans="1:14" s="2" customFormat="1" x14ac:dyDescent="0.25">
      <c r="A23" s="223" t="s">
        <v>166</v>
      </c>
      <c r="F23" s="189" t="s">
        <v>54</v>
      </c>
      <c r="G23" s="189" t="s">
        <v>54</v>
      </c>
      <c r="H23" s="188">
        <v>586</v>
      </c>
      <c r="I23" s="188">
        <v>454</v>
      </c>
      <c r="J23" s="188">
        <v>540</v>
      </c>
      <c r="K23" s="188">
        <v>1344</v>
      </c>
      <c r="L23" s="188">
        <v>-1273</v>
      </c>
      <c r="M23" s="158"/>
      <c r="N23" s="158"/>
    </row>
    <row r="24" spans="1:14" s="2" customFormat="1" x14ac:dyDescent="0.25">
      <c r="A24" s="223" t="s">
        <v>167</v>
      </c>
      <c r="F24" s="189" t="s">
        <v>54</v>
      </c>
      <c r="G24" s="189" t="s">
        <v>54</v>
      </c>
      <c r="H24" s="188">
        <v>-141</v>
      </c>
      <c r="I24" s="189" t="s">
        <v>54</v>
      </c>
      <c r="J24" s="189" t="s">
        <v>54</v>
      </c>
      <c r="K24" s="189" t="s">
        <v>54</v>
      </c>
      <c r="L24" s="189" t="s">
        <v>54</v>
      </c>
      <c r="M24" s="158"/>
      <c r="N24" s="158"/>
    </row>
    <row r="25" spans="1:14" s="1" customFormat="1" x14ac:dyDescent="0.25">
      <c r="A25" s="223" t="s">
        <v>168</v>
      </c>
      <c r="F25" s="189" t="s">
        <v>54</v>
      </c>
      <c r="G25" s="189" t="s">
        <v>54</v>
      </c>
      <c r="H25" s="188">
        <v>488</v>
      </c>
      <c r="I25" s="188">
        <v>168</v>
      </c>
      <c r="J25" s="188">
        <v>326</v>
      </c>
      <c r="K25" s="188">
        <v>396</v>
      </c>
      <c r="L25" s="188">
        <v>188</v>
      </c>
      <c r="M25" s="158"/>
      <c r="N25" s="158"/>
    </row>
    <row r="26" spans="1:14" s="2" customFormat="1" x14ac:dyDescent="0.25">
      <c r="A26" s="223" t="s">
        <v>169</v>
      </c>
      <c r="F26" s="189" t="s">
        <v>54</v>
      </c>
      <c r="G26" s="189" t="s">
        <v>54</v>
      </c>
      <c r="H26" s="188">
        <v>288</v>
      </c>
      <c r="I26" s="188">
        <v>-64</v>
      </c>
      <c r="J26" s="188">
        <v>236</v>
      </c>
      <c r="K26" s="188">
        <v>2547</v>
      </c>
      <c r="L26" s="188">
        <v>849</v>
      </c>
      <c r="M26" s="158"/>
      <c r="N26" s="221"/>
    </row>
    <row r="27" spans="1:14" s="2" customFormat="1" x14ac:dyDescent="0.25">
      <c r="A27" s="223" t="s">
        <v>170</v>
      </c>
      <c r="F27" s="188">
        <v>510</v>
      </c>
      <c r="G27" s="188">
        <v>240</v>
      </c>
      <c r="H27" s="188">
        <v>157</v>
      </c>
      <c r="I27" s="188">
        <v>554</v>
      </c>
      <c r="J27" s="188">
        <v>28</v>
      </c>
      <c r="K27" s="188">
        <v>182</v>
      </c>
      <c r="L27" s="188">
        <v>230</v>
      </c>
      <c r="M27" s="158"/>
      <c r="N27" s="158"/>
    </row>
    <row r="28" spans="1:14" s="2" customFormat="1" x14ac:dyDescent="0.25">
      <c r="A28" s="223" t="s">
        <v>171</v>
      </c>
      <c r="F28" s="188">
        <v>1447</v>
      </c>
      <c r="G28" s="188">
        <v>395</v>
      </c>
      <c r="H28" s="188">
        <v>3115</v>
      </c>
      <c r="I28" s="188">
        <v>2843</v>
      </c>
      <c r="J28" s="188">
        <v>1691</v>
      </c>
      <c r="K28" s="188">
        <v>86</v>
      </c>
      <c r="L28" s="188">
        <v>421</v>
      </c>
      <c r="M28" s="158"/>
      <c r="N28" s="158"/>
    </row>
    <row r="29" spans="1:14" s="1" customFormat="1" x14ac:dyDescent="0.25">
      <c r="A29" s="223" t="s">
        <v>172</v>
      </c>
      <c r="F29" s="189" t="s">
        <v>54</v>
      </c>
      <c r="G29" s="189" t="s">
        <v>54</v>
      </c>
      <c r="H29" s="189" t="s">
        <v>54</v>
      </c>
      <c r="I29" s="188">
        <v>338</v>
      </c>
      <c r="J29" s="189" t="s">
        <v>54</v>
      </c>
      <c r="K29" s="189" t="s">
        <v>54</v>
      </c>
      <c r="L29" s="189" t="s">
        <v>54</v>
      </c>
      <c r="M29" s="158"/>
      <c r="N29" s="158"/>
    </row>
    <row r="30" spans="1:14" s="1" customFormat="1" x14ac:dyDescent="0.25">
      <c r="A30" s="223" t="s">
        <v>173</v>
      </c>
      <c r="F30" s="188">
        <v>1712</v>
      </c>
      <c r="G30" s="188">
        <v>55</v>
      </c>
      <c r="H30" s="189" t="s">
        <v>54</v>
      </c>
      <c r="I30" s="189" t="s">
        <v>54</v>
      </c>
      <c r="J30" s="189" t="s">
        <v>54</v>
      </c>
      <c r="K30" s="189" t="s">
        <v>54</v>
      </c>
      <c r="L30" s="189" t="s">
        <v>54</v>
      </c>
      <c r="M30" s="158"/>
      <c r="N30" s="158"/>
    </row>
    <row r="31" spans="1:14" s="2" customFormat="1" x14ac:dyDescent="0.25">
      <c r="A31" s="223" t="s">
        <v>174</v>
      </c>
      <c r="F31" s="189" t="s">
        <v>54</v>
      </c>
      <c r="G31" s="189" t="s">
        <v>54</v>
      </c>
      <c r="H31" s="188">
        <v>-1</v>
      </c>
      <c r="I31" s="189" t="s">
        <v>54</v>
      </c>
      <c r="J31" s="189" t="s">
        <v>54</v>
      </c>
      <c r="K31" s="189" t="s">
        <v>54</v>
      </c>
      <c r="L31" s="189" t="s">
        <v>54</v>
      </c>
      <c r="M31" s="158"/>
      <c r="N31" s="158"/>
    </row>
    <row r="32" spans="1:14" s="1" customFormat="1" x14ac:dyDescent="0.25">
      <c r="A32" s="223" t="s">
        <v>175</v>
      </c>
      <c r="F32" s="188">
        <v>261</v>
      </c>
      <c r="G32" s="188">
        <v>71</v>
      </c>
      <c r="H32" s="188">
        <v>4</v>
      </c>
      <c r="I32" s="189" t="s">
        <v>54</v>
      </c>
      <c r="J32" s="189" t="s">
        <v>54</v>
      </c>
      <c r="K32" s="189" t="s">
        <v>54</v>
      </c>
      <c r="L32" s="189" t="s">
        <v>54</v>
      </c>
      <c r="M32" s="158"/>
      <c r="N32" s="158"/>
    </row>
    <row r="33" spans="1:14" s="2" customFormat="1" x14ac:dyDescent="0.25">
      <c r="A33" s="223" t="s">
        <v>176</v>
      </c>
      <c r="F33" s="189" t="s">
        <v>54</v>
      </c>
      <c r="G33" s="188">
        <v>999</v>
      </c>
      <c r="H33" s="188">
        <v>3</v>
      </c>
      <c r="I33" s="188">
        <v>138</v>
      </c>
      <c r="J33" s="189" t="s">
        <v>54</v>
      </c>
      <c r="K33" s="189" t="s">
        <v>54</v>
      </c>
      <c r="L33" s="189" t="s">
        <v>54</v>
      </c>
      <c r="M33" s="221"/>
      <c r="N33" s="158"/>
    </row>
    <row r="34" spans="1:14" s="2" customFormat="1" x14ac:dyDescent="0.25">
      <c r="A34" s="223" t="s">
        <v>177</v>
      </c>
      <c r="F34" s="189" t="s">
        <v>54</v>
      </c>
      <c r="G34" s="189" t="s">
        <v>54</v>
      </c>
      <c r="H34" s="189" t="s">
        <v>54</v>
      </c>
      <c r="I34" s="188">
        <v>17</v>
      </c>
      <c r="J34" s="188">
        <v>298</v>
      </c>
      <c r="K34" s="188">
        <v>471</v>
      </c>
      <c r="L34" s="188">
        <v>436</v>
      </c>
      <c r="M34" s="221"/>
      <c r="N34" s="158"/>
    </row>
    <row r="35" spans="1:14" s="2" customFormat="1" x14ac:dyDescent="0.25">
      <c r="A35" s="223" t="s">
        <v>178</v>
      </c>
      <c r="F35" s="188">
        <v>-85</v>
      </c>
      <c r="G35" s="188">
        <v>482</v>
      </c>
      <c r="H35" s="188">
        <v>357</v>
      </c>
      <c r="I35" s="188">
        <v>388</v>
      </c>
      <c r="J35" s="188">
        <v>493</v>
      </c>
      <c r="K35" s="188">
        <v>687</v>
      </c>
      <c r="L35" s="188">
        <v>378</v>
      </c>
      <c r="M35" s="221"/>
      <c r="N35" s="158"/>
    </row>
    <row r="36" spans="1:14" s="2" customFormat="1" x14ac:dyDescent="0.25">
      <c r="A36" s="158" t="s">
        <v>178</v>
      </c>
      <c r="F36" s="188">
        <v>-3655</v>
      </c>
      <c r="G36" s="188">
        <v>-1315</v>
      </c>
      <c r="H36" s="188">
        <v>-2116</v>
      </c>
      <c r="I36" s="188">
        <v>-3578</v>
      </c>
      <c r="J36" s="188">
        <v>-669</v>
      </c>
      <c r="K36" s="188">
        <v>4878</v>
      </c>
      <c r="L36" s="188">
        <v>-217</v>
      </c>
      <c r="M36" s="158"/>
      <c r="N36" s="158"/>
    </row>
    <row r="37" spans="1:14" s="2" customFormat="1" x14ac:dyDescent="0.25">
      <c r="A37" s="158" t="s">
        <v>179</v>
      </c>
      <c r="F37" s="188">
        <v>-8534</v>
      </c>
      <c r="G37" s="188">
        <v>-6879</v>
      </c>
      <c r="H37" s="188">
        <v>-4403</v>
      </c>
      <c r="I37" s="188">
        <v>7931</v>
      </c>
      <c r="J37" s="188">
        <v>-2488</v>
      </c>
      <c r="K37" s="188">
        <v>6064</v>
      </c>
      <c r="L37" s="188">
        <v>5032</v>
      </c>
      <c r="M37" s="158"/>
      <c r="N37" s="158"/>
    </row>
    <row r="38" spans="1:14" s="2" customFormat="1" x14ac:dyDescent="0.25">
      <c r="A38" s="158" t="s">
        <v>180</v>
      </c>
      <c r="F38" s="188">
        <v>16886</v>
      </c>
      <c r="G38" s="188">
        <v>19184</v>
      </c>
      <c r="H38" s="188">
        <v>16288</v>
      </c>
      <c r="I38" s="188">
        <v>9751</v>
      </c>
      <c r="J38" s="188">
        <v>9986</v>
      </c>
      <c r="K38" s="188">
        <v>18247</v>
      </c>
      <c r="L38" s="188">
        <v>29697</v>
      </c>
      <c r="M38" s="158"/>
      <c r="N38" s="158"/>
    </row>
    <row r="39" spans="1:14" s="2" customFormat="1" x14ac:dyDescent="0.25">
      <c r="A39" s="158" t="s">
        <v>181</v>
      </c>
      <c r="F39" s="188">
        <v>8351</v>
      </c>
      <c r="G39" s="188">
        <v>12305</v>
      </c>
      <c r="H39" s="188">
        <v>11885</v>
      </c>
      <c r="I39" s="188">
        <v>17682</v>
      </c>
      <c r="J39" s="188">
        <v>7497</v>
      </c>
      <c r="K39" s="188">
        <v>24311</v>
      </c>
      <c r="L39" s="188">
        <v>34729</v>
      </c>
      <c r="M39" s="221"/>
      <c r="N39" s="158"/>
    </row>
    <row r="40" spans="1:14" s="2" customFormat="1" x14ac:dyDescent="0.25">
      <c r="A40" s="158" t="s">
        <v>182</v>
      </c>
      <c r="F40" s="188">
        <v>342</v>
      </c>
      <c r="G40" s="188">
        <v>14127</v>
      </c>
      <c r="H40" s="188">
        <v>668</v>
      </c>
      <c r="I40" s="188">
        <v>-1641</v>
      </c>
      <c r="J40" s="188">
        <v>371</v>
      </c>
      <c r="K40" s="188">
        <v>3342</v>
      </c>
      <c r="L40" s="188">
        <v>2744</v>
      </c>
      <c r="M40" s="158"/>
      <c r="N40" s="158"/>
    </row>
    <row r="41" spans="1:14" s="2" customFormat="1" x14ac:dyDescent="0.25">
      <c r="A41" s="158" t="s">
        <v>183</v>
      </c>
      <c r="F41" s="188">
        <v>-52</v>
      </c>
      <c r="G41" s="188">
        <v>320</v>
      </c>
      <c r="H41" s="188">
        <v>9</v>
      </c>
      <c r="I41" s="188">
        <v>-166</v>
      </c>
      <c r="J41" s="188">
        <v>58</v>
      </c>
      <c r="K41" s="188">
        <v>34</v>
      </c>
      <c r="L41" s="188">
        <v>-20</v>
      </c>
      <c r="M41" s="158"/>
      <c r="N41" s="158"/>
    </row>
    <row r="42" spans="1:14" s="9" customFormat="1" x14ac:dyDescent="0.25">
      <c r="A42" s="158" t="s">
        <v>184</v>
      </c>
      <c r="F42" s="188">
        <v>-419</v>
      </c>
      <c r="G42" s="188">
        <v>-25964</v>
      </c>
      <c r="H42" s="188">
        <v>-1663</v>
      </c>
      <c r="I42" s="188">
        <v>1258</v>
      </c>
      <c r="J42" s="188">
        <v>-1061</v>
      </c>
      <c r="K42" s="188">
        <v>-3850</v>
      </c>
      <c r="L42" s="188">
        <v>-3271</v>
      </c>
      <c r="M42" s="158"/>
      <c r="N42" s="158"/>
    </row>
    <row r="43" spans="1:14" s="9" customFormat="1" x14ac:dyDescent="0.25">
      <c r="A43" s="158" t="s">
        <v>185</v>
      </c>
      <c r="F43" s="188">
        <v>-106</v>
      </c>
      <c r="G43" s="188">
        <v>-268</v>
      </c>
      <c r="H43" s="188">
        <v>16</v>
      </c>
      <c r="I43" s="188">
        <v>275</v>
      </c>
      <c r="J43" s="188">
        <v>-115</v>
      </c>
      <c r="K43" s="188">
        <v>-491</v>
      </c>
      <c r="L43" s="188">
        <v>-310</v>
      </c>
      <c r="M43" s="158"/>
      <c r="N43" s="158"/>
    </row>
    <row r="44" spans="1:14" s="9" customFormat="1" x14ac:dyDescent="0.25">
      <c r="A44" s="158" t="s">
        <v>186</v>
      </c>
      <c r="F44" s="188">
        <v>-235</v>
      </c>
      <c r="G44" s="188">
        <v>-11785</v>
      </c>
      <c r="H44" s="188">
        <v>-970</v>
      </c>
      <c r="I44" s="188">
        <v>-274</v>
      </c>
      <c r="J44" s="188">
        <v>-747</v>
      </c>
      <c r="K44" s="188">
        <v>-964</v>
      </c>
      <c r="L44" s="188">
        <v>-857</v>
      </c>
      <c r="M44" s="158"/>
      <c r="N44" s="158"/>
    </row>
    <row r="45" spans="1:14" s="9" customFormat="1" x14ac:dyDescent="0.25">
      <c r="A45" s="158" t="s">
        <v>187</v>
      </c>
      <c r="F45" s="189" t="s">
        <v>54</v>
      </c>
      <c r="G45" s="189" t="s">
        <v>54</v>
      </c>
      <c r="H45" s="188">
        <v>-3035</v>
      </c>
      <c r="I45" s="188">
        <v>-135</v>
      </c>
      <c r="J45" s="189" t="s">
        <v>54</v>
      </c>
      <c r="K45" s="189" t="s">
        <v>54</v>
      </c>
      <c r="L45" s="189" t="s">
        <v>54</v>
      </c>
      <c r="M45" s="158"/>
      <c r="N45" s="158"/>
    </row>
    <row r="46" spans="1:14" s="16" customFormat="1" x14ac:dyDescent="0.25">
      <c r="A46" s="158" t="s">
        <v>188</v>
      </c>
      <c r="F46" s="189" t="s">
        <v>54</v>
      </c>
      <c r="G46" s="189" t="s">
        <v>54</v>
      </c>
      <c r="H46" s="188">
        <v>2439</v>
      </c>
      <c r="I46" s="188">
        <v>-187</v>
      </c>
      <c r="J46" s="189" t="s">
        <v>54</v>
      </c>
      <c r="K46" s="189" t="s">
        <v>54</v>
      </c>
      <c r="L46" s="189" t="s">
        <v>54</v>
      </c>
      <c r="M46" s="158"/>
      <c r="N46" s="158"/>
    </row>
    <row r="47" spans="1:14" s="2" customFormat="1" x14ac:dyDescent="0.25">
      <c r="A47" s="158" t="s">
        <v>189</v>
      </c>
      <c r="F47" s="189" t="s">
        <v>54</v>
      </c>
      <c r="G47" s="189" t="s">
        <v>54</v>
      </c>
      <c r="H47" s="188">
        <v>-596</v>
      </c>
      <c r="I47" s="188">
        <v>-323</v>
      </c>
      <c r="J47" s="189" t="s">
        <v>54</v>
      </c>
      <c r="K47" s="189" t="s">
        <v>54</v>
      </c>
      <c r="L47" s="189" t="s">
        <v>54</v>
      </c>
      <c r="M47" s="158"/>
      <c r="N47" s="158"/>
    </row>
    <row r="48" spans="1:14" s="2" customFormat="1" x14ac:dyDescent="0.25">
      <c r="A48" s="158" t="s">
        <v>190</v>
      </c>
      <c r="F48" s="188">
        <v>1532</v>
      </c>
      <c r="G48" s="188">
        <v>2709</v>
      </c>
      <c r="H48" s="188">
        <v>2831</v>
      </c>
      <c r="I48" s="188">
        <v>2900</v>
      </c>
      <c r="J48" s="188">
        <v>1517</v>
      </c>
      <c r="K48" s="188">
        <v>2769</v>
      </c>
      <c r="L48" s="188">
        <v>4368</v>
      </c>
      <c r="M48" s="158"/>
      <c r="N48" s="158"/>
    </row>
    <row r="49" spans="1:14" s="2" customFormat="1" x14ac:dyDescent="0.25">
      <c r="A49" s="158" t="s">
        <v>191</v>
      </c>
      <c r="F49" s="188">
        <v>-175</v>
      </c>
      <c r="G49" s="188">
        <v>28</v>
      </c>
      <c r="H49" s="188">
        <v>-558</v>
      </c>
      <c r="I49" s="188">
        <v>-919</v>
      </c>
      <c r="J49" s="188">
        <v>-292</v>
      </c>
      <c r="K49" s="188">
        <v>48</v>
      </c>
      <c r="L49" s="188">
        <v>-183</v>
      </c>
      <c r="M49" s="158"/>
      <c r="N49" s="158"/>
    </row>
    <row r="50" spans="1:14" s="2" customFormat="1" x14ac:dyDescent="0.25">
      <c r="A50" s="158" t="s">
        <v>192</v>
      </c>
      <c r="F50" s="188">
        <v>1358</v>
      </c>
      <c r="G50" s="188">
        <v>2737</v>
      </c>
      <c r="H50" s="188">
        <v>2273</v>
      </c>
      <c r="I50" s="188">
        <v>1981</v>
      </c>
      <c r="J50" s="188">
        <v>1224</v>
      </c>
      <c r="K50" s="188">
        <v>2816</v>
      </c>
      <c r="L50" s="188">
        <v>4185</v>
      </c>
      <c r="M50" s="158"/>
      <c r="N50" s="158"/>
    </row>
    <row r="51" spans="1:14" s="2" customFormat="1" x14ac:dyDescent="0.25">
      <c r="A51" s="158" t="s">
        <v>193</v>
      </c>
      <c r="F51" s="188">
        <v>1123</v>
      </c>
      <c r="G51" s="188">
        <v>-9049</v>
      </c>
      <c r="H51" s="188">
        <v>706</v>
      </c>
      <c r="I51" s="188">
        <v>1384</v>
      </c>
      <c r="J51" s="188">
        <v>477</v>
      </c>
      <c r="K51" s="188">
        <v>1852</v>
      </c>
      <c r="L51" s="188">
        <v>3328</v>
      </c>
      <c r="M51" s="158"/>
      <c r="N51" s="158"/>
    </row>
    <row r="52" spans="1:14" s="2" customFormat="1" x14ac:dyDescent="0.25">
      <c r="A52" s="158" t="s">
        <v>194</v>
      </c>
      <c r="F52" s="188">
        <v>7229</v>
      </c>
      <c r="G52" s="188">
        <v>21353</v>
      </c>
      <c r="H52" s="188">
        <v>11179</v>
      </c>
      <c r="I52" s="188">
        <v>16298</v>
      </c>
      <c r="J52" s="188">
        <v>7021</v>
      </c>
      <c r="K52" s="188">
        <v>22459</v>
      </c>
      <c r="L52" s="188">
        <v>31401</v>
      </c>
      <c r="M52" s="158"/>
      <c r="N52" s="158"/>
    </row>
    <row r="53" spans="1:14" s="2" customFormat="1" x14ac:dyDescent="0.25">
      <c r="A53" s="158" t="s">
        <v>195</v>
      </c>
      <c r="F53" s="188">
        <v>16</v>
      </c>
      <c r="G53" s="188">
        <v>-1</v>
      </c>
      <c r="H53" s="188">
        <v>10</v>
      </c>
      <c r="I53" s="188">
        <v>4</v>
      </c>
      <c r="J53" s="188">
        <v>2631</v>
      </c>
      <c r="K53" s="189" t="s">
        <v>54</v>
      </c>
      <c r="L53" s="189" t="s">
        <v>54</v>
      </c>
      <c r="M53" s="158"/>
      <c r="N53" s="158"/>
    </row>
    <row r="54" spans="1:14" s="2" customFormat="1" x14ac:dyDescent="0.25">
      <c r="A54" s="158" t="s">
        <v>196</v>
      </c>
      <c r="F54" s="189" t="s">
        <v>54</v>
      </c>
      <c r="G54" s="188">
        <v>3</v>
      </c>
      <c r="H54" s="189" t="s">
        <v>54</v>
      </c>
      <c r="I54" s="189" t="s">
        <v>54</v>
      </c>
      <c r="J54" s="189" t="s">
        <v>54</v>
      </c>
      <c r="K54" s="189" t="s">
        <v>54</v>
      </c>
      <c r="L54" s="189" t="s">
        <v>54</v>
      </c>
      <c r="M54" s="158"/>
      <c r="N54" s="158"/>
    </row>
    <row r="55" spans="1:14" s="2" customFormat="1" x14ac:dyDescent="0.25">
      <c r="A55" s="158" t="s">
        <v>197</v>
      </c>
      <c r="F55" s="188">
        <v>17</v>
      </c>
      <c r="G55" s="188">
        <v>2</v>
      </c>
      <c r="H55" s="188">
        <v>10</v>
      </c>
      <c r="I55" s="188">
        <v>4</v>
      </c>
      <c r="J55" s="189" t="s">
        <v>54</v>
      </c>
      <c r="K55" s="188">
        <v>-434</v>
      </c>
      <c r="L55" s="188">
        <v>6</v>
      </c>
      <c r="M55" s="158"/>
      <c r="N55" s="158"/>
    </row>
    <row r="56" spans="1:14" s="2" customFormat="1" x14ac:dyDescent="0.25">
      <c r="A56" s="158" t="s">
        <v>198</v>
      </c>
      <c r="F56" s="188">
        <v>7246</v>
      </c>
      <c r="G56" s="188">
        <v>21355</v>
      </c>
      <c r="H56" s="188">
        <v>11188</v>
      </c>
      <c r="I56" s="188">
        <v>16302</v>
      </c>
      <c r="J56" s="188">
        <v>9652</v>
      </c>
      <c r="K56" s="188">
        <v>22025</v>
      </c>
      <c r="L56" s="188">
        <v>31407</v>
      </c>
      <c r="M56" s="158"/>
      <c r="N56" s="158"/>
    </row>
    <row r="57" spans="1:14" s="2" customFormat="1" x14ac:dyDescent="0.25">
      <c r="A57" s="158" t="s">
        <v>199</v>
      </c>
      <c r="F57" s="188">
        <v>-31</v>
      </c>
      <c r="G57" s="188">
        <v>-47</v>
      </c>
      <c r="H57" s="188">
        <v>-36</v>
      </c>
      <c r="I57" s="188">
        <v>-29</v>
      </c>
      <c r="J57" s="188">
        <v>-36</v>
      </c>
      <c r="K57" s="188">
        <v>-45</v>
      </c>
      <c r="L57" s="188">
        <v>-35</v>
      </c>
      <c r="M57" s="158"/>
      <c r="N57" s="158"/>
    </row>
    <row r="58" spans="1:14" s="2" customFormat="1" x14ac:dyDescent="0.25">
      <c r="A58" s="158" t="s">
        <v>200</v>
      </c>
      <c r="F58" s="188">
        <v>7215</v>
      </c>
      <c r="G58" s="188">
        <v>21308</v>
      </c>
      <c r="H58" s="188">
        <v>11153</v>
      </c>
      <c r="I58" s="188">
        <v>16273</v>
      </c>
      <c r="J58" s="189" t="s">
        <v>54</v>
      </c>
      <c r="K58" s="189" t="s">
        <v>54</v>
      </c>
      <c r="L58" s="189" t="s">
        <v>54</v>
      </c>
      <c r="M58" s="158"/>
      <c r="N58" s="158"/>
    </row>
    <row r="59" spans="1:14" s="2" customFormat="1" x14ac:dyDescent="0.25">
      <c r="A59" s="158" t="s">
        <v>201</v>
      </c>
      <c r="F59" s="188">
        <v>1</v>
      </c>
      <c r="G59" s="188">
        <v>1</v>
      </c>
      <c r="H59" s="188">
        <v>1</v>
      </c>
      <c r="I59" s="189" t="s">
        <v>54</v>
      </c>
      <c r="J59" s="189" t="s">
        <v>54</v>
      </c>
      <c r="K59" s="189" t="s">
        <v>54</v>
      </c>
      <c r="L59" s="189" t="s">
        <v>54</v>
      </c>
      <c r="M59" s="158"/>
      <c r="N59" s="158"/>
    </row>
    <row r="60" spans="1:14" s="2" customFormat="1" x14ac:dyDescent="0.25">
      <c r="A60" s="158" t="s">
        <v>202</v>
      </c>
      <c r="F60" s="188">
        <v>7214</v>
      </c>
      <c r="G60" s="188">
        <v>21307</v>
      </c>
      <c r="H60" s="188">
        <v>11152</v>
      </c>
      <c r="I60" s="189" t="s">
        <v>54</v>
      </c>
      <c r="J60" s="188">
        <v>9616</v>
      </c>
      <c r="K60" s="188">
        <v>21979</v>
      </c>
      <c r="L60" s="188">
        <v>31372</v>
      </c>
      <c r="M60" s="158"/>
      <c r="N60" s="158"/>
    </row>
    <row r="61" spans="1:14" s="2" customFormat="1" x14ac:dyDescent="0.25">
      <c r="A61" s="158" t="s">
        <v>203</v>
      </c>
      <c r="F61" s="188">
        <v>6089</v>
      </c>
      <c r="G61" s="188">
        <v>5970</v>
      </c>
      <c r="H61" s="188">
        <v>5872</v>
      </c>
      <c r="I61" s="188">
        <v>5569</v>
      </c>
      <c r="J61" s="188">
        <v>5555</v>
      </c>
      <c r="K61" s="188">
        <v>5601</v>
      </c>
      <c r="L61" s="188">
        <v>5608</v>
      </c>
      <c r="M61" s="158"/>
      <c r="N61" s="158"/>
    </row>
    <row r="62" spans="1:14" s="2" customFormat="1" x14ac:dyDescent="0.25">
      <c r="A62" s="158" t="s">
        <v>204</v>
      </c>
      <c r="F62" s="188">
        <v>6159</v>
      </c>
      <c r="G62" s="188">
        <v>6058</v>
      </c>
      <c r="H62" s="188">
        <v>5977</v>
      </c>
      <c r="I62" s="188">
        <v>5675</v>
      </c>
      <c r="J62" s="188">
        <v>5632</v>
      </c>
      <c r="K62" s="188">
        <v>5708</v>
      </c>
      <c r="L62" s="188">
        <v>5733</v>
      </c>
      <c r="M62" s="158"/>
      <c r="N62" s="158"/>
    </row>
    <row r="63" spans="1:14" s="2" customFormat="1" x14ac:dyDescent="0.25">
      <c r="A63" s="158" t="s">
        <v>205</v>
      </c>
      <c r="F63" s="188">
        <v>6070</v>
      </c>
      <c r="G63" s="188">
        <v>5979</v>
      </c>
      <c r="H63" s="188">
        <v>5717</v>
      </c>
      <c r="I63" s="188">
        <v>5534</v>
      </c>
      <c r="J63" s="188">
        <v>5567</v>
      </c>
      <c r="K63" s="188">
        <v>5620</v>
      </c>
      <c r="L63" s="188">
        <v>5616</v>
      </c>
      <c r="M63" s="158"/>
      <c r="N63" s="158"/>
    </row>
    <row r="64" spans="1:14" s="2" customFormat="1" x14ac:dyDescent="0.25">
      <c r="A64" s="158" t="s">
        <v>206</v>
      </c>
      <c r="F64" s="188">
        <v>1.18</v>
      </c>
      <c r="G64" s="188">
        <v>3.57</v>
      </c>
      <c r="H64" s="188">
        <v>1.9</v>
      </c>
      <c r="I64" s="188">
        <v>2.92</v>
      </c>
      <c r="J64" s="188">
        <v>1.26</v>
      </c>
      <c r="K64" s="188">
        <v>4</v>
      </c>
      <c r="L64" s="188">
        <v>5.59</v>
      </c>
      <c r="M64" s="158"/>
      <c r="N64" s="158"/>
    </row>
    <row r="65" spans="1:14" s="2" customFormat="1" x14ac:dyDescent="0.25">
      <c r="A65" s="158" t="s">
        <v>207</v>
      </c>
      <c r="F65" s="189" t="s">
        <v>54</v>
      </c>
      <c r="G65" s="189" t="s">
        <v>54</v>
      </c>
      <c r="H65" s="189" t="s">
        <v>54</v>
      </c>
      <c r="I65" s="189" t="s">
        <v>54</v>
      </c>
      <c r="J65" s="188">
        <v>0.47</v>
      </c>
      <c r="K65" s="188">
        <v>-0.08</v>
      </c>
      <c r="L65" s="189" t="s">
        <v>54</v>
      </c>
      <c r="M65" s="158"/>
      <c r="N65" s="158"/>
    </row>
    <row r="66" spans="1:14" s="2" customFormat="1" x14ac:dyDescent="0.25">
      <c r="A66" s="158" t="s">
        <v>208</v>
      </c>
      <c r="F66" s="188">
        <v>1.18</v>
      </c>
      <c r="G66" s="188">
        <v>3.57</v>
      </c>
      <c r="H66" s="188">
        <v>1.9</v>
      </c>
      <c r="I66" s="188">
        <v>2.92</v>
      </c>
      <c r="J66" s="188">
        <v>1.73</v>
      </c>
      <c r="K66" s="188">
        <v>3.92</v>
      </c>
      <c r="L66" s="188">
        <v>5.59</v>
      </c>
      <c r="M66" s="158"/>
      <c r="N66" s="158"/>
    </row>
    <row r="67" spans="1:14" s="2" customFormat="1" x14ac:dyDescent="0.25">
      <c r="A67" s="158" t="s">
        <v>209</v>
      </c>
      <c r="F67" s="188">
        <v>1.17</v>
      </c>
      <c r="G67" s="188">
        <v>3.52</v>
      </c>
      <c r="H67" s="188">
        <v>1.86</v>
      </c>
      <c r="I67" s="188">
        <v>2.87</v>
      </c>
      <c r="J67" s="188">
        <v>1.24</v>
      </c>
      <c r="K67" s="188">
        <v>3.93</v>
      </c>
      <c r="L67" s="188">
        <v>5.47</v>
      </c>
      <c r="M67" s="158"/>
      <c r="N67" s="158"/>
    </row>
    <row r="68" spans="1:14" s="2" customFormat="1" x14ac:dyDescent="0.25">
      <c r="A68" s="158" t="s">
        <v>210</v>
      </c>
      <c r="F68" s="189" t="s">
        <v>54</v>
      </c>
      <c r="G68" s="189" t="s">
        <v>54</v>
      </c>
      <c r="H68" s="189" t="s">
        <v>54</v>
      </c>
      <c r="I68" s="189" t="s">
        <v>54</v>
      </c>
      <c r="J68" s="188">
        <v>0.47</v>
      </c>
      <c r="K68" s="188">
        <v>-0.08</v>
      </c>
      <c r="L68" s="189" t="s">
        <v>54</v>
      </c>
      <c r="M68" s="158"/>
      <c r="N68" s="158"/>
    </row>
    <row r="69" spans="1:14" s="2" customFormat="1" x14ac:dyDescent="0.25">
      <c r="A69" s="158" t="s">
        <v>211</v>
      </c>
      <c r="F69" s="188">
        <v>1.17</v>
      </c>
      <c r="G69" s="188">
        <v>3.52</v>
      </c>
      <c r="H69" s="188">
        <v>1.87</v>
      </c>
      <c r="I69" s="188">
        <v>2.87</v>
      </c>
      <c r="J69" s="188">
        <v>1.71</v>
      </c>
      <c r="K69" s="188">
        <v>3.85</v>
      </c>
      <c r="L69" s="188">
        <v>5.47</v>
      </c>
      <c r="M69" s="158"/>
      <c r="N69" s="158"/>
    </row>
    <row r="70" spans="1:14" s="2" customFormat="1" x14ac:dyDescent="0.25">
      <c r="A70" s="158" t="s">
        <v>212</v>
      </c>
      <c r="F70" s="188">
        <v>1.2</v>
      </c>
      <c r="G70" s="188">
        <v>1.28</v>
      </c>
      <c r="H70" s="188">
        <v>1.38</v>
      </c>
      <c r="I70" s="189" t="s">
        <v>54</v>
      </c>
      <c r="J70" s="188">
        <v>1.53</v>
      </c>
      <c r="K70" s="188">
        <v>1.57</v>
      </c>
      <c r="L70" s="188">
        <v>1.61</v>
      </c>
      <c r="M70" s="158"/>
      <c r="N70" s="158"/>
    </row>
    <row r="71" spans="1:14" s="2" customFormat="1" x14ac:dyDescent="0.25">
      <c r="A71" s="158" t="s">
        <v>213</v>
      </c>
      <c r="F71" s="188">
        <v>96500</v>
      </c>
      <c r="G71" s="188">
        <v>90200</v>
      </c>
      <c r="H71" s="188">
        <v>92400</v>
      </c>
      <c r="I71" s="188">
        <v>88300</v>
      </c>
      <c r="J71" s="188">
        <v>78500</v>
      </c>
      <c r="K71" s="188">
        <v>79000</v>
      </c>
      <c r="L71" s="188">
        <v>83000</v>
      </c>
      <c r="M71" s="158"/>
      <c r="N71" s="158"/>
    </row>
    <row r="72" spans="1:14" s="2" customFormat="1" x14ac:dyDescent="0.25">
      <c r="A72" s="158" t="s">
        <v>214</v>
      </c>
      <c r="F72" s="188">
        <v>166694</v>
      </c>
      <c r="G72" s="188">
        <v>158190</v>
      </c>
      <c r="H72" s="188">
        <v>150398</v>
      </c>
      <c r="I72" s="188">
        <v>142524</v>
      </c>
      <c r="J72" s="188">
        <v>139582</v>
      </c>
      <c r="K72" s="188">
        <v>133758</v>
      </c>
      <c r="L72" s="188">
        <v>128767</v>
      </c>
      <c r="M72" s="158"/>
      <c r="N72" s="158"/>
    </row>
    <row r="73" spans="1:14" s="2" customFormat="1" x14ac:dyDescent="0.25">
      <c r="A73" s="158" t="s">
        <v>215</v>
      </c>
      <c r="F73" s="188">
        <v>-815</v>
      </c>
      <c r="G73" s="188">
        <v>1278</v>
      </c>
      <c r="H73" s="188">
        <v>-821</v>
      </c>
      <c r="I73" s="188">
        <v>366</v>
      </c>
      <c r="J73" s="188">
        <v>940</v>
      </c>
      <c r="K73" s="188">
        <v>-682</v>
      </c>
      <c r="L73" s="188">
        <v>-2328</v>
      </c>
      <c r="M73" s="158"/>
      <c r="N73" s="158"/>
    </row>
    <row r="74" spans="1:14" s="2" customFormat="1" x14ac:dyDescent="0.25">
      <c r="A74" s="158"/>
      <c r="B74" s="159"/>
      <c r="C74" s="159"/>
      <c r="D74" s="159"/>
      <c r="E74" s="159"/>
      <c r="F74" s="159"/>
      <c r="G74" s="159"/>
      <c r="H74" s="159"/>
      <c r="I74" s="158"/>
      <c r="J74" s="158"/>
      <c r="K74" s="158"/>
      <c r="L74" s="158"/>
      <c r="M74" s="158"/>
      <c r="N74" s="158"/>
    </row>
    <row r="75" spans="1:14" s="2" customFormat="1" x14ac:dyDescent="0.25">
      <c r="A75" s="6"/>
      <c r="D75" s="17"/>
      <c r="E75" s="18"/>
      <c r="F75" s="17"/>
      <c r="G75" s="17"/>
      <c r="H75" s="17"/>
      <c r="I75" s="17"/>
      <c r="J75" s="17"/>
      <c r="K75" s="17"/>
      <c r="L75" s="17"/>
      <c r="M75" s="17"/>
    </row>
    <row r="76" spans="1:14" s="2" customFormat="1" x14ac:dyDescent="0.25">
      <c r="A76" s="6"/>
      <c r="D76" s="17"/>
      <c r="E76" s="18"/>
      <c r="F76" s="17"/>
      <c r="G76" s="17"/>
      <c r="H76" s="17"/>
      <c r="I76" s="17"/>
      <c r="J76" s="17"/>
      <c r="K76" s="17"/>
      <c r="L76" s="17"/>
      <c r="M76" s="17"/>
    </row>
    <row r="77" spans="1:14" s="2" customFormat="1" x14ac:dyDescent="0.25">
      <c r="A77" s="6"/>
      <c r="D77" s="17"/>
      <c r="E77" s="18"/>
      <c r="F77" s="17"/>
      <c r="G77" s="17"/>
      <c r="H77" s="17"/>
      <c r="I77" s="17"/>
      <c r="J77" s="17"/>
      <c r="K77" s="17"/>
      <c r="L77" s="17"/>
      <c r="M77" s="17"/>
    </row>
    <row r="78" spans="1:14" s="2" customFormat="1" x14ac:dyDescent="0.25">
      <c r="A78" s="6"/>
      <c r="D78" s="17"/>
      <c r="E78" s="18"/>
      <c r="F78" s="17"/>
      <c r="G78" s="17"/>
      <c r="H78" s="17"/>
      <c r="I78" s="17"/>
      <c r="J78" s="17"/>
      <c r="K78" s="17"/>
      <c r="L78" s="17"/>
      <c r="M78" s="17"/>
    </row>
    <row r="79" spans="1:14" s="2" customFormat="1" x14ac:dyDescent="0.25">
      <c r="A79" s="6"/>
      <c r="D79" s="17"/>
      <c r="E79" s="18"/>
      <c r="F79" s="17"/>
      <c r="G79" s="17"/>
      <c r="H79" s="17"/>
      <c r="I79" s="17"/>
      <c r="J79" s="17"/>
      <c r="K79" s="17"/>
      <c r="L79" s="17"/>
      <c r="M79" s="17"/>
    </row>
    <row r="80" spans="1:14" s="2" customFormat="1" x14ac:dyDescent="0.25">
      <c r="A80" s="6"/>
      <c r="D80" s="17"/>
      <c r="E80" s="18"/>
      <c r="F80" s="17"/>
      <c r="G80" s="17"/>
      <c r="H80" s="17"/>
      <c r="I80" s="17"/>
      <c r="J80" s="17"/>
      <c r="K80" s="17"/>
      <c r="L80" s="17"/>
      <c r="M80" s="17"/>
    </row>
    <row r="81" spans="1:13" s="2" customFormat="1" x14ac:dyDescent="0.25">
      <c r="A81" s="6"/>
      <c r="D81" s="17"/>
      <c r="E81" s="18"/>
      <c r="F81" s="17"/>
      <c r="G81" s="17"/>
      <c r="H81" s="17"/>
      <c r="I81" s="17"/>
      <c r="J81" s="17"/>
      <c r="K81" s="17"/>
      <c r="L81" s="17"/>
      <c r="M81" s="17"/>
    </row>
    <row r="82" spans="1:13" s="2" customFormat="1" x14ac:dyDescent="0.25">
      <c r="A82" s="6"/>
      <c r="D82" s="17"/>
      <c r="E82" s="18"/>
      <c r="F82" s="17"/>
      <c r="G82" s="17"/>
      <c r="H82" s="17"/>
      <c r="I82" s="17"/>
      <c r="J82" s="17"/>
      <c r="K82" s="17"/>
      <c r="L82" s="17"/>
      <c r="M82" s="17"/>
    </row>
    <row r="83" spans="1:13" s="2" customFormat="1" x14ac:dyDescent="0.25">
      <c r="A83" s="6"/>
      <c r="D83" s="17"/>
      <c r="E83" s="18"/>
      <c r="F83" s="17"/>
      <c r="G83" s="17"/>
      <c r="H83" s="17"/>
      <c r="I83" s="17"/>
      <c r="J83" s="17"/>
      <c r="K83" s="17"/>
      <c r="L83" s="17"/>
      <c r="M83" s="17"/>
    </row>
    <row r="84" spans="1:13" s="2" customFormat="1" x14ac:dyDescent="0.25">
      <c r="A84" s="6"/>
      <c r="D84" s="17"/>
      <c r="E84" s="18"/>
      <c r="F84" s="17"/>
      <c r="G84" s="17"/>
      <c r="H84" s="17"/>
      <c r="I84" s="17"/>
      <c r="J84" s="17"/>
      <c r="K84" s="17"/>
      <c r="L84" s="17"/>
      <c r="M84" s="17"/>
    </row>
    <row r="85" spans="1:13" s="2" customFormat="1" x14ac:dyDescent="0.25">
      <c r="A85" s="6"/>
      <c r="D85" s="17"/>
      <c r="E85" s="18"/>
      <c r="F85" s="17"/>
      <c r="G85" s="17"/>
      <c r="H85" s="17"/>
      <c r="I85" s="17"/>
      <c r="J85" s="17"/>
      <c r="K85" s="17"/>
      <c r="L85" s="17"/>
      <c r="M85" s="17"/>
    </row>
    <row r="86" spans="1:13" s="2" customFormat="1" x14ac:dyDescent="0.25">
      <c r="A86" s="6"/>
      <c r="D86" s="17"/>
      <c r="E86" s="18"/>
      <c r="F86" s="17"/>
      <c r="G86" s="17"/>
      <c r="H86" s="17"/>
      <c r="I86" s="17"/>
      <c r="J86" s="17"/>
      <c r="K86" s="17"/>
      <c r="L86" s="17"/>
      <c r="M86" s="17"/>
    </row>
    <row r="87" spans="1:13" s="2" customFormat="1" x14ac:dyDescent="0.25">
      <c r="A87" s="6"/>
      <c r="D87" s="17"/>
      <c r="E87" s="18"/>
      <c r="F87" s="17"/>
      <c r="G87" s="17"/>
      <c r="H87" s="17"/>
      <c r="I87" s="17"/>
      <c r="J87" s="17"/>
      <c r="K87" s="17"/>
      <c r="L87" s="17"/>
      <c r="M87" s="17"/>
    </row>
    <row r="88" spans="1:13" s="2" customFormat="1" x14ac:dyDescent="0.25">
      <c r="A88" s="6"/>
      <c r="D88" s="17"/>
      <c r="E88" s="18"/>
      <c r="F88" s="17"/>
      <c r="G88" s="17"/>
      <c r="H88" s="17"/>
      <c r="I88" s="17"/>
      <c r="J88" s="17"/>
      <c r="K88" s="17"/>
      <c r="L88" s="17"/>
      <c r="M88" s="17"/>
    </row>
    <row r="89" spans="1:13" s="2" customFormat="1" x14ac:dyDescent="0.25">
      <c r="A89" s="6"/>
      <c r="D89" s="17"/>
      <c r="E89" s="18"/>
      <c r="F89" s="17"/>
      <c r="G89" s="17"/>
      <c r="H89" s="17"/>
      <c r="I89" s="17"/>
      <c r="J89" s="17"/>
      <c r="K89" s="17"/>
      <c r="L89" s="17"/>
      <c r="M89" s="17"/>
    </row>
    <row r="90" spans="1:13" s="2" customFormat="1" x14ac:dyDescent="0.25">
      <c r="A90" s="6"/>
      <c r="D90" s="17"/>
      <c r="E90" s="18"/>
      <c r="F90" s="17"/>
      <c r="G90" s="17"/>
      <c r="H90" s="17"/>
      <c r="I90" s="17"/>
      <c r="J90" s="17"/>
      <c r="K90" s="17"/>
      <c r="L90" s="17"/>
      <c r="M90" s="17"/>
    </row>
    <row r="91" spans="1:13" s="2" customFormat="1" x14ac:dyDescent="0.25">
      <c r="A91" s="6"/>
      <c r="D91" s="17"/>
      <c r="E91" s="18"/>
      <c r="F91" s="17"/>
      <c r="G91" s="17"/>
      <c r="H91" s="17"/>
      <c r="I91" s="17"/>
      <c r="J91" s="17"/>
      <c r="K91" s="17"/>
      <c r="L91" s="17"/>
      <c r="M91" s="17"/>
    </row>
    <row r="92" spans="1:13" s="2" customFormat="1" x14ac:dyDescent="0.25">
      <c r="A92" s="6"/>
      <c r="D92" s="17"/>
      <c r="E92" s="18"/>
      <c r="F92" s="17"/>
      <c r="G92" s="17"/>
      <c r="H92" s="17"/>
      <c r="I92" s="17"/>
      <c r="J92" s="17"/>
      <c r="K92" s="17"/>
      <c r="L92" s="17"/>
      <c r="M92" s="17"/>
    </row>
    <row r="93" spans="1:13" s="2" customFormat="1" x14ac:dyDescent="0.25">
      <c r="A93" s="6"/>
      <c r="D93" s="17"/>
      <c r="E93" s="18"/>
      <c r="F93" s="17"/>
      <c r="G93" s="17"/>
      <c r="H93" s="17"/>
      <c r="I93" s="17"/>
      <c r="J93" s="17"/>
      <c r="K93" s="17"/>
      <c r="L93" s="17"/>
      <c r="M93" s="17"/>
    </row>
    <row r="94" spans="1:13" s="2" customFormat="1" x14ac:dyDescent="0.25">
      <c r="A94" s="6"/>
      <c r="D94" s="17"/>
      <c r="E94" s="18"/>
      <c r="F94" s="17"/>
      <c r="G94" s="17"/>
      <c r="H94" s="17"/>
      <c r="I94" s="17"/>
      <c r="J94" s="17"/>
      <c r="K94" s="17"/>
      <c r="L94" s="17"/>
      <c r="M94" s="17"/>
    </row>
    <row r="95" spans="1:13" s="2" customFormat="1" x14ac:dyDescent="0.25">
      <c r="A95" s="6"/>
      <c r="D95" s="17"/>
      <c r="E95" s="18"/>
      <c r="F95" s="17"/>
      <c r="G95" s="17"/>
      <c r="H95" s="17"/>
      <c r="I95" s="17"/>
      <c r="J95" s="17"/>
      <c r="K95" s="17"/>
      <c r="L95" s="17"/>
      <c r="M95" s="17"/>
    </row>
    <row r="96" spans="1:13" s="2" customFormat="1" x14ac:dyDescent="0.25">
      <c r="A96" s="6"/>
      <c r="D96" s="17"/>
      <c r="E96" s="18"/>
      <c r="F96" s="17"/>
      <c r="G96" s="17"/>
      <c r="H96" s="17"/>
      <c r="I96" s="17"/>
      <c r="J96" s="17"/>
      <c r="K96" s="17"/>
      <c r="L96" s="17"/>
      <c r="M96" s="17"/>
    </row>
    <row r="97" spans="1:13" s="2" customFormat="1" x14ac:dyDescent="0.25">
      <c r="A97" s="6"/>
      <c r="D97" s="17"/>
      <c r="E97" s="18"/>
      <c r="F97" s="17"/>
      <c r="G97" s="17"/>
      <c r="H97" s="17"/>
      <c r="I97" s="17"/>
      <c r="J97" s="17"/>
      <c r="K97" s="17"/>
      <c r="L97" s="17"/>
      <c r="M97" s="17"/>
    </row>
    <row r="98" spans="1:13" s="2" customFormat="1" x14ac:dyDescent="0.25">
      <c r="A98" s="6"/>
      <c r="D98" s="17"/>
      <c r="E98" s="18"/>
      <c r="F98" s="17"/>
      <c r="G98" s="17"/>
      <c r="H98" s="17"/>
      <c r="I98" s="17"/>
      <c r="J98" s="17"/>
      <c r="K98" s="17"/>
      <c r="L98" s="17"/>
      <c r="M98" s="17"/>
    </row>
    <row r="99" spans="1:13" s="2" customFormat="1" x14ac:dyDescent="0.25">
      <c r="A99" s="6"/>
      <c r="D99" s="17"/>
      <c r="E99" s="18"/>
      <c r="F99" s="17"/>
      <c r="G99" s="17"/>
      <c r="H99" s="17"/>
      <c r="I99" s="17"/>
      <c r="J99" s="17"/>
      <c r="K99" s="17"/>
      <c r="L99" s="17"/>
      <c r="M99" s="17"/>
    </row>
    <row r="100" spans="1:13" s="2" customFormat="1" x14ac:dyDescent="0.25">
      <c r="A100" s="6"/>
      <c r="D100" s="17"/>
      <c r="E100" s="18"/>
      <c r="F100" s="17"/>
      <c r="G100" s="17"/>
      <c r="H100" s="17"/>
      <c r="I100" s="17"/>
      <c r="J100" s="17"/>
      <c r="K100" s="17"/>
      <c r="L100" s="17"/>
      <c r="M100" s="17"/>
    </row>
    <row r="101" spans="1:13" s="2" customFormat="1" x14ac:dyDescent="0.25">
      <c r="A101" s="6"/>
      <c r="D101" s="17"/>
      <c r="E101" s="18"/>
      <c r="F101" s="17"/>
      <c r="G101" s="17"/>
      <c r="H101" s="17"/>
      <c r="I101" s="17"/>
      <c r="J101" s="17"/>
      <c r="K101" s="17"/>
      <c r="L101" s="17"/>
      <c r="M101" s="17"/>
    </row>
    <row r="102" spans="1:13" s="2" customFormat="1" x14ac:dyDescent="0.25">
      <c r="A102" s="6"/>
      <c r="D102" s="17"/>
      <c r="E102" s="18"/>
      <c r="F102" s="17"/>
      <c r="G102" s="17"/>
      <c r="H102" s="17"/>
      <c r="I102" s="17"/>
      <c r="J102" s="17"/>
      <c r="K102" s="17"/>
      <c r="L102" s="17"/>
      <c r="M102" s="17"/>
    </row>
    <row r="103" spans="1:13" s="2" customFormat="1" x14ac:dyDescent="0.25">
      <c r="A103" s="6"/>
      <c r="D103" s="17"/>
      <c r="E103" s="18"/>
      <c r="F103" s="17"/>
      <c r="G103" s="17"/>
      <c r="H103" s="17"/>
      <c r="I103" s="17"/>
      <c r="J103" s="17"/>
      <c r="K103" s="17"/>
      <c r="L103" s="17"/>
      <c r="M103" s="17"/>
    </row>
    <row r="104" spans="1:13" s="2" customFormat="1" x14ac:dyDescent="0.25">
      <c r="A104" s="6"/>
      <c r="D104" s="17"/>
      <c r="E104" s="18"/>
      <c r="F104" s="17"/>
      <c r="G104" s="17"/>
      <c r="H104" s="17"/>
      <c r="I104" s="17"/>
      <c r="J104" s="17"/>
      <c r="K104" s="17"/>
      <c r="L104" s="17"/>
      <c r="M104" s="17"/>
    </row>
    <row r="105" spans="1:13" s="2" customFormat="1" x14ac:dyDescent="0.25">
      <c r="A105" s="6"/>
      <c r="D105" s="17"/>
      <c r="E105" s="18"/>
      <c r="F105" s="17"/>
      <c r="G105" s="17"/>
      <c r="H105" s="17"/>
      <c r="I105" s="17"/>
      <c r="J105" s="17"/>
      <c r="K105" s="17"/>
      <c r="L105" s="17"/>
      <c r="M105" s="17"/>
    </row>
    <row r="106" spans="1:13" s="2" customFormat="1" x14ac:dyDescent="0.25">
      <c r="A106" s="6"/>
      <c r="D106" s="17"/>
      <c r="E106" s="18"/>
      <c r="F106" s="17"/>
      <c r="G106" s="17"/>
      <c r="H106" s="17"/>
      <c r="I106" s="17"/>
      <c r="J106" s="17"/>
      <c r="K106" s="17"/>
      <c r="L106" s="17"/>
      <c r="M106" s="17"/>
    </row>
    <row r="107" spans="1:13" s="2" customFormat="1" x14ac:dyDescent="0.25">
      <c r="A107" s="6"/>
      <c r="D107" s="17"/>
      <c r="E107" s="18"/>
      <c r="F107" s="17"/>
      <c r="G107" s="17"/>
      <c r="H107" s="17"/>
      <c r="I107" s="17"/>
      <c r="J107" s="17"/>
      <c r="K107" s="17"/>
      <c r="L107" s="17"/>
      <c r="M107" s="17"/>
    </row>
    <row r="108" spans="1:13" s="2" customFormat="1" x14ac:dyDescent="0.25">
      <c r="A108" s="6"/>
      <c r="D108" s="17"/>
      <c r="E108" s="18"/>
      <c r="F108" s="17"/>
      <c r="G108" s="17"/>
      <c r="H108" s="17"/>
      <c r="I108" s="17"/>
      <c r="J108" s="17"/>
      <c r="K108" s="17"/>
      <c r="L108" s="17"/>
      <c r="M108" s="17"/>
    </row>
    <row r="109" spans="1:13" s="2" customFormat="1" x14ac:dyDescent="0.25">
      <c r="A109" s="6"/>
      <c r="D109" s="17"/>
      <c r="E109" s="18"/>
      <c r="F109" s="17"/>
      <c r="G109" s="17"/>
      <c r="H109" s="17"/>
      <c r="I109" s="17"/>
      <c r="J109" s="17"/>
      <c r="K109" s="17"/>
      <c r="L109" s="17"/>
      <c r="M109" s="17"/>
    </row>
    <row r="110" spans="1:13" s="2" customFormat="1" x14ac:dyDescent="0.25">
      <c r="A110" s="6"/>
      <c r="D110" s="17"/>
      <c r="E110" s="18"/>
      <c r="F110" s="17"/>
      <c r="G110" s="17"/>
      <c r="H110" s="17"/>
      <c r="I110" s="17"/>
      <c r="J110" s="17"/>
      <c r="K110" s="17"/>
      <c r="L110" s="17"/>
      <c r="M110" s="17"/>
    </row>
    <row r="111" spans="1:13" s="2" customFormat="1" x14ac:dyDescent="0.25">
      <c r="A111" s="6"/>
      <c r="D111" s="17"/>
      <c r="E111" s="18"/>
      <c r="F111" s="17"/>
      <c r="G111" s="17"/>
      <c r="H111" s="17"/>
      <c r="I111" s="17"/>
      <c r="J111" s="17"/>
      <c r="K111" s="17"/>
      <c r="L111" s="17"/>
      <c r="M111" s="17"/>
    </row>
    <row r="112" spans="1:13" s="2" customFormat="1" x14ac:dyDescent="0.25">
      <c r="A112" s="6"/>
      <c r="D112" s="17"/>
      <c r="E112" s="18"/>
      <c r="F112" s="17"/>
      <c r="G112" s="17"/>
      <c r="H112" s="17"/>
      <c r="I112" s="17"/>
      <c r="J112" s="17"/>
      <c r="K112" s="17"/>
      <c r="L112" s="17"/>
      <c r="M112" s="17"/>
    </row>
    <row r="113" spans="1:13" s="2" customFormat="1" x14ac:dyDescent="0.25">
      <c r="A113" s="6"/>
      <c r="D113" s="17"/>
      <c r="E113" s="18"/>
      <c r="F113" s="17"/>
      <c r="G113" s="17"/>
      <c r="H113" s="17"/>
      <c r="I113" s="17"/>
      <c r="J113" s="17"/>
      <c r="K113" s="17"/>
      <c r="L113" s="17"/>
      <c r="M113" s="17"/>
    </row>
    <row r="114" spans="1:13" s="2" customFormat="1" x14ac:dyDescent="0.25">
      <c r="A114" s="6"/>
      <c r="D114" s="17"/>
      <c r="E114" s="18"/>
      <c r="F114" s="17"/>
      <c r="G114" s="17"/>
      <c r="H114" s="17"/>
      <c r="I114" s="17"/>
      <c r="J114" s="17"/>
      <c r="K114" s="17"/>
      <c r="L114" s="17"/>
      <c r="M114" s="17"/>
    </row>
    <row r="115" spans="1:13" s="2" customFormat="1" x14ac:dyDescent="0.25">
      <c r="A115" s="6"/>
      <c r="D115" s="17"/>
      <c r="E115" s="18"/>
      <c r="F115" s="17"/>
      <c r="G115" s="17"/>
      <c r="H115" s="17"/>
      <c r="I115" s="17"/>
      <c r="J115" s="17"/>
      <c r="K115" s="17"/>
      <c r="L115" s="17"/>
      <c r="M115" s="17"/>
    </row>
    <row r="116" spans="1:13" s="2" customFormat="1" x14ac:dyDescent="0.25">
      <c r="A116" s="6"/>
      <c r="D116" s="17"/>
      <c r="E116" s="18"/>
      <c r="F116" s="17"/>
      <c r="G116" s="17"/>
      <c r="H116" s="17"/>
      <c r="I116" s="17"/>
      <c r="J116" s="17"/>
      <c r="K116" s="17"/>
      <c r="L116" s="17"/>
      <c r="M116" s="17"/>
    </row>
    <row r="117" spans="1:13" s="2" customFormat="1" x14ac:dyDescent="0.25">
      <c r="A117" s="6"/>
      <c r="D117" s="17"/>
      <c r="E117" s="18"/>
      <c r="F117" s="17"/>
      <c r="G117" s="17"/>
      <c r="H117" s="17"/>
      <c r="I117" s="17"/>
      <c r="J117" s="17"/>
      <c r="K117" s="17"/>
      <c r="L117" s="17"/>
      <c r="M117" s="17"/>
    </row>
    <row r="118" spans="1:13" s="2" customFormat="1" x14ac:dyDescent="0.25">
      <c r="A118" s="6"/>
      <c r="D118" s="17"/>
      <c r="E118" s="18"/>
      <c r="F118" s="17"/>
      <c r="G118" s="17"/>
      <c r="H118" s="17"/>
      <c r="I118" s="17"/>
      <c r="J118" s="17"/>
      <c r="K118" s="17"/>
      <c r="L118" s="17"/>
      <c r="M118" s="17"/>
    </row>
    <row r="119" spans="1:13" s="2" customFormat="1" x14ac:dyDescent="0.25">
      <c r="A119" s="6"/>
      <c r="D119" s="17"/>
      <c r="E119" s="18"/>
      <c r="F119" s="17"/>
      <c r="G119" s="17"/>
      <c r="H119" s="17"/>
      <c r="I119" s="17"/>
      <c r="J119" s="17"/>
      <c r="K119" s="17"/>
      <c r="L119" s="17"/>
      <c r="M119" s="17"/>
    </row>
    <row r="120" spans="1:13" s="2" customFormat="1" x14ac:dyDescent="0.25">
      <c r="A120" s="6"/>
      <c r="D120" s="17"/>
      <c r="E120" s="18"/>
      <c r="F120" s="17"/>
      <c r="G120" s="17"/>
      <c r="H120" s="17"/>
      <c r="I120" s="17"/>
      <c r="J120" s="17"/>
      <c r="K120" s="17"/>
      <c r="L120" s="17"/>
      <c r="M120" s="17"/>
    </row>
    <row r="121" spans="1:13" s="2" customFormat="1" x14ac:dyDescent="0.25">
      <c r="A121" s="6"/>
      <c r="D121" s="17"/>
      <c r="E121" s="18"/>
      <c r="F121" s="17"/>
      <c r="G121" s="17"/>
      <c r="H121" s="17"/>
      <c r="I121" s="17"/>
      <c r="J121" s="17"/>
      <c r="K121" s="17"/>
      <c r="L121" s="17"/>
      <c r="M121" s="17"/>
    </row>
    <row r="122" spans="1:13" s="2" customFormat="1" x14ac:dyDescent="0.25">
      <c r="A122" s="6"/>
      <c r="D122" s="17"/>
      <c r="E122" s="18"/>
      <c r="F122" s="17"/>
      <c r="G122" s="17"/>
      <c r="H122" s="17"/>
      <c r="I122" s="17"/>
      <c r="J122" s="17"/>
      <c r="K122" s="17"/>
      <c r="L122" s="17"/>
      <c r="M122" s="17"/>
    </row>
    <row r="123" spans="1:13" s="2" customFormat="1" x14ac:dyDescent="0.25">
      <c r="A123" s="6"/>
      <c r="D123" s="17"/>
      <c r="E123" s="18"/>
      <c r="F123" s="17"/>
      <c r="G123" s="17"/>
      <c r="H123" s="17"/>
      <c r="I123" s="17"/>
      <c r="J123" s="17"/>
      <c r="K123" s="17"/>
      <c r="L123" s="17"/>
      <c r="M123" s="17"/>
    </row>
    <row r="124" spans="1:13" s="2" customFormat="1" x14ac:dyDescent="0.25">
      <c r="A124" s="6"/>
      <c r="D124" s="17"/>
      <c r="E124" s="18"/>
      <c r="F124" s="17"/>
      <c r="G124" s="17"/>
      <c r="H124" s="17"/>
      <c r="I124" s="17"/>
      <c r="J124" s="17"/>
      <c r="K124" s="17"/>
      <c r="L124" s="17"/>
      <c r="M124" s="17"/>
    </row>
    <row r="125" spans="1:13" s="2" customFormat="1" x14ac:dyDescent="0.25">
      <c r="A125" s="6"/>
      <c r="D125" s="17"/>
      <c r="E125" s="18"/>
      <c r="F125" s="17"/>
      <c r="G125" s="17"/>
      <c r="H125" s="17"/>
      <c r="I125" s="17"/>
      <c r="J125" s="17"/>
      <c r="K125" s="17"/>
      <c r="L125" s="17"/>
      <c r="M125" s="17"/>
    </row>
    <row r="126" spans="1:13" s="2" customFormat="1" x14ac:dyDescent="0.25">
      <c r="A126" s="6"/>
      <c r="D126" s="17"/>
      <c r="E126" s="18"/>
      <c r="F126" s="17"/>
      <c r="G126" s="17"/>
      <c r="H126" s="17"/>
      <c r="I126" s="17"/>
      <c r="J126" s="17"/>
      <c r="K126" s="17"/>
      <c r="L126" s="17"/>
      <c r="M126" s="17"/>
    </row>
    <row r="127" spans="1:13" s="2" customFormat="1" x14ac:dyDescent="0.25">
      <c r="A127" s="6"/>
      <c r="D127" s="17"/>
      <c r="E127" s="18"/>
      <c r="F127" s="17"/>
      <c r="G127" s="17"/>
      <c r="H127" s="17"/>
      <c r="I127" s="17"/>
      <c r="J127" s="17"/>
      <c r="K127" s="17"/>
      <c r="L127" s="17"/>
      <c r="M127" s="17"/>
    </row>
    <row r="128" spans="1:13" s="2" customFormat="1" x14ac:dyDescent="0.25">
      <c r="A128" s="6"/>
      <c r="D128" s="17"/>
      <c r="E128" s="18"/>
      <c r="F128" s="17"/>
      <c r="G128" s="17"/>
      <c r="H128" s="17"/>
      <c r="I128" s="17"/>
      <c r="J128" s="17"/>
      <c r="K128" s="17"/>
      <c r="L128" s="17"/>
      <c r="M128" s="17"/>
    </row>
    <row r="129" spans="1:13" s="2" customFormat="1" x14ac:dyDescent="0.25">
      <c r="A129" s="6"/>
      <c r="D129" s="17"/>
      <c r="E129" s="18"/>
      <c r="F129" s="17"/>
      <c r="G129" s="17"/>
      <c r="H129" s="17"/>
      <c r="I129" s="17"/>
      <c r="J129" s="17"/>
      <c r="K129" s="17"/>
      <c r="L129" s="17"/>
      <c r="M129" s="17"/>
    </row>
    <row r="130" spans="1:13" s="2" customFormat="1" x14ac:dyDescent="0.25">
      <c r="A130" s="6"/>
      <c r="D130" s="17"/>
      <c r="E130" s="18"/>
      <c r="F130" s="17"/>
      <c r="G130" s="17"/>
      <c r="H130" s="17"/>
      <c r="I130" s="17"/>
      <c r="J130" s="17"/>
      <c r="K130" s="17"/>
      <c r="L130" s="17"/>
      <c r="M130" s="17"/>
    </row>
    <row r="131" spans="1:13" s="2" customFormat="1" x14ac:dyDescent="0.25">
      <c r="A131" s="6"/>
      <c r="D131" s="17"/>
      <c r="E131" s="18"/>
      <c r="F131" s="17"/>
      <c r="G131" s="17"/>
      <c r="H131" s="17"/>
      <c r="I131" s="17"/>
      <c r="J131" s="17"/>
      <c r="K131" s="17"/>
      <c r="L131" s="17"/>
      <c r="M131" s="17"/>
    </row>
    <row r="132" spans="1:13" s="2" customFormat="1" x14ac:dyDescent="0.25">
      <c r="A132" s="6"/>
      <c r="D132" s="17"/>
      <c r="E132" s="18"/>
      <c r="F132" s="17"/>
      <c r="G132" s="17"/>
      <c r="H132" s="17"/>
      <c r="I132" s="17"/>
      <c r="J132" s="17"/>
      <c r="K132" s="17"/>
      <c r="L132" s="17"/>
      <c r="M132" s="17"/>
    </row>
    <row r="133" spans="1:13" s="2" customFormat="1" x14ac:dyDescent="0.25">
      <c r="A133" s="6"/>
      <c r="D133" s="17"/>
      <c r="E133" s="18"/>
      <c r="F133" s="17"/>
      <c r="G133" s="17"/>
      <c r="H133" s="17"/>
      <c r="I133" s="17"/>
      <c r="J133" s="17"/>
      <c r="K133" s="17"/>
      <c r="L133" s="17"/>
      <c r="M133" s="17"/>
    </row>
    <row r="134" spans="1:13" s="2" customFormat="1" x14ac:dyDescent="0.25">
      <c r="A134" s="6"/>
      <c r="D134" s="17"/>
      <c r="E134" s="18"/>
      <c r="F134" s="17"/>
      <c r="G134" s="17"/>
      <c r="H134" s="17"/>
      <c r="I134" s="17"/>
      <c r="J134" s="17"/>
      <c r="K134" s="17"/>
      <c r="L134" s="17"/>
      <c r="M134" s="17"/>
    </row>
    <row r="135" spans="1:13" s="2" customFormat="1" x14ac:dyDescent="0.25">
      <c r="A135" s="6"/>
      <c r="D135" s="17"/>
      <c r="E135" s="18"/>
      <c r="F135" s="17"/>
      <c r="G135" s="17"/>
      <c r="H135" s="17"/>
      <c r="I135" s="17"/>
      <c r="J135" s="17"/>
      <c r="K135" s="17"/>
      <c r="L135" s="17"/>
      <c r="M135" s="17"/>
    </row>
    <row r="136" spans="1:13" s="2" customFormat="1" x14ac:dyDescent="0.25">
      <c r="A136" s="6"/>
      <c r="D136" s="17"/>
      <c r="E136" s="18"/>
      <c r="F136" s="17"/>
      <c r="G136" s="17"/>
      <c r="H136" s="17"/>
      <c r="I136" s="17"/>
      <c r="J136" s="17"/>
      <c r="K136" s="17"/>
      <c r="L136" s="17"/>
      <c r="M136" s="17"/>
    </row>
    <row r="137" spans="1:13" s="2" customFormat="1" x14ac:dyDescent="0.25">
      <c r="A137" s="6"/>
      <c r="D137" s="17"/>
      <c r="E137" s="18"/>
      <c r="F137" s="17"/>
      <c r="G137" s="17"/>
      <c r="H137" s="17"/>
      <c r="I137" s="17"/>
      <c r="J137" s="17"/>
      <c r="K137" s="17"/>
      <c r="L137" s="17"/>
      <c r="M137" s="17"/>
    </row>
    <row r="138" spans="1:13" s="2" customFormat="1" x14ac:dyDescent="0.25">
      <c r="A138" s="6"/>
      <c r="D138" s="17"/>
      <c r="E138" s="18"/>
      <c r="F138" s="17"/>
      <c r="G138" s="17"/>
      <c r="H138" s="17"/>
      <c r="I138" s="17"/>
      <c r="J138" s="17"/>
      <c r="K138" s="17"/>
      <c r="L138" s="17"/>
      <c r="M138" s="17"/>
    </row>
    <row r="139" spans="1:13" s="2" customFormat="1" x14ac:dyDescent="0.25">
      <c r="A139" s="6"/>
      <c r="D139" s="17"/>
      <c r="E139" s="18"/>
      <c r="F139" s="17"/>
      <c r="G139" s="17"/>
      <c r="H139" s="17"/>
      <c r="I139" s="17"/>
      <c r="J139" s="17"/>
      <c r="K139" s="17"/>
      <c r="L139" s="17"/>
      <c r="M139" s="17"/>
    </row>
    <row r="140" spans="1:13" s="2" customFormat="1" x14ac:dyDescent="0.25">
      <c r="A140" s="6"/>
      <c r="D140" s="17"/>
      <c r="E140" s="18"/>
      <c r="F140" s="17"/>
      <c r="G140" s="17"/>
      <c r="H140" s="17"/>
      <c r="I140" s="17"/>
      <c r="J140" s="17"/>
      <c r="K140" s="17"/>
      <c r="L140" s="17"/>
      <c r="M140" s="17"/>
    </row>
    <row r="141" spans="1:13" s="2" customFormat="1" x14ac:dyDescent="0.25">
      <c r="A141" s="6"/>
      <c r="D141" s="17"/>
      <c r="E141" s="18"/>
      <c r="F141" s="17"/>
      <c r="G141" s="17"/>
      <c r="H141" s="17"/>
      <c r="I141" s="17"/>
      <c r="J141" s="17"/>
      <c r="K141" s="17"/>
      <c r="L141" s="17"/>
      <c r="M141" s="17"/>
    </row>
    <row r="142" spans="1:13" s="2" customFormat="1" x14ac:dyDescent="0.25">
      <c r="A142" s="6"/>
      <c r="D142" s="17"/>
      <c r="E142" s="18"/>
      <c r="F142" s="17"/>
      <c r="G142" s="17"/>
      <c r="H142" s="17"/>
      <c r="I142" s="17"/>
      <c r="J142" s="17"/>
      <c r="K142" s="17"/>
      <c r="L142" s="17"/>
      <c r="M142" s="17"/>
    </row>
    <row r="143" spans="1:13" s="2" customFormat="1" x14ac:dyDescent="0.25">
      <c r="A143" s="6"/>
      <c r="D143" s="17"/>
      <c r="E143" s="18"/>
      <c r="F143" s="17"/>
      <c r="G143" s="17"/>
      <c r="H143" s="17"/>
      <c r="I143" s="17"/>
      <c r="J143" s="17"/>
      <c r="K143" s="17"/>
      <c r="L143" s="17"/>
      <c r="M143" s="17"/>
    </row>
    <row r="144" spans="1:13" s="2" customFormat="1" x14ac:dyDescent="0.25">
      <c r="A144" s="6"/>
      <c r="D144" s="17"/>
      <c r="E144" s="18"/>
      <c r="F144" s="17"/>
      <c r="G144" s="17"/>
      <c r="H144" s="17"/>
      <c r="I144" s="17"/>
      <c r="J144" s="17"/>
      <c r="K144" s="17"/>
      <c r="L144" s="17"/>
      <c r="M144" s="17"/>
    </row>
    <row r="145" spans="1:13" s="2" customFormat="1" x14ac:dyDescent="0.25">
      <c r="A145" s="6"/>
      <c r="D145" s="17"/>
      <c r="E145" s="18"/>
      <c r="F145" s="17"/>
      <c r="G145" s="17"/>
      <c r="H145" s="17"/>
      <c r="I145" s="17"/>
      <c r="J145" s="17"/>
      <c r="K145" s="17"/>
      <c r="L145" s="17"/>
      <c r="M145" s="17"/>
    </row>
    <row r="146" spans="1:13" s="2" customFormat="1" x14ac:dyDescent="0.25">
      <c r="A146" s="6"/>
      <c r="D146" s="17"/>
      <c r="E146" s="18"/>
      <c r="F146" s="17"/>
      <c r="G146" s="17"/>
      <c r="H146" s="17"/>
      <c r="I146" s="17"/>
      <c r="J146" s="17"/>
      <c r="K146" s="17"/>
      <c r="L146" s="17"/>
      <c r="M146" s="17"/>
    </row>
    <row r="147" spans="1:13" s="2" customFormat="1" x14ac:dyDescent="0.25">
      <c r="A147" s="6"/>
      <c r="D147" s="17"/>
      <c r="E147" s="18"/>
      <c r="F147" s="17"/>
      <c r="G147" s="17"/>
      <c r="H147" s="17"/>
      <c r="I147" s="17"/>
      <c r="J147" s="17"/>
      <c r="K147" s="17"/>
      <c r="L147" s="17"/>
      <c r="M147" s="17"/>
    </row>
    <row r="148" spans="1:13" s="2" customFormat="1" x14ac:dyDescent="0.25">
      <c r="A148" s="6"/>
      <c r="D148" s="17"/>
      <c r="E148" s="18"/>
      <c r="F148" s="17"/>
      <c r="G148" s="17"/>
      <c r="H148" s="17"/>
      <c r="I148" s="17"/>
      <c r="J148" s="17"/>
      <c r="K148" s="17"/>
      <c r="L148" s="17"/>
      <c r="M148" s="17"/>
    </row>
    <row r="149" spans="1:13" s="2" customFormat="1" x14ac:dyDescent="0.25">
      <c r="A149" s="6"/>
      <c r="D149" s="17"/>
      <c r="E149" s="18"/>
      <c r="F149" s="17"/>
      <c r="G149" s="17"/>
      <c r="H149" s="17"/>
      <c r="I149" s="17"/>
      <c r="J149" s="17"/>
      <c r="K149" s="17"/>
      <c r="L149" s="17"/>
      <c r="M149" s="17"/>
    </row>
    <row r="150" spans="1:13" s="2" customFormat="1" x14ac:dyDescent="0.25">
      <c r="A150" s="6"/>
      <c r="D150" s="17"/>
      <c r="E150" s="18"/>
      <c r="F150" s="17"/>
      <c r="G150" s="17"/>
      <c r="H150" s="17"/>
      <c r="I150" s="17"/>
      <c r="J150" s="17"/>
      <c r="K150" s="17"/>
      <c r="L150" s="17"/>
      <c r="M150" s="17"/>
    </row>
    <row r="151" spans="1:13" s="2" customFormat="1" x14ac:dyDescent="0.25">
      <c r="A151" s="6"/>
      <c r="D151" s="17"/>
      <c r="E151" s="18"/>
      <c r="F151" s="17"/>
      <c r="G151" s="17"/>
      <c r="H151" s="17"/>
      <c r="I151" s="17"/>
      <c r="J151" s="17"/>
      <c r="K151" s="17"/>
      <c r="L151" s="17"/>
      <c r="M151" s="17"/>
    </row>
    <row r="152" spans="1:13" s="2" customFormat="1" x14ac:dyDescent="0.25">
      <c r="A152" s="6"/>
      <c r="D152" s="17"/>
      <c r="E152" s="18"/>
      <c r="F152" s="17"/>
      <c r="G152" s="17"/>
      <c r="H152" s="17"/>
      <c r="I152" s="17"/>
      <c r="J152" s="17"/>
      <c r="K152" s="17"/>
      <c r="L152" s="17"/>
      <c r="M152" s="17"/>
    </row>
    <row r="153" spans="1:13" s="2" customFormat="1" x14ac:dyDescent="0.25">
      <c r="A153" s="6"/>
      <c r="D153" s="17"/>
      <c r="E153" s="18"/>
      <c r="F153" s="17"/>
      <c r="G153" s="17"/>
      <c r="H153" s="17"/>
      <c r="I153" s="17"/>
      <c r="J153" s="17"/>
      <c r="K153" s="17"/>
      <c r="L153" s="17"/>
      <c r="M153" s="17"/>
    </row>
    <row r="154" spans="1:13" s="2" customFormat="1" x14ac:dyDescent="0.25">
      <c r="A154" s="6"/>
      <c r="D154" s="17"/>
      <c r="E154" s="18"/>
      <c r="F154" s="17"/>
      <c r="G154" s="17"/>
      <c r="H154" s="17"/>
      <c r="I154" s="17"/>
      <c r="J154" s="17"/>
      <c r="K154" s="17"/>
      <c r="L154" s="17"/>
      <c r="M154" s="17"/>
    </row>
    <row r="155" spans="1:13" s="2" customFormat="1" x14ac:dyDescent="0.25">
      <c r="A155" s="6"/>
      <c r="D155" s="17"/>
      <c r="E155" s="18"/>
      <c r="F155" s="17"/>
      <c r="G155" s="17"/>
      <c r="H155" s="17"/>
      <c r="I155" s="17"/>
      <c r="J155" s="17"/>
      <c r="K155" s="17"/>
      <c r="L155" s="17"/>
      <c r="M155" s="17"/>
    </row>
    <row r="156" spans="1:13" s="2" customFormat="1" x14ac:dyDescent="0.25">
      <c r="A156" s="6"/>
      <c r="D156" s="17"/>
      <c r="E156" s="18"/>
      <c r="F156" s="17"/>
      <c r="G156" s="17"/>
      <c r="H156" s="17"/>
      <c r="I156" s="17"/>
      <c r="J156" s="17"/>
      <c r="K156" s="17"/>
      <c r="L156" s="17"/>
      <c r="M156" s="17"/>
    </row>
    <row r="157" spans="1:13" s="2" customFormat="1" x14ac:dyDescent="0.25">
      <c r="A157" s="6"/>
      <c r="D157" s="17"/>
      <c r="E157" s="18"/>
      <c r="F157" s="17"/>
      <c r="G157" s="17"/>
      <c r="H157" s="17"/>
      <c r="I157" s="17"/>
      <c r="J157" s="17"/>
      <c r="K157" s="17"/>
      <c r="L157" s="17"/>
      <c r="M157" s="17"/>
    </row>
    <row r="158" spans="1:13" s="2" customFormat="1" x14ac:dyDescent="0.25">
      <c r="A158" s="6"/>
      <c r="D158" s="17"/>
      <c r="E158" s="18"/>
      <c r="F158" s="17"/>
      <c r="G158" s="17"/>
      <c r="H158" s="17"/>
      <c r="I158" s="17"/>
      <c r="J158" s="17"/>
      <c r="K158" s="17"/>
      <c r="L158" s="17"/>
      <c r="M158" s="17"/>
    </row>
    <row r="159" spans="1:13" s="2" customFormat="1" x14ac:dyDescent="0.25">
      <c r="A159" s="6"/>
      <c r="D159" s="17"/>
      <c r="E159" s="18"/>
      <c r="F159" s="17"/>
      <c r="G159" s="17"/>
      <c r="H159" s="17"/>
      <c r="I159" s="17"/>
      <c r="J159" s="17"/>
      <c r="K159" s="17"/>
      <c r="L159" s="17"/>
      <c r="M159" s="17"/>
    </row>
    <row r="160" spans="1:13" s="2" customFormat="1" x14ac:dyDescent="0.25">
      <c r="A160" s="6"/>
      <c r="D160" s="17"/>
      <c r="E160" s="18"/>
      <c r="F160" s="17"/>
      <c r="G160" s="17"/>
      <c r="H160" s="17"/>
      <c r="I160" s="17"/>
      <c r="J160" s="17"/>
      <c r="K160" s="17"/>
      <c r="L160" s="17"/>
      <c r="M160" s="17"/>
    </row>
    <row r="161" spans="1:13" s="2" customFormat="1" x14ac:dyDescent="0.25">
      <c r="A161" s="6"/>
      <c r="D161" s="17"/>
      <c r="E161" s="18"/>
      <c r="F161" s="17"/>
      <c r="G161" s="17"/>
      <c r="H161" s="17"/>
      <c r="I161" s="17"/>
      <c r="J161" s="17"/>
      <c r="K161" s="17"/>
      <c r="L161" s="17"/>
      <c r="M161" s="17"/>
    </row>
    <row r="162" spans="1:13" s="2" customFormat="1" x14ac:dyDescent="0.25">
      <c r="A162" s="6"/>
      <c r="D162" s="17"/>
      <c r="E162" s="18"/>
      <c r="F162" s="17"/>
      <c r="G162" s="17"/>
      <c r="H162" s="17"/>
      <c r="I162" s="17"/>
      <c r="J162" s="17"/>
      <c r="K162" s="17"/>
      <c r="L162" s="17"/>
      <c r="M162" s="17"/>
    </row>
    <row r="163" spans="1:13" s="2" customFormat="1" x14ac:dyDescent="0.25">
      <c r="A163" s="6"/>
      <c r="D163" s="17"/>
      <c r="E163" s="18"/>
      <c r="F163" s="17"/>
      <c r="G163" s="17"/>
      <c r="H163" s="17"/>
      <c r="I163" s="17"/>
      <c r="J163" s="17"/>
      <c r="K163" s="17"/>
      <c r="L163" s="17"/>
      <c r="M163" s="17"/>
    </row>
    <row r="164" spans="1:13" s="2" customFormat="1" x14ac:dyDescent="0.25">
      <c r="A164" s="6"/>
      <c r="D164" s="17"/>
      <c r="E164" s="18"/>
      <c r="F164" s="17"/>
      <c r="G164" s="17"/>
      <c r="H164" s="17"/>
      <c r="I164" s="17"/>
      <c r="J164" s="17"/>
      <c r="K164" s="17"/>
      <c r="L164" s="17"/>
      <c r="M164" s="17"/>
    </row>
    <row r="165" spans="1:13" s="2" customFormat="1" x14ac:dyDescent="0.25">
      <c r="A165" s="6"/>
      <c r="D165" s="17"/>
      <c r="E165" s="18"/>
      <c r="F165" s="17"/>
      <c r="G165" s="17"/>
      <c r="H165" s="17"/>
      <c r="I165" s="17"/>
      <c r="J165" s="17"/>
      <c r="K165" s="17"/>
      <c r="L165" s="17"/>
      <c r="M165" s="17"/>
    </row>
    <row r="166" spans="1:13" s="2" customFormat="1" x14ac:dyDescent="0.25">
      <c r="A166" s="6"/>
      <c r="D166" s="17"/>
      <c r="E166" s="18"/>
      <c r="F166" s="17"/>
      <c r="G166" s="17"/>
      <c r="H166" s="17"/>
      <c r="I166" s="17"/>
      <c r="J166" s="17"/>
      <c r="K166" s="17"/>
      <c r="L166" s="17"/>
      <c r="M166" s="17"/>
    </row>
    <row r="167" spans="1:13" s="2" customFormat="1" x14ac:dyDescent="0.25">
      <c r="A167" s="6"/>
      <c r="D167" s="17"/>
      <c r="E167" s="18"/>
      <c r="F167" s="17"/>
      <c r="G167" s="17"/>
      <c r="H167" s="17"/>
      <c r="I167" s="17"/>
      <c r="J167" s="17"/>
      <c r="K167" s="17"/>
      <c r="L167" s="17"/>
      <c r="M167" s="17"/>
    </row>
    <row r="168" spans="1:13" s="2" customFormat="1" x14ac:dyDescent="0.25">
      <c r="A168" s="6"/>
      <c r="D168" s="17"/>
      <c r="E168" s="18"/>
      <c r="F168" s="17"/>
      <c r="G168" s="17"/>
      <c r="H168" s="17"/>
      <c r="I168" s="17"/>
      <c r="J168" s="17"/>
      <c r="K168" s="17"/>
      <c r="L168" s="17"/>
      <c r="M168" s="17"/>
    </row>
    <row r="169" spans="1:13" s="2" customFormat="1" x14ac:dyDescent="0.25">
      <c r="A169" s="6"/>
      <c r="D169" s="17"/>
      <c r="E169" s="18"/>
      <c r="F169" s="17"/>
      <c r="G169" s="17"/>
      <c r="H169" s="17"/>
      <c r="I169" s="17"/>
      <c r="J169" s="17"/>
      <c r="K169" s="17"/>
      <c r="L169" s="17"/>
      <c r="M169" s="17"/>
    </row>
    <row r="170" spans="1:13" s="2" customFormat="1" x14ac:dyDescent="0.25">
      <c r="A170" s="6"/>
      <c r="D170" s="17"/>
      <c r="E170" s="18"/>
      <c r="F170" s="17"/>
      <c r="G170" s="17"/>
      <c r="H170" s="17"/>
      <c r="I170" s="17"/>
      <c r="J170" s="17"/>
      <c r="K170" s="17"/>
      <c r="L170" s="17"/>
      <c r="M170" s="17"/>
    </row>
    <row r="171" spans="1:13" s="2" customFormat="1" x14ac:dyDescent="0.25">
      <c r="A171" s="6"/>
      <c r="D171" s="17"/>
      <c r="E171" s="18"/>
      <c r="F171" s="17"/>
      <c r="G171" s="17"/>
      <c r="H171" s="17"/>
      <c r="I171" s="17"/>
      <c r="J171" s="17"/>
      <c r="K171" s="17"/>
      <c r="L171" s="17"/>
      <c r="M171" s="17"/>
    </row>
    <row r="172" spans="1:13" s="2" customFormat="1" x14ac:dyDescent="0.25">
      <c r="A172" s="6"/>
      <c r="D172" s="17"/>
      <c r="E172" s="18"/>
      <c r="F172" s="17"/>
      <c r="G172" s="17"/>
      <c r="H172" s="17"/>
      <c r="I172" s="17"/>
      <c r="J172" s="17"/>
      <c r="K172" s="17"/>
      <c r="L172" s="17"/>
      <c r="M172" s="17"/>
    </row>
    <row r="173" spans="1:13" s="2" customFormat="1" x14ac:dyDescent="0.25">
      <c r="A173" s="6"/>
      <c r="D173" s="17"/>
      <c r="E173" s="18"/>
      <c r="F173" s="17"/>
      <c r="G173" s="17"/>
      <c r="H173" s="17"/>
      <c r="I173" s="17"/>
      <c r="J173" s="17"/>
      <c r="K173" s="17"/>
      <c r="L173" s="17"/>
      <c r="M173" s="17"/>
    </row>
    <row r="174" spans="1:13" s="2" customFormat="1" x14ac:dyDescent="0.25">
      <c r="A174" s="6"/>
      <c r="D174" s="17"/>
      <c r="E174" s="18"/>
      <c r="F174" s="17"/>
      <c r="G174" s="17"/>
      <c r="H174" s="17"/>
      <c r="I174" s="17"/>
      <c r="J174" s="17"/>
      <c r="K174" s="17"/>
      <c r="L174" s="17"/>
      <c r="M174" s="17"/>
    </row>
    <row r="175" spans="1:13" s="2" customFormat="1" x14ac:dyDescent="0.25">
      <c r="A175" s="6"/>
      <c r="D175" s="17"/>
      <c r="E175" s="18"/>
      <c r="F175" s="17"/>
      <c r="G175" s="17"/>
      <c r="H175" s="17"/>
      <c r="I175" s="17"/>
      <c r="J175" s="17"/>
      <c r="K175" s="17"/>
      <c r="L175" s="17"/>
      <c r="M175" s="17"/>
    </row>
    <row r="176" spans="1:13" s="2" customFormat="1" x14ac:dyDescent="0.25">
      <c r="A176" s="6"/>
      <c r="D176" s="17"/>
      <c r="E176" s="18"/>
      <c r="F176" s="17"/>
      <c r="G176" s="17"/>
      <c r="H176" s="17"/>
      <c r="I176" s="17"/>
      <c r="J176" s="17"/>
      <c r="K176" s="17"/>
      <c r="L176" s="17"/>
      <c r="M176" s="17"/>
    </row>
    <row r="177" spans="1:13" s="2" customFormat="1" x14ac:dyDescent="0.25">
      <c r="A177" s="6"/>
      <c r="D177" s="17"/>
      <c r="E177" s="18"/>
      <c r="F177" s="17"/>
      <c r="G177" s="17"/>
      <c r="H177" s="17"/>
      <c r="I177" s="17"/>
      <c r="J177" s="17"/>
      <c r="K177" s="17"/>
      <c r="L177" s="17"/>
      <c r="M177" s="17"/>
    </row>
    <row r="178" spans="1:13" s="2" customFormat="1" x14ac:dyDescent="0.25">
      <c r="A178" s="6"/>
      <c r="D178" s="17"/>
      <c r="E178" s="18"/>
      <c r="F178" s="17"/>
      <c r="G178" s="17"/>
      <c r="H178" s="17"/>
      <c r="I178" s="17"/>
      <c r="J178" s="17"/>
      <c r="K178" s="17"/>
      <c r="L178" s="17"/>
      <c r="M178" s="17"/>
    </row>
    <row r="179" spans="1:13" s="2" customFormat="1" x14ac:dyDescent="0.25">
      <c r="A179" s="6"/>
      <c r="D179" s="17"/>
      <c r="E179" s="18"/>
      <c r="F179" s="17"/>
      <c r="G179" s="17"/>
      <c r="H179" s="17"/>
      <c r="I179" s="17"/>
      <c r="J179" s="17"/>
      <c r="K179" s="17"/>
      <c r="L179" s="17"/>
      <c r="M179" s="17"/>
    </row>
    <row r="180" spans="1:13" s="2" customFormat="1" x14ac:dyDescent="0.25">
      <c r="A180" s="6"/>
      <c r="D180" s="17"/>
      <c r="E180" s="18"/>
      <c r="F180" s="17"/>
      <c r="G180" s="17"/>
      <c r="H180" s="17"/>
      <c r="I180" s="17"/>
      <c r="J180" s="17"/>
      <c r="K180" s="17"/>
      <c r="L180" s="17"/>
      <c r="M180" s="17"/>
    </row>
    <row r="181" spans="1:13" s="2" customFormat="1" x14ac:dyDescent="0.25">
      <c r="A181" s="6"/>
      <c r="D181" s="17"/>
      <c r="E181" s="18"/>
      <c r="F181" s="17"/>
      <c r="G181" s="17"/>
      <c r="H181" s="17"/>
      <c r="I181" s="17"/>
      <c r="J181" s="17"/>
      <c r="K181" s="17"/>
      <c r="L181" s="17"/>
      <c r="M181" s="17"/>
    </row>
    <row r="182" spans="1:13" s="2" customFormat="1" x14ac:dyDescent="0.25">
      <c r="A182" s="6"/>
      <c r="D182" s="17"/>
      <c r="E182" s="18"/>
      <c r="F182" s="17"/>
      <c r="G182" s="17"/>
      <c r="H182" s="17"/>
      <c r="I182" s="17"/>
      <c r="J182" s="17"/>
      <c r="K182" s="17"/>
      <c r="L182" s="17"/>
      <c r="M182" s="17"/>
    </row>
    <row r="183" spans="1:13" s="2" customFormat="1" x14ac:dyDescent="0.25">
      <c r="A183" s="6"/>
      <c r="D183" s="17"/>
      <c r="E183" s="18"/>
      <c r="F183" s="17"/>
      <c r="G183" s="17"/>
      <c r="H183" s="17"/>
      <c r="I183" s="17"/>
      <c r="J183" s="17"/>
      <c r="K183" s="17"/>
      <c r="L183" s="17"/>
      <c r="M183" s="17"/>
    </row>
    <row r="184" spans="1:13" s="2" customFormat="1" x14ac:dyDescent="0.25">
      <c r="A184" s="6"/>
      <c r="D184" s="17"/>
      <c r="E184" s="18"/>
      <c r="F184" s="17"/>
      <c r="G184" s="17"/>
      <c r="H184" s="17"/>
      <c r="I184" s="17"/>
      <c r="J184" s="17"/>
      <c r="K184" s="17"/>
      <c r="L184" s="17"/>
      <c r="M184" s="17"/>
    </row>
    <row r="185" spans="1:13" s="2" customFormat="1" x14ac:dyDescent="0.25">
      <c r="A185" s="6"/>
      <c r="D185" s="17"/>
      <c r="E185" s="18"/>
      <c r="F185" s="17"/>
      <c r="G185" s="17"/>
      <c r="H185" s="17"/>
      <c r="I185" s="17"/>
      <c r="J185" s="17"/>
      <c r="K185" s="17"/>
      <c r="L185" s="17"/>
      <c r="M185" s="17"/>
    </row>
    <row r="186" spans="1:13" s="2" customFormat="1" x14ac:dyDescent="0.25">
      <c r="A186" s="6"/>
      <c r="D186" s="17"/>
      <c r="E186" s="18"/>
      <c r="F186" s="17"/>
      <c r="G186" s="17"/>
      <c r="H186" s="17"/>
      <c r="I186" s="17"/>
      <c r="J186" s="17"/>
      <c r="K186" s="17"/>
      <c r="L186" s="17"/>
      <c r="M186" s="17"/>
    </row>
    <row r="187" spans="1:13" s="2" customFormat="1" x14ac:dyDescent="0.25">
      <c r="A187" s="6"/>
      <c r="D187" s="17"/>
      <c r="E187" s="18"/>
      <c r="F187" s="17"/>
      <c r="G187" s="17"/>
      <c r="H187" s="17"/>
      <c r="I187" s="17"/>
      <c r="J187" s="17"/>
      <c r="K187" s="17"/>
      <c r="L187" s="17"/>
      <c r="M187" s="17"/>
    </row>
    <row r="188" spans="1:13" s="2" customFormat="1" x14ac:dyDescent="0.25">
      <c r="A188" s="6"/>
      <c r="D188" s="17"/>
      <c r="E188" s="18"/>
      <c r="F188" s="17"/>
      <c r="G188" s="17"/>
      <c r="H188" s="17"/>
      <c r="I188" s="17"/>
      <c r="J188" s="17"/>
      <c r="K188" s="17"/>
      <c r="L188" s="17"/>
      <c r="M188" s="17"/>
    </row>
    <row r="189" spans="1:13" s="2" customFormat="1" x14ac:dyDescent="0.25">
      <c r="A189" s="6"/>
      <c r="D189" s="17"/>
      <c r="E189" s="18"/>
      <c r="F189" s="17"/>
      <c r="G189" s="17"/>
      <c r="H189" s="17"/>
      <c r="I189" s="17"/>
      <c r="J189" s="17"/>
      <c r="K189" s="17"/>
      <c r="L189" s="17"/>
      <c r="M189" s="17"/>
    </row>
    <row r="190" spans="1:13" s="2" customFormat="1" x14ac:dyDescent="0.25">
      <c r="A190" s="6"/>
      <c r="D190" s="17"/>
      <c r="E190" s="18"/>
      <c r="F190" s="17"/>
      <c r="G190" s="17"/>
      <c r="H190" s="17"/>
      <c r="I190" s="17"/>
      <c r="J190" s="17"/>
      <c r="K190" s="17"/>
      <c r="L190" s="17"/>
      <c r="M190" s="17"/>
    </row>
    <row r="191" spans="1:13" s="2" customFormat="1" x14ac:dyDescent="0.25">
      <c r="A191" s="6"/>
      <c r="D191" s="17"/>
      <c r="E191" s="18"/>
      <c r="F191" s="17"/>
      <c r="G191" s="17"/>
      <c r="H191" s="17"/>
      <c r="I191" s="17"/>
      <c r="J191" s="17"/>
      <c r="K191" s="17"/>
      <c r="L191" s="17"/>
      <c r="M191" s="17"/>
    </row>
    <row r="192" spans="1:13" s="2" customFormat="1" x14ac:dyDescent="0.25">
      <c r="A192" s="6"/>
      <c r="D192" s="17"/>
      <c r="E192" s="18"/>
      <c r="F192" s="17"/>
      <c r="G192" s="17"/>
      <c r="H192" s="17"/>
      <c r="I192" s="17"/>
      <c r="J192" s="17"/>
      <c r="K192" s="17"/>
      <c r="L192" s="17"/>
      <c r="M192" s="17"/>
    </row>
    <row r="193" spans="1:13" s="2" customFormat="1" x14ac:dyDescent="0.25">
      <c r="A193" s="6"/>
      <c r="D193" s="17"/>
      <c r="E193" s="18"/>
      <c r="F193" s="17"/>
      <c r="G193" s="17"/>
      <c r="H193" s="17"/>
      <c r="I193" s="17"/>
      <c r="J193" s="17"/>
      <c r="K193" s="17"/>
      <c r="L193" s="17"/>
      <c r="M193" s="17"/>
    </row>
    <row r="194" spans="1:13" s="2" customFormat="1" x14ac:dyDescent="0.25">
      <c r="A194" s="6"/>
      <c r="D194" s="17"/>
      <c r="E194" s="18"/>
      <c r="F194" s="17"/>
      <c r="G194" s="17"/>
      <c r="H194" s="17"/>
      <c r="I194" s="17"/>
      <c r="J194" s="17"/>
      <c r="K194" s="17"/>
      <c r="L194" s="17"/>
      <c r="M194" s="17"/>
    </row>
    <row r="195" spans="1:13" s="2" customFormat="1" x14ac:dyDescent="0.25">
      <c r="A195" s="6"/>
      <c r="D195" s="17"/>
      <c r="E195" s="18"/>
      <c r="F195" s="17"/>
      <c r="G195" s="17"/>
      <c r="H195" s="17"/>
      <c r="I195" s="17"/>
      <c r="J195" s="17"/>
      <c r="K195" s="17"/>
      <c r="L195" s="17"/>
      <c r="M195" s="17"/>
    </row>
    <row r="196" spans="1:13" s="2" customFormat="1" x14ac:dyDescent="0.25">
      <c r="A196" s="6"/>
      <c r="D196" s="17"/>
      <c r="E196" s="18"/>
      <c r="F196" s="17"/>
      <c r="G196" s="17"/>
      <c r="H196" s="17"/>
      <c r="I196" s="17"/>
      <c r="J196" s="17"/>
      <c r="K196" s="17"/>
      <c r="L196" s="17"/>
      <c r="M196" s="17"/>
    </row>
    <row r="197" spans="1:13" s="2" customFormat="1" x14ac:dyDescent="0.25">
      <c r="A197" s="6"/>
      <c r="D197" s="17"/>
      <c r="E197" s="18"/>
      <c r="F197" s="17"/>
      <c r="G197" s="17"/>
      <c r="H197" s="17"/>
      <c r="I197" s="17"/>
      <c r="J197" s="17"/>
      <c r="K197" s="17"/>
      <c r="L197" s="17"/>
      <c r="M197" s="17"/>
    </row>
    <row r="198" spans="1:13" s="2" customFormat="1" x14ac:dyDescent="0.25">
      <c r="A198" s="6"/>
      <c r="D198" s="17"/>
      <c r="E198" s="18"/>
      <c r="F198" s="17"/>
      <c r="G198" s="17"/>
      <c r="H198" s="17"/>
      <c r="I198" s="17"/>
      <c r="J198" s="17"/>
      <c r="K198" s="17"/>
      <c r="L198" s="17"/>
      <c r="M198" s="17"/>
    </row>
    <row r="199" spans="1:13" s="2" customFormat="1" x14ac:dyDescent="0.25">
      <c r="A199" s="6"/>
      <c r="D199" s="17"/>
      <c r="E199" s="18"/>
      <c r="F199" s="17"/>
      <c r="G199" s="17"/>
      <c r="H199" s="17"/>
      <c r="I199" s="17"/>
      <c r="J199" s="17"/>
      <c r="K199" s="17"/>
      <c r="L199" s="17"/>
      <c r="M199" s="17"/>
    </row>
    <row r="200" spans="1:13" s="2" customFormat="1" x14ac:dyDescent="0.25">
      <c r="A200" s="6"/>
      <c r="D200" s="17"/>
      <c r="E200" s="18"/>
      <c r="F200" s="17"/>
      <c r="G200" s="17"/>
      <c r="H200" s="17"/>
      <c r="I200" s="17"/>
      <c r="J200" s="17"/>
      <c r="K200" s="17"/>
      <c r="L200" s="17"/>
      <c r="M200" s="17"/>
    </row>
    <row r="201" spans="1:13" s="2" customFormat="1" x14ac:dyDescent="0.25">
      <c r="A201" s="6"/>
      <c r="D201" s="17"/>
      <c r="E201" s="18"/>
      <c r="F201" s="17"/>
      <c r="G201" s="17"/>
      <c r="H201" s="17"/>
      <c r="I201" s="17"/>
      <c r="J201" s="17"/>
      <c r="K201" s="17"/>
      <c r="L201" s="17"/>
      <c r="M201" s="17"/>
    </row>
    <row r="202" spans="1:13" s="2" customFormat="1" x14ac:dyDescent="0.25">
      <c r="A202" s="6"/>
      <c r="D202" s="17"/>
      <c r="E202" s="18"/>
      <c r="F202" s="17"/>
      <c r="G202" s="17"/>
      <c r="H202" s="17"/>
      <c r="I202" s="17"/>
      <c r="J202" s="17"/>
      <c r="K202" s="17"/>
      <c r="L202" s="17"/>
      <c r="M202" s="17"/>
    </row>
    <row r="203" spans="1:13" s="2" customFormat="1" x14ac:dyDescent="0.25">
      <c r="A203" s="6"/>
      <c r="D203" s="17"/>
      <c r="E203" s="18"/>
      <c r="F203" s="17"/>
      <c r="G203" s="17"/>
      <c r="H203" s="17"/>
      <c r="I203" s="17"/>
      <c r="J203" s="17"/>
      <c r="K203" s="17"/>
      <c r="L203" s="17"/>
      <c r="M203" s="17"/>
    </row>
    <row r="204" spans="1:13" s="2" customFormat="1" x14ac:dyDescent="0.25">
      <c r="A204" s="6"/>
      <c r="D204" s="17"/>
      <c r="E204" s="18"/>
      <c r="F204" s="17"/>
      <c r="G204" s="17"/>
      <c r="H204" s="17"/>
      <c r="I204" s="17"/>
      <c r="J204" s="17"/>
      <c r="K204" s="17"/>
      <c r="L204" s="17"/>
      <c r="M204" s="17"/>
    </row>
    <row r="205" spans="1:13" s="2" customFormat="1" x14ac:dyDescent="0.25">
      <c r="A205" s="6"/>
      <c r="D205" s="17"/>
      <c r="E205" s="18"/>
      <c r="F205" s="17"/>
      <c r="G205" s="17"/>
      <c r="H205" s="17"/>
      <c r="I205" s="17"/>
      <c r="J205" s="17"/>
      <c r="K205" s="17"/>
      <c r="L205" s="17"/>
      <c r="M205" s="17"/>
    </row>
    <row r="206" spans="1:13" s="2" customFormat="1" x14ac:dyDescent="0.25">
      <c r="A206" s="6"/>
      <c r="D206" s="17"/>
      <c r="E206" s="18"/>
      <c r="F206" s="17"/>
      <c r="G206" s="17"/>
      <c r="H206" s="17"/>
      <c r="I206" s="17"/>
      <c r="J206" s="17"/>
      <c r="K206" s="17"/>
      <c r="L206" s="17"/>
      <c r="M206" s="17"/>
    </row>
    <row r="207" spans="1:13" s="2" customFormat="1" x14ac:dyDescent="0.25">
      <c r="A207" s="6"/>
      <c r="D207" s="17"/>
      <c r="E207" s="18"/>
      <c r="F207" s="17"/>
      <c r="G207" s="17"/>
      <c r="H207" s="17"/>
      <c r="I207" s="17"/>
      <c r="J207" s="17"/>
      <c r="K207" s="17"/>
      <c r="L207" s="17"/>
      <c r="M207" s="17"/>
    </row>
    <row r="208" spans="1:13" s="2" customFormat="1" x14ac:dyDescent="0.25">
      <c r="A208" s="6"/>
      <c r="D208" s="17"/>
      <c r="E208" s="18"/>
      <c r="F208" s="17"/>
      <c r="G208" s="17"/>
      <c r="H208" s="17"/>
      <c r="I208" s="17"/>
      <c r="J208" s="17"/>
      <c r="K208" s="17"/>
      <c r="L208" s="17"/>
      <c r="M208" s="17"/>
    </row>
    <row r="209" spans="1:13" s="2" customFormat="1" x14ac:dyDescent="0.25">
      <c r="A209" s="6"/>
      <c r="D209" s="17"/>
      <c r="E209" s="18"/>
      <c r="F209" s="17"/>
      <c r="G209" s="17"/>
      <c r="H209" s="17"/>
      <c r="I209" s="17"/>
      <c r="J209" s="17"/>
      <c r="K209" s="17"/>
      <c r="L209" s="17"/>
      <c r="M209" s="17"/>
    </row>
    <row r="210" spans="1:13" s="2" customFormat="1" x14ac:dyDescent="0.25">
      <c r="A210" s="6"/>
      <c r="D210" s="17"/>
      <c r="E210" s="18"/>
      <c r="F210" s="17"/>
      <c r="G210" s="17"/>
      <c r="H210" s="17"/>
      <c r="I210" s="17"/>
      <c r="J210" s="17"/>
      <c r="K210" s="17"/>
      <c r="L210" s="17"/>
      <c r="M210" s="17"/>
    </row>
    <row r="211" spans="1:13" s="2" customFormat="1" x14ac:dyDescent="0.25">
      <c r="A211" s="6"/>
      <c r="D211" s="17"/>
      <c r="E211" s="18"/>
      <c r="F211" s="17"/>
      <c r="G211" s="17"/>
      <c r="H211" s="17"/>
      <c r="I211" s="17"/>
      <c r="J211" s="17"/>
      <c r="K211" s="17"/>
      <c r="L211" s="17"/>
      <c r="M211" s="17"/>
    </row>
    <row r="212" spans="1:13" s="2" customFormat="1" x14ac:dyDescent="0.25">
      <c r="A212" s="6"/>
      <c r="D212" s="17"/>
      <c r="E212" s="18"/>
      <c r="F212" s="17"/>
      <c r="G212" s="17"/>
      <c r="H212" s="17"/>
      <c r="I212" s="17"/>
      <c r="J212" s="17"/>
      <c r="K212" s="17"/>
      <c r="L212" s="17"/>
      <c r="M212" s="17"/>
    </row>
    <row r="213" spans="1:13" s="2" customFormat="1" x14ac:dyDescent="0.25">
      <c r="A213" s="6"/>
      <c r="D213" s="17"/>
      <c r="E213" s="18"/>
      <c r="F213" s="17"/>
      <c r="G213" s="17"/>
      <c r="H213" s="17"/>
      <c r="I213" s="17"/>
      <c r="J213" s="17"/>
      <c r="K213" s="17"/>
      <c r="L213" s="17"/>
      <c r="M213" s="17"/>
    </row>
    <row r="214" spans="1:13" s="2" customFormat="1" x14ac:dyDescent="0.25">
      <c r="A214" s="6"/>
      <c r="D214" s="17"/>
      <c r="E214" s="18"/>
      <c r="F214" s="17"/>
      <c r="G214" s="17"/>
      <c r="H214" s="17"/>
      <c r="I214" s="17"/>
      <c r="J214" s="17"/>
      <c r="K214" s="17"/>
      <c r="L214" s="17"/>
      <c r="M214" s="17"/>
    </row>
    <row r="215" spans="1:13" s="2" customFormat="1" x14ac:dyDescent="0.25">
      <c r="A215" s="6"/>
      <c r="D215" s="17"/>
      <c r="E215" s="18"/>
      <c r="F215" s="17"/>
      <c r="G215" s="17"/>
      <c r="H215" s="17"/>
      <c r="I215" s="17"/>
      <c r="J215" s="17"/>
      <c r="K215" s="17"/>
      <c r="L215" s="17"/>
      <c r="M215" s="17"/>
    </row>
    <row r="216" spans="1:13" s="2" customFormat="1" x14ac:dyDescent="0.25">
      <c r="A216" s="6"/>
      <c r="D216" s="17"/>
      <c r="E216" s="18"/>
      <c r="F216" s="17"/>
      <c r="G216" s="17"/>
      <c r="H216" s="17"/>
      <c r="I216" s="17"/>
      <c r="J216" s="17"/>
      <c r="K216" s="17"/>
      <c r="L216" s="17"/>
      <c r="M216" s="17"/>
    </row>
    <row r="217" spans="1:13" s="2" customFormat="1" x14ac:dyDescent="0.25">
      <c r="A217" s="6"/>
      <c r="D217" s="17"/>
      <c r="E217" s="18"/>
      <c r="F217" s="17"/>
      <c r="G217" s="17"/>
      <c r="H217" s="17"/>
      <c r="I217" s="17"/>
      <c r="J217" s="17"/>
      <c r="K217" s="17"/>
      <c r="L217" s="17"/>
      <c r="M217" s="17"/>
    </row>
    <row r="218" spans="1:13" s="2" customFormat="1" x14ac:dyDescent="0.25">
      <c r="A218" s="6"/>
      <c r="D218" s="17"/>
      <c r="E218" s="18"/>
      <c r="F218" s="17"/>
      <c r="G218" s="17"/>
      <c r="H218" s="17"/>
      <c r="I218" s="17"/>
      <c r="J218" s="17"/>
      <c r="K218" s="17"/>
      <c r="L218" s="17"/>
      <c r="M218" s="17"/>
    </row>
    <row r="219" spans="1:13" s="2" customFormat="1" x14ac:dyDescent="0.25">
      <c r="A219" s="6"/>
      <c r="D219" s="17"/>
      <c r="E219" s="18"/>
      <c r="F219" s="17"/>
      <c r="G219" s="17"/>
      <c r="H219" s="17"/>
      <c r="I219" s="17"/>
      <c r="J219" s="17"/>
      <c r="K219" s="17"/>
      <c r="L219" s="17"/>
      <c r="M219" s="17"/>
    </row>
    <row r="220" spans="1:13" s="2" customFormat="1" x14ac:dyDescent="0.25">
      <c r="A220" s="6"/>
      <c r="D220" s="17"/>
      <c r="E220" s="18"/>
      <c r="F220" s="17"/>
      <c r="G220" s="17"/>
      <c r="H220" s="17"/>
      <c r="I220" s="17"/>
      <c r="J220" s="17"/>
      <c r="K220" s="17"/>
      <c r="L220" s="17"/>
      <c r="M220" s="17"/>
    </row>
    <row r="221" spans="1:13" s="2" customFormat="1" x14ac:dyDescent="0.25">
      <c r="A221" s="6"/>
      <c r="D221" s="17"/>
      <c r="E221" s="18"/>
      <c r="F221" s="17"/>
      <c r="G221" s="17"/>
      <c r="H221" s="17"/>
      <c r="I221" s="17"/>
      <c r="J221" s="17"/>
      <c r="K221" s="17"/>
      <c r="L221" s="17"/>
      <c r="M221" s="17"/>
    </row>
    <row r="222" spans="1:13" s="2" customFormat="1" x14ac:dyDescent="0.25">
      <c r="A222" s="6"/>
      <c r="D222" s="17"/>
      <c r="E222" s="18"/>
      <c r="F222" s="17"/>
      <c r="G222" s="17"/>
      <c r="H222" s="17"/>
      <c r="I222" s="17"/>
      <c r="J222" s="17"/>
      <c r="K222" s="17"/>
      <c r="L222" s="17"/>
      <c r="M222" s="17"/>
    </row>
    <row r="223" spans="1:13" s="2" customFormat="1" x14ac:dyDescent="0.25">
      <c r="A223" s="6"/>
      <c r="D223" s="17"/>
      <c r="E223" s="18"/>
      <c r="F223" s="17"/>
      <c r="G223" s="17"/>
      <c r="H223" s="17"/>
      <c r="I223" s="17"/>
      <c r="J223" s="17"/>
      <c r="K223" s="17"/>
      <c r="L223" s="17"/>
      <c r="M223" s="17"/>
    </row>
    <row r="224" spans="1:13" s="2" customFormat="1" x14ac:dyDescent="0.25">
      <c r="A224" s="6"/>
      <c r="D224" s="17"/>
      <c r="E224" s="18"/>
      <c r="F224" s="17"/>
      <c r="G224" s="17"/>
      <c r="H224" s="17"/>
      <c r="I224" s="17"/>
      <c r="J224" s="17"/>
      <c r="K224" s="17"/>
      <c r="L224" s="17"/>
      <c r="M224" s="17"/>
    </row>
    <row r="225" spans="1:13" s="2" customFormat="1" x14ac:dyDescent="0.25">
      <c r="A225" s="6"/>
      <c r="D225" s="17"/>
      <c r="E225" s="18"/>
      <c r="F225" s="17"/>
      <c r="G225" s="17"/>
      <c r="H225" s="17"/>
      <c r="I225" s="17"/>
      <c r="J225" s="17"/>
      <c r="K225" s="17"/>
      <c r="L225" s="17"/>
      <c r="M225" s="17"/>
    </row>
    <row r="226" spans="1:13" s="2" customFormat="1" x14ac:dyDescent="0.25">
      <c r="A226" s="6"/>
      <c r="D226" s="17"/>
      <c r="E226" s="18"/>
      <c r="F226" s="17"/>
      <c r="G226" s="17"/>
      <c r="H226" s="17"/>
      <c r="I226" s="17"/>
      <c r="J226" s="17"/>
      <c r="K226" s="17"/>
      <c r="L226" s="17"/>
      <c r="M226" s="17"/>
    </row>
    <row r="227" spans="1:13" s="2" customFormat="1" x14ac:dyDescent="0.25">
      <c r="A227" s="6"/>
      <c r="D227" s="17"/>
      <c r="E227" s="18"/>
      <c r="F227" s="17"/>
      <c r="G227" s="17"/>
      <c r="H227" s="17"/>
      <c r="I227" s="17"/>
      <c r="J227" s="17"/>
      <c r="K227" s="17"/>
      <c r="L227" s="17"/>
      <c r="M227" s="17"/>
    </row>
    <row r="228" spans="1:13" s="2" customFormat="1" x14ac:dyDescent="0.25">
      <c r="A228" s="6"/>
      <c r="D228" s="17"/>
      <c r="E228" s="18"/>
      <c r="F228" s="17"/>
      <c r="G228" s="17"/>
      <c r="H228" s="17"/>
      <c r="I228" s="17"/>
      <c r="J228" s="17"/>
      <c r="K228" s="17"/>
      <c r="L228" s="17"/>
      <c r="M228" s="17"/>
    </row>
    <row r="229" spans="1:13" s="2" customFormat="1" x14ac:dyDescent="0.25">
      <c r="A229" s="6"/>
      <c r="D229" s="17"/>
      <c r="E229" s="18"/>
      <c r="F229" s="17"/>
      <c r="G229" s="17"/>
      <c r="H229" s="17"/>
      <c r="I229" s="17"/>
      <c r="J229" s="17"/>
      <c r="K229" s="17"/>
      <c r="L229" s="17"/>
      <c r="M229" s="17"/>
    </row>
    <row r="230" spans="1:13" s="2" customFormat="1" x14ac:dyDescent="0.25">
      <c r="A230" s="6"/>
      <c r="D230" s="17"/>
      <c r="E230" s="18"/>
      <c r="F230" s="17"/>
      <c r="G230" s="17"/>
      <c r="H230" s="17"/>
      <c r="I230" s="17"/>
      <c r="J230" s="17"/>
      <c r="K230" s="17"/>
      <c r="L230" s="17"/>
      <c r="M230" s="17"/>
    </row>
    <row r="231" spans="1:13" s="2" customFormat="1" x14ac:dyDescent="0.25">
      <c r="A231" s="6"/>
      <c r="D231" s="17"/>
      <c r="E231" s="18"/>
      <c r="F231" s="17"/>
      <c r="G231" s="17"/>
      <c r="H231" s="17"/>
      <c r="I231" s="17"/>
      <c r="J231" s="17"/>
      <c r="K231" s="17"/>
      <c r="L231" s="17"/>
      <c r="M231" s="17"/>
    </row>
    <row r="232" spans="1:13" s="2" customFormat="1" x14ac:dyDescent="0.25">
      <c r="A232" s="6"/>
      <c r="D232" s="17"/>
      <c r="E232" s="18"/>
      <c r="F232" s="17"/>
      <c r="G232" s="17"/>
      <c r="H232" s="17"/>
      <c r="I232" s="17"/>
      <c r="J232" s="17"/>
      <c r="K232" s="17"/>
      <c r="L232" s="17"/>
      <c r="M232" s="17"/>
    </row>
    <row r="233" spans="1:13" s="2" customFormat="1" x14ac:dyDescent="0.25">
      <c r="A233" s="6"/>
      <c r="D233" s="17"/>
      <c r="E233" s="18"/>
      <c r="F233" s="17"/>
      <c r="G233" s="17"/>
      <c r="H233" s="17"/>
      <c r="I233" s="17"/>
      <c r="J233" s="17"/>
      <c r="K233" s="17"/>
      <c r="L233" s="17"/>
      <c r="M233" s="17"/>
    </row>
    <row r="234" spans="1:13" s="2" customFormat="1" x14ac:dyDescent="0.25">
      <c r="A234" s="6"/>
      <c r="D234" s="17"/>
      <c r="E234" s="18"/>
      <c r="F234" s="17"/>
      <c r="G234" s="17"/>
      <c r="H234" s="17"/>
      <c r="I234" s="17"/>
      <c r="J234" s="17"/>
      <c r="K234" s="17"/>
      <c r="L234" s="17"/>
      <c r="M234" s="17"/>
    </row>
    <row r="235" spans="1:13" s="2" customFormat="1" x14ac:dyDescent="0.25">
      <c r="A235" s="6"/>
      <c r="D235" s="17"/>
      <c r="E235" s="18"/>
      <c r="F235" s="17"/>
      <c r="G235" s="17"/>
      <c r="H235" s="17"/>
      <c r="I235" s="17"/>
      <c r="J235" s="17"/>
      <c r="K235" s="17"/>
      <c r="L235" s="17"/>
      <c r="M235" s="17"/>
    </row>
    <row r="236" spans="1:13" s="2" customFormat="1" x14ac:dyDescent="0.25">
      <c r="A236" s="6"/>
      <c r="D236" s="17"/>
      <c r="E236" s="18"/>
      <c r="F236" s="17"/>
      <c r="G236" s="17"/>
      <c r="H236" s="17"/>
      <c r="I236" s="17"/>
      <c r="J236" s="17"/>
      <c r="K236" s="17"/>
      <c r="L236" s="17"/>
      <c r="M236" s="17"/>
    </row>
    <row r="237" spans="1:13" s="2" customFormat="1" x14ac:dyDescent="0.25">
      <c r="A237" s="6"/>
      <c r="D237" s="17"/>
      <c r="E237" s="18"/>
      <c r="F237" s="17"/>
      <c r="G237" s="17"/>
      <c r="H237" s="17"/>
      <c r="I237" s="17"/>
      <c r="J237" s="17"/>
      <c r="K237" s="17"/>
      <c r="L237" s="17"/>
      <c r="M237" s="17"/>
    </row>
    <row r="238" spans="1:13" s="2" customFormat="1" x14ac:dyDescent="0.25">
      <c r="A238" s="6"/>
      <c r="D238" s="17"/>
      <c r="E238" s="18"/>
      <c r="F238" s="17"/>
      <c r="G238" s="17"/>
      <c r="H238" s="17"/>
      <c r="I238" s="17"/>
      <c r="J238" s="17"/>
      <c r="K238" s="17"/>
      <c r="L238" s="17"/>
      <c r="M238" s="17"/>
    </row>
    <row r="239" spans="1:13" s="2" customFormat="1" x14ac:dyDescent="0.25">
      <c r="A239" s="6"/>
      <c r="D239" s="17"/>
      <c r="E239" s="18"/>
      <c r="F239" s="17"/>
      <c r="G239" s="17"/>
      <c r="H239" s="17"/>
      <c r="I239" s="17"/>
      <c r="J239" s="17"/>
      <c r="K239" s="17"/>
      <c r="L239" s="17"/>
      <c r="M239" s="17"/>
    </row>
    <row r="240" spans="1:13" s="2" customFormat="1" x14ac:dyDescent="0.25">
      <c r="A240" s="6"/>
      <c r="D240" s="17"/>
      <c r="E240" s="18"/>
      <c r="F240" s="17"/>
      <c r="G240" s="17"/>
      <c r="H240" s="17"/>
      <c r="I240" s="17"/>
      <c r="J240" s="17"/>
      <c r="K240" s="17"/>
      <c r="L240" s="17"/>
      <c r="M240" s="17"/>
    </row>
    <row r="241" spans="1:13" s="2" customFormat="1" x14ac:dyDescent="0.25">
      <c r="A241" s="6"/>
      <c r="D241" s="17"/>
      <c r="E241" s="18"/>
      <c r="F241" s="17"/>
      <c r="G241" s="17"/>
      <c r="H241" s="17"/>
      <c r="I241" s="17"/>
      <c r="J241" s="17"/>
      <c r="K241" s="17"/>
      <c r="L241" s="17"/>
      <c r="M241" s="17"/>
    </row>
    <row r="242" spans="1:13" s="2" customFormat="1" x14ac:dyDescent="0.25">
      <c r="A242" s="6"/>
      <c r="D242" s="17"/>
      <c r="E242" s="18"/>
      <c r="F242" s="17"/>
      <c r="G242" s="17"/>
      <c r="H242" s="17"/>
      <c r="I242" s="17"/>
      <c r="J242" s="17"/>
      <c r="K242" s="17"/>
      <c r="L242" s="17"/>
      <c r="M242" s="17"/>
    </row>
    <row r="243" spans="1:13" s="2" customFormat="1" x14ac:dyDescent="0.25">
      <c r="A243" s="6"/>
      <c r="D243" s="17"/>
      <c r="E243" s="18"/>
      <c r="F243" s="17"/>
      <c r="G243" s="17"/>
      <c r="H243" s="17"/>
      <c r="I243" s="17"/>
      <c r="J243" s="17"/>
      <c r="K243" s="17"/>
      <c r="L243" s="17"/>
      <c r="M243" s="17"/>
    </row>
    <row r="244" spans="1:13" s="2" customFormat="1" x14ac:dyDescent="0.25">
      <c r="A244" s="6"/>
      <c r="D244" s="17"/>
      <c r="E244" s="18"/>
      <c r="F244" s="17"/>
      <c r="G244" s="17"/>
      <c r="H244" s="17"/>
      <c r="I244" s="17"/>
      <c r="J244" s="17"/>
      <c r="K244" s="17"/>
      <c r="L244" s="17"/>
      <c r="M244" s="17"/>
    </row>
    <row r="245" spans="1:13" s="2" customFormat="1" x14ac:dyDescent="0.25">
      <c r="A245" s="6"/>
      <c r="D245" s="17"/>
      <c r="E245" s="18"/>
      <c r="F245" s="17"/>
      <c r="G245" s="17"/>
      <c r="H245" s="17"/>
      <c r="I245" s="17"/>
      <c r="J245" s="17"/>
      <c r="K245" s="17"/>
      <c r="L245" s="17"/>
      <c r="M245" s="17"/>
    </row>
    <row r="246" spans="1:13" s="2" customFormat="1" x14ac:dyDescent="0.25">
      <c r="A246" s="6"/>
      <c r="D246" s="17"/>
      <c r="E246" s="18"/>
      <c r="F246" s="17"/>
      <c r="G246" s="17"/>
      <c r="H246" s="17"/>
      <c r="I246" s="17"/>
      <c r="J246" s="17"/>
      <c r="K246" s="17"/>
      <c r="L246" s="17"/>
      <c r="M246" s="17"/>
    </row>
    <row r="247" spans="1:13" s="2" customFormat="1" x14ac:dyDescent="0.25">
      <c r="A247" s="6"/>
      <c r="D247" s="17"/>
      <c r="E247" s="18"/>
      <c r="F247" s="17"/>
      <c r="G247" s="17"/>
      <c r="H247" s="17"/>
      <c r="I247" s="17"/>
      <c r="J247" s="17"/>
      <c r="K247" s="17"/>
      <c r="L247" s="17"/>
      <c r="M247" s="17"/>
    </row>
    <row r="248" spans="1:13" s="2" customFormat="1" x14ac:dyDescent="0.25">
      <c r="A248" s="6"/>
      <c r="D248" s="17"/>
      <c r="E248" s="18"/>
      <c r="F248" s="17"/>
      <c r="G248" s="17"/>
      <c r="H248" s="17"/>
      <c r="I248" s="17"/>
      <c r="J248" s="17"/>
      <c r="K248" s="17"/>
      <c r="L248" s="17"/>
      <c r="M248" s="17"/>
    </row>
    <row r="249" spans="1:13" s="2" customFormat="1" x14ac:dyDescent="0.25">
      <c r="A249" s="6"/>
      <c r="D249" s="17"/>
      <c r="E249" s="18"/>
      <c r="F249" s="17"/>
      <c r="G249" s="17"/>
      <c r="H249" s="17"/>
      <c r="I249" s="17"/>
      <c r="J249" s="17"/>
      <c r="K249" s="17"/>
      <c r="L249" s="17"/>
      <c r="M249" s="17"/>
    </row>
    <row r="250" spans="1:13" s="2" customFormat="1" x14ac:dyDescent="0.25">
      <c r="A250" s="6"/>
      <c r="D250" s="17"/>
      <c r="E250" s="18"/>
      <c r="F250" s="17"/>
      <c r="G250" s="17"/>
      <c r="H250" s="17"/>
      <c r="I250" s="17"/>
      <c r="J250" s="17"/>
      <c r="K250" s="17"/>
      <c r="L250" s="17"/>
      <c r="M250" s="17"/>
    </row>
    <row r="251" spans="1:13" s="2" customFormat="1" x14ac:dyDescent="0.25">
      <c r="A251" s="6"/>
      <c r="D251" s="17"/>
      <c r="E251" s="18"/>
      <c r="F251" s="17"/>
      <c r="G251" s="17"/>
      <c r="H251" s="17"/>
      <c r="I251" s="17"/>
      <c r="J251" s="17"/>
      <c r="K251" s="17"/>
      <c r="L251" s="17"/>
      <c r="M251" s="17"/>
    </row>
    <row r="252" spans="1:13" s="2" customFormat="1" x14ac:dyDescent="0.25">
      <c r="A252" s="6"/>
      <c r="D252" s="17"/>
      <c r="E252" s="18"/>
      <c r="F252" s="17"/>
      <c r="G252" s="17"/>
      <c r="H252" s="17"/>
      <c r="I252" s="17"/>
      <c r="J252" s="17"/>
      <c r="K252" s="17"/>
      <c r="L252" s="17"/>
      <c r="M252" s="17"/>
    </row>
    <row r="253" spans="1:13" s="2" customFormat="1" x14ac:dyDescent="0.25">
      <c r="A253" s="6"/>
      <c r="D253" s="17"/>
      <c r="E253" s="18"/>
      <c r="F253" s="17"/>
      <c r="G253" s="17"/>
      <c r="H253" s="17"/>
      <c r="I253" s="17"/>
      <c r="J253" s="17"/>
      <c r="K253" s="17"/>
      <c r="L253" s="17"/>
      <c r="M253" s="17"/>
    </row>
    <row r="254" spans="1:13" s="2" customFormat="1" x14ac:dyDescent="0.25">
      <c r="A254" s="6"/>
      <c r="D254" s="17"/>
      <c r="E254" s="18"/>
      <c r="F254" s="17"/>
      <c r="G254" s="17"/>
      <c r="H254" s="17"/>
      <c r="I254" s="17"/>
      <c r="J254" s="17"/>
      <c r="K254" s="17"/>
      <c r="L254" s="17"/>
      <c r="M254" s="17"/>
    </row>
    <row r="255" spans="1:13" s="2" customFormat="1" x14ac:dyDescent="0.25">
      <c r="A255" s="6"/>
      <c r="D255" s="17"/>
      <c r="E255" s="18"/>
      <c r="F255" s="17"/>
      <c r="G255" s="17"/>
      <c r="H255" s="17"/>
      <c r="I255" s="17"/>
      <c r="J255" s="17"/>
      <c r="K255" s="17"/>
      <c r="L255" s="17"/>
      <c r="M255" s="17"/>
    </row>
    <row r="256" spans="1:13" s="2" customFormat="1" x14ac:dyDescent="0.25">
      <c r="A256" s="6"/>
      <c r="D256" s="17"/>
      <c r="E256" s="18"/>
      <c r="F256" s="17"/>
      <c r="G256" s="17"/>
      <c r="H256" s="17"/>
      <c r="I256" s="17"/>
      <c r="J256" s="17"/>
      <c r="K256" s="17"/>
      <c r="L256" s="17"/>
      <c r="M256" s="17"/>
    </row>
    <row r="257" spans="1:13" s="2" customFormat="1" x14ac:dyDescent="0.25">
      <c r="A257" s="6"/>
      <c r="D257" s="17"/>
      <c r="E257" s="18"/>
      <c r="F257" s="17"/>
      <c r="G257" s="17"/>
      <c r="H257" s="17"/>
      <c r="I257" s="17"/>
      <c r="J257" s="17"/>
      <c r="K257" s="17"/>
      <c r="L257" s="17"/>
      <c r="M257" s="17"/>
    </row>
    <row r="258" spans="1:13" s="2" customFormat="1" x14ac:dyDescent="0.25">
      <c r="A258" s="6"/>
      <c r="D258" s="17"/>
      <c r="E258" s="18"/>
      <c r="F258" s="17"/>
      <c r="G258" s="17"/>
      <c r="H258" s="17"/>
      <c r="I258" s="17"/>
      <c r="J258" s="17"/>
      <c r="K258" s="17"/>
      <c r="L258" s="17"/>
      <c r="M258" s="17"/>
    </row>
    <row r="259" spans="1:13" s="2" customFormat="1" x14ac:dyDescent="0.25">
      <c r="A259" s="6"/>
      <c r="D259" s="17"/>
      <c r="E259" s="18"/>
      <c r="F259" s="17"/>
      <c r="G259" s="17"/>
      <c r="H259" s="17"/>
      <c r="I259" s="17"/>
      <c r="J259" s="17"/>
      <c r="K259" s="17"/>
      <c r="L259" s="17"/>
      <c r="M259" s="17"/>
    </row>
    <row r="260" spans="1:13" s="2" customFormat="1" x14ac:dyDescent="0.25">
      <c r="A260" s="6"/>
      <c r="D260" s="17"/>
      <c r="E260" s="18"/>
      <c r="F260" s="17"/>
      <c r="G260" s="17"/>
      <c r="H260" s="17"/>
      <c r="I260" s="17"/>
      <c r="J260" s="17"/>
      <c r="K260" s="17"/>
      <c r="L260" s="17"/>
      <c r="M260" s="17"/>
    </row>
    <row r="261" spans="1:13" s="2" customFormat="1" x14ac:dyDescent="0.25">
      <c r="A261" s="6"/>
      <c r="D261" s="17"/>
      <c r="E261" s="18"/>
      <c r="F261" s="17"/>
      <c r="G261" s="17"/>
      <c r="H261" s="17"/>
      <c r="I261" s="17"/>
      <c r="J261" s="17"/>
      <c r="K261" s="17"/>
      <c r="L261" s="17"/>
      <c r="M261" s="17"/>
    </row>
    <row r="262" spans="1:13" s="2" customFormat="1" x14ac:dyDescent="0.25">
      <c r="A262" s="6"/>
      <c r="D262" s="17"/>
      <c r="E262" s="18"/>
      <c r="F262" s="17"/>
      <c r="G262" s="17"/>
      <c r="H262" s="17"/>
      <c r="I262" s="17"/>
      <c r="J262" s="17"/>
      <c r="K262" s="17"/>
      <c r="L262" s="17"/>
      <c r="M262" s="17"/>
    </row>
    <row r="263" spans="1:13" s="2" customFormat="1" x14ac:dyDescent="0.25">
      <c r="A263" s="6"/>
      <c r="D263" s="17"/>
      <c r="E263" s="18"/>
      <c r="F263" s="17"/>
      <c r="G263" s="17"/>
      <c r="H263" s="17"/>
      <c r="I263" s="17"/>
      <c r="J263" s="17"/>
      <c r="K263" s="17"/>
      <c r="L263" s="17"/>
      <c r="M263" s="17"/>
    </row>
    <row r="264" spans="1:13" s="2" customFormat="1" x14ac:dyDescent="0.25">
      <c r="A264" s="6"/>
      <c r="D264" s="17"/>
      <c r="E264" s="18"/>
      <c r="F264" s="17"/>
      <c r="G264" s="17"/>
      <c r="H264" s="17"/>
      <c r="I264" s="17"/>
      <c r="J264" s="17"/>
      <c r="K264" s="17"/>
      <c r="L264" s="17"/>
      <c r="M264" s="17"/>
    </row>
    <row r="265" spans="1:13" s="2" customFormat="1" x14ac:dyDescent="0.25">
      <c r="A265" s="6"/>
      <c r="D265" s="17"/>
      <c r="E265" s="18"/>
      <c r="F265" s="17"/>
      <c r="G265" s="17"/>
      <c r="H265" s="17"/>
      <c r="I265" s="17"/>
      <c r="J265" s="17"/>
      <c r="K265" s="17"/>
      <c r="L265" s="17"/>
      <c r="M265" s="17"/>
    </row>
    <row r="266" spans="1:13" s="2" customFormat="1" x14ac:dyDescent="0.25">
      <c r="A266" s="6"/>
      <c r="D266" s="17"/>
      <c r="E266" s="18"/>
      <c r="F266" s="17"/>
      <c r="G266" s="17"/>
      <c r="H266" s="17"/>
      <c r="I266" s="17"/>
      <c r="J266" s="17"/>
      <c r="K266" s="17"/>
      <c r="L266" s="17"/>
      <c r="M266" s="17"/>
    </row>
    <row r="267" spans="1:13" s="2" customFormat="1" x14ac:dyDescent="0.25">
      <c r="A267" s="6"/>
      <c r="D267" s="17"/>
      <c r="E267" s="18"/>
      <c r="F267" s="17"/>
      <c r="G267" s="17"/>
      <c r="H267" s="17"/>
      <c r="I267" s="17"/>
      <c r="J267" s="17"/>
      <c r="K267" s="17"/>
      <c r="L267" s="17"/>
      <c r="M267" s="17"/>
    </row>
    <row r="268" spans="1:13" s="2" customFormat="1" x14ac:dyDescent="0.25">
      <c r="A268" s="6"/>
      <c r="D268" s="17"/>
      <c r="E268" s="18"/>
      <c r="F268" s="17"/>
      <c r="G268" s="17"/>
      <c r="H268" s="17"/>
      <c r="I268" s="17"/>
      <c r="J268" s="17"/>
      <c r="K268" s="17"/>
      <c r="L268" s="17"/>
      <c r="M268" s="17"/>
    </row>
    <row r="269" spans="1:13" s="2" customFormat="1" x14ac:dyDescent="0.25">
      <c r="A269" s="6"/>
      <c r="D269" s="17"/>
      <c r="E269" s="18"/>
      <c r="F269" s="17"/>
      <c r="G269" s="17"/>
      <c r="H269" s="17"/>
      <c r="I269" s="17"/>
      <c r="J269" s="17"/>
      <c r="K269" s="17"/>
      <c r="L269" s="17"/>
      <c r="M269" s="17"/>
    </row>
    <row r="270" spans="1:13" s="2" customFormat="1" x14ac:dyDescent="0.25">
      <c r="A270" s="6"/>
      <c r="D270" s="17"/>
      <c r="E270" s="18"/>
      <c r="F270" s="17"/>
      <c r="G270" s="17"/>
      <c r="H270" s="17"/>
      <c r="I270" s="17"/>
      <c r="J270" s="17"/>
      <c r="K270" s="17"/>
      <c r="L270" s="17"/>
      <c r="M270" s="17"/>
    </row>
    <row r="271" spans="1:13" s="2" customFormat="1" x14ac:dyDescent="0.25">
      <c r="A271" s="6"/>
      <c r="D271" s="17"/>
      <c r="E271" s="18"/>
      <c r="F271" s="17"/>
      <c r="G271" s="17"/>
      <c r="H271" s="17"/>
      <c r="I271" s="17"/>
      <c r="J271" s="17"/>
      <c r="K271" s="17"/>
      <c r="L271" s="17"/>
      <c r="M271" s="17"/>
    </row>
    <row r="272" spans="1:13" s="2" customFormat="1" x14ac:dyDescent="0.25">
      <c r="A272" s="6"/>
      <c r="D272" s="17"/>
      <c r="E272" s="18"/>
      <c r="F272" s="17"/>
      <c r="G272" s="17"/>
      <c r="H272" s="17"/>
      <c r="I272" s="17"/>
      <c r="J272" s="17"/>
      <c r="K272" s="17"/>
      <c r="L272" s="17"/>
      <c r="M272" s="17"/>
    </row>
    <row r="273" spans="1:13" s="2" customFormat="1" x14ac:dyDescent="0.25">
      <c r="A273" s="6"/>
      <c r="D273" s="17"/>
      <c r="E273" s="18"/>
      <c r="F273" s="17"/>
      <c r="G273" s="17"/>
      <c r="H273" s="17"/>
      <c r="I273" s="17"/>
      <c r="J273" s="17"/>
      <c r="K273" s="17"/>
      <c r="L273" s="17"/>
      <c r="M273" s="17"/>
    </row>
    <row r="274" spans="1:13" s="2" customFormat="1" x14ac:dyDescent="0.25">
      <c r="A274" s="6"/>
      <c r="D274" s="17"/>
      <c r="E274" s="18"/>
      <c r="F274" s="17"/>
      <c r="G274" s="17"/>
      <c r="H274" s="17"/>
      <c r="I274" s="17"/>
      <c r="J274" s="17"/>
      <c r="K274" s="17"/>
      <c r="L274" s="17"/>
      <c r="M274" s="17"/>
    </row>
    <row r="275" spans="1:13" s="2" customFormat="1" x14ac:dyDescent="0.25">
      <c r="A275" s="6"/>
      <c r="D275" s="17"/>
      <c r="E275" s="18"/>
      <c r="F275" s="17"/>
      <c r="G275" s="17"/>
      <c r="H275" s="17"/>
      <c r="I275" s="17"/>
      <c r="J275" s="17"/>
      <c r="K275" s="17"/>
      <c r="L275" s="17"/>
      <c r="M275" s="17"/>
    </row>
    <row r="276" spans="1:13" s="2" customFormat="1" x14ac:dyDescent="0.25">
      <c r="A276" s="6"/>
      <c r="D276" s="17"/>
      <c r="E276" s="18"/>
      <c r="F276" s="17"/>
      <c r="G276" s="17"/>
      <c r="H276" s="17"/>
      <c r="I276" s="17"/>
      <c r="J276" s="17"/>
      <c r="K276" s="17"/>
      <c r="L276" s="17"/>
      <c r="M276" s="17"/>
    </row>
    <row r="277" spans="1:13" s="2" customFormat="1" x14ac:dyDescent="0.25">
      <c r="A277" s="6"/>
      <c r="D277" s="17"/>
      <c r="E277" s="18"/>
      <c r="F277" s="17"/>
      <c r="G277" s="17"/>
      <c r="H277" s="17"/>
      <c r="I277" s="17"/>
      <c r="J277" s="17"/>
      <c r="K277" s="17"/>
      <c r="L277" s="17"/>
      <c r="M277" s="17"/>
    </row>
    <row r="278" spans="1:13" s="2" customFormat="1" x14ac:dyDescent="0.25">
      <c r="A278" s="6"/>
      <c r="D278" s="17"/>
      <c r="E278" s="18"/>
      <c r="F278" s="17"/>
      <c r="G278" s="17"/>
      <c r="H278" s="17"/>
      <c r="I278" s="17"/>
      <c r="J278" s="17"/>
      <c r="K278" s="17"/>
      <c r="L278" s="17"/>
      <c r="M278" s="17"/>
    </row>
    <row r="279" spans="1:13" s="2" customFormat="1" x14ac:dyDescent="0.25">
      <c r="A279" s="6"/>
      <c r="D279" s="17"/>
      <c r="E279" s="18"/>
      <c r="F279" s="17"/>
      <c r="G279" s="17"/>
      <c r="H279" s="17"/>
      <c r="I279" s="17"/>
      <c r="J279" s="17"/>
      <c r="K279" s="17"/>
      <c r="L279" s="17"/>
      <c r="M279" s="17"/>
    </row>
    <row r="280" spans="1:13" s="2" customFormat="1" x14ac:dyDescent="0.25">
      <c r="A280" s="6"/>
      <c r="D280" s="17"/>
      <c r="E280" s="18"/>
      <c r="F280" s="17"/>
      <c r="G280" s="17"/>
      <c r="H280" s="17"/>
      <c r="I280" s="17"/>
      <c r="J280" s="17"/>
      <c r="K280" s="17"/>
      <c r="L280" s="17"/>
      <c r="M280" s="17"/>
    </row>
    <row r="281" spans="1:13" s="2" customFormat="1" x14ac:dyDescent="0.25">
      <c r="A281" s="6"/>
      <c r="D281" s="17"/>
      <c r="E281" s="18"/>
      <c r="F281" s="17"/>
      <c r="G281" s="17"/>
      <c r="H281" s="17"/>
      <c r="I281" s="17"/>
      <c r="J281" s="17"/>
      <c r="K281" s="17"/>
      <c r="L281" s="17"/>
      <c r="M281" s="17"/>
    </row>
    <row r="282" spans="1:13" s="2" customFormat="1" x14ac:dyDescent="0.25">
      <c r="A282" s="6"/>
      <c r="D282" s="17"/>
      <c r="E282" s="18"/>
      <c r="F282" s="17"/>
      <c r="G282" s="17"/>
      <c r="H282" s="17"/>
      <c r="I282" s="17"/>
      <c r="J282" s="17"/>
      <c r="K282" s="17"/>
      <c r="L282" s="17"/>
      <c r="M282" s="17"/>
    </row>
    <row r="283" spans="1:13" s="2" customFormat="1" x14ac:dyDescent="0.25">
      <c r="A283" s="6"/>
      <c r="D283" s="17"/>
      <c r="E283" s="18"/>
      <c r="F283" s="17"/>
      <c r="G283" s="17"/>
      <c r="H283" s="17"/>
      <c r="I283" s="17"/>
      <c r="J283" s="17"/>
      <c r="K283" s="17"/>
      <c r="L283" s="17"/>
      <c r="M283" s="17"/>
    </row>
    <row r="284" spans="1:13" s="2" customFormat="1" x14ac:dyDescent="0.25">
      <c r="A284" s="6"/>
      <c r="D284" s="17"/>
      <c r="E284" s="18"/>
      <c r="F284" s="17"/>
      <c r="G284" s="17"/>
      <c r="H284" s="17"/>
      <c r="I284" s="17"/>
      <c r="J284" s="17"/>
      <c r="K284" s="17"/>
      <c r="L284" s="17"/>
      <c r="M284" s="17"/>
    </row>
    <row r="285" spans="1:13" s="2" customFormat="1" x14ac:dyDescent="0.25">
      <c r="A285" s="6"/>
      <c r="D285" s="17"/>
      <c r="E285" s="18"/>
      <c r="F285" s="17"/>
      <c r="G285" s="17"/>
      <c r="H285" s="17"/>
      <c r="I285" s="17"/>
      <c r="J285" s="17"/>
      <c r="K285" s="17"/>
      <c r="L285" s="17"/>
      <c r="M285" s="17"/>
    </row>
    <row r="286" spans="1:13" s="2" customFormat="1" x14ac:dyDescent="0.25">
      <c r="A286" s="6"/>
      <c r="D286" s="17"/>
      <c r="E286" s="18"/>
      <c r="F286" s="17"/>
      <c r="G286" s="17"/>
      <c r="H286" s="17"/>
      <c r="I286" s="17"/>
      <c r="J286" s="17"/>
      <c r="K286" s="17"/>
      <c r="L286" s="17"/>
      <c r="M286" s="17"/>
    </row>
    <row r="287" spans="1:13" s="2" customFormat="1" x14ac:dyDescent="0.25">
      <c r="A287" s="6"/>
      <c r="D287" s="17"/>
      <c r="E287" s="18"/>
      <c r="F287" s="17"/>
      <c r="G287" s="17"/>
      <c r="H287" s="17"/>
      <c r="I287" s="17"/>
      <c r="J287" s="17"/>
      <c r="K287" s="17"/>
      <c r="L287" s="17"/>
      <c r="M287" s="17"/>
    </row>
    <row r="288" spans="1:13" s="2" customFormat="1" x14ac:dyDescent="0.25">
      <c r="A288" s="6"/>
      <c r="D288" s="17"/>
      <c r="E288" s="18"/>
      <c r="F288" s="17"/>
      <c r="G288" s="17"/>
      <c r="H288" s="17"/>
      <c r="I288" s="17"/>
      <c r="J288" s="17"/>
      <c r="K288" s="17"/>
      <c r="L288" s="17"/>
      <c r="M288" s="17"/>
    </row>
    <row r="289" spans="1:13" s="2" customFormat="1" x14ac:dyDescent="0.25">
      <c r="A289" s="6"/>
      <c r="D289" s="17"/>
      <c r="E289" s="18"/>
      <c r="F289" s="17"/>
      <c r="G289" s="17"/>
      <c r="H289" s="17"/>
      <c r="I289" s="17"/>
      <c r="J289" s="17"/>
      <c r="K289" s="17"/>
      <c r="L289" s="17"/>
      <c r="M289" s="17"/>
    </row>
    <row r="290" spans="1:13" s="2" customFormat="1" x14ac:dyDescent="0.25">
      <c r="A290" s="6"/>
      <c r="D290" s="17"/>
      <c r="E290" s="18"/>
      <c r="F290" s="17"/>
      <c r="G290" s="17"/>
      <c r="H290" s="17"/>
      <c r="I290" s="17"/>
      <c r="J290" s="17"/>
      <c r="K290" s="17"/>
      <c r="L290" s="17"/>
      <c r="M290" s="17"/>
    </row>
    <row r="291" spans="1:13" s="2" customFormat="1" x14ac:dyDescent="0.25">
      <c r="A291" s="6"/>
      <c r="D291" s="17"/>
      <c r="E291" s="18"/>
      <c r="F291" s="17"/>
      <c r="G291" s="17"/>
      <c r="H291" s="17"/>
      <c r="I291" s="17"/>
      <c r="J291" s="17"/>
      <c r="K291" s="17"/>
      <c r="L291" s="17"/>
      <c r="M291" s="17"/>
    </row>
    <row r="292" spans="1:13" s="2" customFormat="1" x14ac:dyDescent="0.25">
      <c r="A292" s="6"/>
      <c r="D292" s="17"/>
      <c r="E292" s="18"/>
      <c r="F292" s="17"/>
      <c r="G292" s="17"/>
      <c r="H292" s="17"/>
      <c r="I292" s="17"/>
      <c r="J292" s="17"/>
      <c r="K292" s="17"/>
      <c r="L292" s="17"/>
      <c r="M292" s="17"/>
    </row>
    <row r="293" spans="1:13" s="2" customFormat="1" x14ac:dyDescent="0.25">
      <c r="A293" s="6"/>
      <c r="D293" s="17"/>
      <c r="E293" s="18"/>
      <c r="F293" s="17"/>
      <c r="G293" s="17"/>
      <c r="H293" s="17"/>
      <c r="I293" s="17"/>
      <c r="J293" s="17"/>
      <c r="K293" s="17"/>
      <c r="L293" s="17"/>
      <c r="M293" s="17"/>
    </row>
    <row r="294" spans="1:13" s="2" customFormat="1" x14ac:dyDescent="0.25">
      <c r="A294" s="6"/>
      <c r="D294" s="17"/>
      <c r="E294" s="18"/>
      <c r="F294" s="17"/>
      <c r="G294" s="17"/>
      <c r="H294" s="17"/>
      <c r="I294" s="17"/>
      <c r="J294" s="17"/>
      <c r="K294" s="17"/>
      <c r="L294" s="17"/>
      <c r="M294" s="17"/>
    </row>
    <row r="295" spans="1:13" s="2" customFormat="1" x14ac:dyDescent="0.25">
      <c r="A295" s="6"/>
      <c r="D295" s="17"/>
      <c r="E295" s="18"/>
      <c r="F295" s="17"/>
      <c r="G295" s="17"/>
      <c r="H295" s="17"/>
      <c r="I295" s="17"/>
      <c r="J295" s="17"/>
      <c r="K295" s="17"/>
      <c r="L295" s="17"/>
      <c r="M295" s="17"/>
    </row>
    <row r="296" spans="1:13" s="2" customFormat="1" x14ac:dyDescent="0.25">
      <c r="A296" s="6"/>
      <c r="D296" s="17"/>
      <c r="E296" s="18"/>
      <c r="F296" s="17"/>
      <c r="G296" s="17"/>
      <c r="H296" s="17"/>
      <c r="I296" s="17"/>
      <c r="J296" s="17"/>
      <c r="K296" s="17"/>
      <c r="L296" s="17"/>
      <c r="M296" s="17"/>
    </row>
    <row r="297" spans="1:13" s="2" customFormat="1" x14ac:dyDescent="0.25">
      <c r="A297" s="6"/>
      <c r="D297" s="17"/>
      <c r="E297" s="18"/>
      <c r="F297" s="17"/>
      <c r="G297" s="17"/>
      <c r="H297" s="17"/>
      <c r="I297" s="17"/>
      <c r="J297" s="17"/>
      <c r="K297" s="17"/>
      <c r="L297" s="17"/>
      <c r="M297" s="17"/>
    </row>
    <row r="298" spans="1:13" s="2" customFormat="1" x14ac:dyDescent="0.25">
      <c r="A298" s="6"/>
      <c r="D298" s="17"/>
      <c r="E298" s="18"/>
      <c r="F298" s="17"/>
      <c r="G298" s="17"/>
      <c r="H298" s="17"/>
      <c r="I298" s="17"/>
      <c r="J298" s="17"/>
      <c r="K298" s="17"/>
      <c r="L298" s="17"/>
      <c r="M298" s="17"/>
    </row>
    <row r="299" spans="1:13" s="2" customFormat="1" x14ac:dyDescent="0.25">
      <c r="A299" s="6"/>
      <c r="D299" s="17"/>
      <c r="E299" s="18"/>
      <c r="F299" s="17"/>
      <c r="G299" s="17"/>
      <c r="H299" s="17"/>
      <c r="I299" s="17"/>
      <c r="J299" s="17"/>
      <c r="K299" s="17"/>
      <c r="L299" s="17"/>
      <c r="M299" s="17"/>
    </row>
    <row r="300" spans="1:13" s="2" customFormat="1" x14ac:dyDescent="0.25">
      <c r="A300" s="6"/>
      <c r="D300" s="17"/>
      <c r="E300" s="18"/>
      <c r="F300" s="17"/>
      <c r="G300" s="17"/>
      <c r="H300" s="17"/>
      <c r="I300" s="17"/>
      <c r="J300" s="17"/>
      <c r="K300" s="17"/>
      <c r="L300" s="17"/>
      <c r="M300" s="17"/>
    </row>
    <row r="301" spans="1:13" s="2" customFormat="1" x14ac:dyDescent="0.25">
      <c r="A301" s="6"/>
      <c r="D301" s="17"/>
      <c r="E301" s="18"/>
      <c r="F301" s="17"/>
      <c r="G301" s="17"/>
      <c r="H301" s="17"/>
      <c r="I301" s="17"/>
      <c r="J301" s="17"/>
      <c r="K301" s="17"/>
      <c r="L301" s="17"/>
      <c r="M301" s="17"/>
    </row>
    <row r="302" spans="1:13" s="2" customFormat="1" x14ac:dyDescent="0.25">
      <c r="A302" s="6"/>
      <c r="D302" s="17"/>
      <c r="E302" s="18"/>
      <c r="F302" s="17"/>
      <c r="G302" s="17"/>
      <c r="H302" s="17"/>
      <c r="I302" s="17"/>
      <c r="J302" s="17"/>
      <c r="K302" s="17"/>
      <c r="L302" s="17"/>
      <c r="M302" s="17"/>
    </row>
    <row r="303" spans="1:13" s="2" customFormat="1" x14ac:dyDescent="0.25">
      <c r="A303" s="6"/>
      <c r="D303" s="17"/>
      <c r="E303" s="18"/>
      <c r="F303" s="17"/>
      <c r="G303" s="17"/>
      <c r="H303" s="17"/>
      <c r="I303" s="17"/>
      <c r="J303" s="17"/>
      <c r="K303" s="17"/>
      <c r="L303" s="17"/>
      <c r="M303" s="17"/>
    </row>
    <row r="304" spans="1:13" s="2" customFormat="1" x14ac:dyDescent="0.25">
      <c r="A304" s="6"/>
      <c r="D304" s="17"/>
      <c r="E304" s="18"/>
      <c r="F304" s="17"/>
      <c r="G304" s="17"/>
      <c r="H304" s="17"/>
      <c r="I304" s="17"/>
      <c r="J304" s="17"/>
      <c r="K304" s="17"/>
      <c r="L304" s="17"/>
      <c r="M304" s="17"/>
    </row>
    <row r="305" spans="1:13" s="2" customFormat="1" x14ac:dyDescent="0.25">
      <c r="A305" s="6"/>
      <c r="D305" s="17"/>
      <c r="E305" s="18"/>
      <c r="F305" s="17"/>
      <c r="G305" s="17"/>
      <c r="H305" s="17"/>
      <c r="I305" s="17"/>
      <c r="J305" s="17"/>
      <c r="K305" s="17"/>
      <c r="L305" s="17"/>
      <c r="M305" s="17"/>
    </row>
    <row r="306" spans="1:13" s="2" customFormat="1" x14ac:dyDescent="0.25">
      <c r="A306" s="6"/>
      <c r="D306" s="17"/>
      <c r="E306" s="18"/>
      <c r="F306" s="17"/>
      <c r="G306" s="17"/>
      <c r="H306" s="17"/>
      <c r="I306" s="17"/>
      <c r="J306" s="17"/>
      <c r="K306" s="17"/>
      <c r="L306" s="17"/>
      <c r="M306" s="17"/>
    </row>
    <row r="307" spans="1:13" s="2" customFormat="1" x14ac:dyDescent="0.25">
      <c r="A307" s="6"/>
      <c r="D307" s="17"/>
      <c r="E307" s="18"/>
      <c r="F307" s="17"/>
      <c r="G307" s="17"/>
      <c r="H307" s="17"/>
      <c r="I307" s="17"/>
      <c r="J307" s="17"/>
      <c r="K307" s="17"/>
      <c r="L307" s="17"/>
      <c r="M307" s="17"/>
    </row>
    <row r="308" spans="1:13" s="2" customFormat="1" x14ac:dyDescent="0.25">
      <c r="A308" s="6"/>
      <c r="D308" s="17"/>
      <c r="E308" s="18"/>
      <c r="F308" s="17"/>
      <c r="G308" s="17"/>
      <c r="H308" s="17"/>
      <c r="I308" s="17"/>
      <c r="J308" s="17"/>
      <c r="K308" s="17"/>
      <c r="L308" s="17"/>
      <c r="M308" s="17"/>
    </row>
    <row r="309" spans="1:13" s="2" customFormat="1" x14ac:dyDescent="0.25">
      <c r="A309" s="6"/>
      <c r="D309" s="17"/>
      <c r="E309" s="18"/>
      <c r="F309" s="17"/>
      <c r="G309" s="17"/>
      <c r="H309" s="17"/>
      <c r="I309" s="17"/>
      <c r="J309" s="17"/>
      <c r="K309" s="17"/>
      <c r="L309" s="17"/>
      <c r="M309" s="17"/>
    </row>
    <row r="310" spans="1:13" s="2" customFormat="1" x14ac:dyDescent="0.25">
      <c r="A310" s="6"/>
      <c r="D310" s="17"/>
      <c r="E310" s="18"/>
      <c r="F310" s="17"/>
      <c r="G310" s="17"/>
      <c r="H310" s="17"/>
      <c r="I310" s="17"/>
      <c r="J310" s="17"/>
      <c r="K310" s="17"/>
      <c r="L310" s="17"/>
      <c r="M310" s="17"/>
    </row>
    <row r="311" spans="1:13" s="2" customFormat="1" x14ac:dyDescent="0.25">
      <c r="A311" s="6"/>
      <c r="D311" s="17"/>
      <c r="E311" s="18"/>
      <c r="F311" s="17"/>
      <c r="G311" s="17"/>
      <c r="H311" s="17"/>
      <c r="I311" s="17"/>
      <c r="J311" s="17"/>
      <c r="K311" s="17"/>
      <c r="L311" s="17"/>
      <c r="M311" s="17"/>
    </row>
    <row r="312" spans="1:13" s="2" customFormat="1" x14ac:dyDescent="0.25">
      <c r="A312" s="6"/>
      <c r="D312" s="17"/>
      <c r="E312" s="18"/>
      <c r="F312" s="17"/>
      <c r="G312" s="17"/>
      <c r="H312" s="17"/>
      <c r="I312" s="17"/>
      <c r="J312" s="17"/>
      <c r="K312" s="17"/>
      <c r="L312" s="17"/>
      <c r="M312" s="17"/>
    </row>
    <row r="313" spans="1:13" s="2" customFormat="1" x14ac:dyDescent="0.25">
      <c r="A313" s="6"/>
      <c r="D313" s="17"/>
      <c r="E313" s="18"/>
      <c r="F313" s="17"/>
      <c r="G313" s="17"/>
      <c r="H313" s="17"/>
      <c r="I313" s="17"/>
      <c r="J313" s="17"/>
      <c r="K313" s="17"/>
      <c r="L313" s="17"/>
      <c r="M313" s="17"/>
    </row>
    <row r="314" spans="1:13" s="2" customFormat="1" x14ac:dyDescent="0.25">
      <c r="A314" s="6"/>
      <c r="D314" s="17"/>
      <c r="E314" s="18"/>
      <c r="F314" s="17"/>
      <c r="G314" s="17"/>
      <c r="H314" s="17"/>
      <c r="I314" s="17"/>
      <c r="J314" s="17"/>
      <c r="K314" s="17"/>
      <c r="L314" s="17"/>
      <c r="M314" s="17"/>
    </row>
    <row r="315" spans="1:13" s="2" customFormat="1" x14ac:dyDescent="0.25">
      <c r="A315" s="6"/>
      <c r="D315" s="17"/>
      <c r="E315" s="18"/>
      <c r="F315" s="17"/>
      <c r="G315" s="17"/>
      <c r="H315" s="17"/>
      <c r="I315" s="17"/>
      <c r="J315" s="17"/>
      <c r="K315" s="17"/>
      <c r="L315" s="17"/>
      <c r="M315" s="17"/>
    </row>
    <row r="316" spans="1:13" s="2" customFormat="1" x14ac:dyDescent="0.25">
      <c r="A316" s="6"/>
      <c r="D316" s="17"/>
      <c r="E316" s="18"/>
      <c r="F316" s="17"/>
      <c r="G316" s="17"/>
      <c r="H316" s="17"/>
      <c r="I316" s="17"/>
      <c r="J316" s="17"/>
      <c r="K316" s="17"/>
      <c r="L316" s="17"/>
      <c r="M316" s="17"/>
    </row>
    <row r="317" spans="1:13" s="2" customFormat="1" x14ac:dyDescent="0.25">
      <c r="A317" s="6"/>
      <c r="D317" s="17"/>
      <c r="E317" s="18"/>
      <c r="F317" s="17"/>
      <c r="G317" s="17"/>
      <c r="H317" s="17"/>
      <c r="I317" s="17"/>
      <c r="J317" s="17"/>
      <c r="K317" s="17"/>
      <c r="L317" s="17"/>
      <c r="M317" s="17"/>
    </row>
    <row r="318" spans="1:13" s="2" customFormat="1" x14ac:dyDescent="0.25">
      <c r="A318" s="6"/>
      <c r="D318" s="17"/>
      <c r="E318" s="18"/>
      <c r="F318" s="17"/>
      <c r="G318" s="17"/>
      <c r="H318" s="17"/>
      <c r="I318" s="17"/>
      <c r="J318" s="17"/>
      <c r="K318" s="17"/>
      <c r="L318" s="17"/>
      <c r="M318" s="17"/>
    </row>
    <row r="319" spans="1:13" s="2" customFormat="1" x14ac:dyDescent="0.25">
      <c r="A319" s="6"/>
      <c r="D319" s="17"/>
      <c r="E319" s="18"/>
      <c r="F319" s="17"/>
      <c r="G319" s="17"/>
      <c r="H319" s="17"/>
      <c r="I319" s="17"/>
      <c r="J319" s="17"/>
      <c r="K319" s="17"/>
      <c r="L319" s="17"/>
      <c r="M319" s="17"/>
    </row>
    <row r="320" spans="1:13" s="2" customFormat="1" x14ac:dyDescent="0.25">
      <c r="A320" s="6"/>
      <c r="D320" s="17"/>
      <c r="E320" s="18"/>
      <c r="F320" s="17"/>
      <c r="G320" s="17"/>
      <c r="H320" s="17"/>
      <c r="I320" s="17"/>
      <c r="J320" s="17"/>
      <c r="K320" s="17"/>
      <c r="L320" s="17"/>
      <c r="M320" s="17"/>
    </row>
    <row r="321" spans="1:13" s="2" customFormat="1" x14ac:dyDescent="0.25">
      <c r="A321" s="6"/>
      <c r="D321" s="17"/>
      <c r="E321" s="18"/>
      <c r="F321" s="17"/>
      <c r="G321" s="17"/>
      <c r="H321" s="17"/>
      <c r="I321" s="17"/>
      <c r="J321" s="17"/>
      <c r="K321" s="17"/>
      <c r="L321" s="17"/>
      <c r="M321" s="17"/>
    </row>
    <row r="322" spans="1:13" s="2" customFormat="1" x14ac:dyDescent="0.25">
      <c r="A322" s="6"/>
      <c r="D322" s="17"/>
      <c r="E322" s="18"/>
      <c r="F322" s="17"/>
      <c r="G322" s="17"/>
      <c r="H322" s="17"/>
      <c r="I322" s="17"/>
      <c r="J322" s="17"/>
      <c r="K322" s="17"/>
      <c r="L322" s="17"/>
      <c r="M322" s="17"/>
    </row>
    <row r="323" spans="1:13" s="2" customFormat="1" x14ac:dyDescent="0.25">
      <c r="A323" s="6"/>
      <c r="D323" s="17"/>
      <c r="E323" s="18"/>
      <c r="F323" s="17"/>
      <c r="G323" s="17"/>
      <c r="H323" s="17"/>
      <c r="I323" s="17"/>
      <c r="J323" s="17"/>
      <c r="K323" s="17"/>
      <c r="L323" s="17"/>
      <c r="M323" s="17"/>
    </row>
    <row r="324" spans="1:13" s="2" customFormat="1" x14ac:dyDescent="0.25">
      <c r="A324" s="6"/>
      <c r="D324" s="17"/>
      <c r="E324" s="18"/>
      <c r="F324" s="17"/>
      <c r="G324" s="17"/>
      <c r="H324" s="17"/>
      <c r="I324" s="17"/>
      <c r="J324" s="17"/>
      <c r="K324" s="17"/>
      <c r="L324" s="17"/>
      <c r="M324" s="17"/>
    </row>
    <row r="325" spans="1:13" s="2" customFormat="1" x14ac:dyDescent="0.25">
      <c r="A325" s="6"/>
      <c r="D325" s="17"/>
      <c r="E325" s="18"/>
      <c r="F325" s="17"/>
      <c r="G325" s="17"/>
      <c r="H325" s="17"/>
      <c r="I325" s="17"/>
      <c r="J325" s="17"/>
      <c r="K325" s="17"/>
      <c r="L325" s="17"/>
      <c r="M325" s="17"/>
    </row>
    <row r="326" spans="1:13" s="2" customFormat="1" x14ac:dyDescent="0.25">
      <c r="A326" s="6"/>
      <c r="D326" s="17"/>
      <c r="E326" s="18"/>
      <c r="F326" s="17"/>
      <c r="G326" s="17"/>
      <c r="H326" s="17"/>
      <c r="I326" s="17"/>
      <c r="J326" s="17"/>
      <c r="K326" s="17"/>
      <c r="L326" s="17"/>
      <c r="M326" s="17"/>
    </row>
    <row r="327" spans="1:13" s="2" customFormat="1" x14ac:dyDescent="0.25">
      <c r="A327" s="6"/>
      <c r="D327" s="17"/>
      <c r="E327" s="18"/>
      <c r="F327" s="17"/>
      <c r="G327" s="17"/>
      <c r="H327" s="17"/>
      <c r="I327" s="17"/>
      <c r="J327" s="17"/>
      <c r="K327" s="17"/>
      <c r="L327" s="17"/>
      <c r="M327" s="17"/>
    </row>
    <row r="328" spans="1:13" s="2" customFormat="1" x14ac:dyDescent="0.25">
      <c r="A328" s="6"/>
      <c r="D328" s="17"/>
      <c r="E328" s="18"/>
      <c r="F328" s="17"/>
      <c r="G328" s="17"/>
      <c r="H328" s="17"/>
      <c r="I328" s="17"/>
      <c r="J328" s="17"/>
      <c r="K328" s="17"/>
      <c r="L328" s="17"/>
      <c r="M328" s="17"/>
    </row>
    <row r="329" spans="1:13" s="2" customFormat="1" x14ac:dyDescent="0.25">
      <c r="A329" s="6"/>
      <c r="D329" s="17"/>
      <c r="E329" s="18"/>
      <c r="F329" s="17"/>
      <c r="G329" s="17"/>
      <c r="H329" s="17"/>
      <c r="I329" s="17"/>
      <c r="J329" s="17"/>
      <c r="K329" s="17"/>
      <c r="L329" s="17"/>
      <c r="M329" s="17"/>
    </row>
    <row r="330" spans="1:13" s="2" customFormat="1" x14ac:dyDescent="0.25">
      <c r="A330" s="6"/>
      <c r="D330" s="17"/>
      <c r="E330" s="18"/>
      <c r="F330" s="17"/>
      <c r="G330" s="17"/>
      <c r="H330" s="17"/>
      <c r="I330" s="17"/>
      <c r="J330" s="17"/>
      <c r="K330" s="17"/>
      <c r="L330" s="17"/>
      <c r="M330" s="17"/>
    </row>
    <row r="331" spans="1:13" s="2" customFormat="1" x14ac:dyDescent="0.25">
      <c r="A331" s="6"/>
      <c r="D331" s="17"/>
      <c r="E331" s="18"/>
      <c r="F331" s="17"/>
      <c r="G331" s="17"/>
      <c r="H331" s="17"/>
      <c r="I331" s="17"/>
      <c r="J331" s="17"/>
      <c r="K331" s="17"/>
      <c r="L331" s="17"/>
      <c r="M331" s="17"/>
    </row>
    <row r="332" spans="1:13" s="2" customFormat="1" x14ac:dyDescent="0.25">
      <c r="A332" s="6"/>
      <c r="D332" s="17"/>
      <c r="E332" s="18"/>
      <c r="F332" s="17"/>
      <c r="G332" s="17"/>
      <c r="H332" s="17"/>
      <c r="I332" s="17"/>
      <c r="J332" s="17"/>
      <c r="K332" s="17"/>
      <c r="L332" s="17"/>
      <c r="M332" s="17"/>
    </row>
    <row r="333" spans="1:13" s="2" customFormat="1" x14ac:dyDescent="0.25">
      <c r="A333" s="6"/>
      <c r="D333" s="17"/>
      <c r="E333" s="18"/>
      <c r="F333" s="17"/>
      <c r="G333" s="17"/>
      <c r="H333" s="17"/>
      <c r="I333" s="17"/>
      <c r="J333" s="17"/>
      <c r="K333" s="17"/>
      <c r="L333" s="17"/>
      <c r="M333" s="17"/>
    </row>
    <row r="334" spans="1:13" s="2" customFormat="1" x14ac:dyDescent="0.25">
      <c r="A334" s="6"/>
      <c r="D334" s="17"/>
      <c r="E334" s="18"/>
      <c r="F334" s="17"/>
      <c r="G334" s="17"/>
      <c r="H334" s="17"/>
      <c r="I334" s="17"/>
      <c r="J334" s="17"/>
      <c r="K334" s="17"/>
      <c r="L334" s="17"/>
      <c r="M334" s="17"/>
    </row>
    <row r="335" spans="1:13" s="2" customFormat="1" x14ac:dyDescent="0.25">
      <c r="A335" s="6"/>
      <c r="D335" s="17"/>
      <c r="E335" s="18"/>
      <c r="F335" s="17"/>
      <c r="G335" s="17"/>
      <c r="H335" s="17"/>
      <c r="I335" s="17"/>
      <c r="J335" s="17"/>
      <c r="K335" s="17"/>
      <c r="L335" s="17"/>
      <c r="M335" s="17"/>
    </row>
    <row r="336" spans="1:13" s="2" customFormat="1" x14ac:dyDescent="0.25">
      <c r="A336" s="6"/>
      <c r="D336" s="17"/>
      <c r="E336" s="18"/>
      <c r="F336" s="17"/>
      <c r="G336" s="17"/>
      <c r="H336" s="17"/>
      <c r="I336" s="17"/>
      <c r="J336" s="17"/>
      <c r="K336" s="17"/>
      <c r="L336" s="17"/>
      <c r="M336" s="17"/>
    </row>
    <row r="337" spans="1:13" s="2" customFormat="1" x14ac:dyDescent="0.25">
      <c r="A337" s="6"/>
      <c r="D337" s="17"/>
      <c r="E337" s="18"/>
      <c r="F337" s="17"/>
      <c r="G337" s="17"/>
      <c r="H337" s="17"/>
      <c r="I337" s="17"/>
      <c r="J337" s="17"/>
      <c r="K337" s="17"/>
      <c r="L337" s="17"/>
      <c r="M337" s="17"/>
    </row>
    <row r="338" spans="1:13" s="2" customFormat="1" x14ac:dyDescent="0.25">
      <c r="A338" s="6"/>
      <c r="D338" s="17"/>
      <c r="E338" s="18"/>
      <c r="F338" s="17"/>
      <c r="G338" s="17"/>
      <c r="H338" s="17"/>
      <c r="I338" s="17"/>
      <c r="J338" s="17"/>
      <c r="K338" s="17"/>
      <c r="L338" s="17"/>
      <c r="M338" s="17"/>
    </row>
    <row r="339" spans="1:13" s="2" customFormat="1" x14ac:dyDescent="0.25">
      <c r="A339" s="6"/>
      <c r="D339" s="17"/>
      <c r="E339" s="18"/>
      <c r="F339" s="17"/>
      <c r="G339" s="17"/>
      <c r="H339" s="17"/>
      <c r="I339" s="17"/>
      <c r="J339" s="17"/>
      <c r="K339" s="17"/>
      <c r="L339" s="17"/>
      <c r="M339" s="17"/>
    </row>
    <row r="340" spans="1:13" s="2" customFormat="1" x14ac:dyDescent="0.25">
      <c r="A340" s="6"/>
      <c r="D340" s="17"/>
      <c r="E340" s="18"/>
      <c r="F340" s="17"/>
      <c r="G340" s="17"/>
      <c r="H340" s="17"/>
      <c r="I340" s="17"/>
      <c r="J340" s="17"/>
      <c r="K340" s="17"/>
      <c r="L340" s="17"/>
      <c r="M340" s="17"/>
    </row>
    <row r="341" spans="1:13" s="2" customFormat="1" x14ac:dyDescent="0.25">
      <c r="A341" s="6"/>
      <c r="D341" s="17"/>
      <c r="E341" s="18"/>
      <c r="F341" s="17"/>
      <c r="G341" s="17"/>
      <c r="H341" s="17"/>
      <c r="I341" s="17"/>
      <c r="J341" s="17"/>
      <c r="K341" s="17"/>
      <c r="L341" s="17"/>
      <c r="M341" s="17"/>
    </row>
    <row r="342" spans="1:13" s="2" customFormat="1" x14ac:dyDescent="0.25">
      <c r="A342" s="6"/>
      <c r="D342" s="17"/>
      <c r="E342" s="18"/>
      <c r="F342" s="17"/>
      <c r="G342" s="17"/>
      <c r="H342" s="17"/>
      <c r="I342" s="17"/>
      <c r="J342" s="17"/>
      <c r="K342" s="17"/>
      <c r="L342" s="17"/>
      <c r="M342" s="17"/>
    </row>
    <row r="343" spans="1:13" s="2" customFormat="1" x14ac:dyDescent="0.25">
      <c r="A343" s="6"/>
      <c r="D343" s="17"/>
      <c r="E343" s="18"/>
      <c r="F343" s="17"/>
      <c r="G343" s="17"/>
      <c r="H343" s="17"/>
      <c r="I343" s="17"/>
      <c r="J343" s="17"/>
      <c r="K343" s="17"/>
      <c r="L343" s="17"/>
      <c r="M343" s="17"/>
    </row>
    <row r="344" spans="1:13" s="2" customFormat="1" x14ac:dyDescent="0.25">
      <c r="A344" s="6"/>
      <c r="D344" s="17"/>
      <c r="E344" s="18"/>
      <c r="F344" s="17"/>
      <c r="G344" s="17"/>
      <c r="H344" s="17"/>
      <c r="I344" s="17"/>
      <c r="J344" s="17"/>
      <c r="K344" s="17"/>
      <c r="L344" s="17"/>
      <c r="M344" s="17"/>
    </row>
    <row r="345" spans="1:13" s="2" customFormat="1" x14ac:dyDescent="0.25">
      <c r="A345" s="6"/>
      <c r="D345" s="17"/>
      <c r="E345" s="18"/>
      <c r="F345" s="17"/>
      <c r="G345" s="17"/>
      <c r="H345" s="17"/>
      <c r="I345" s="17"/>
      <c r="J345" s="17"/>
      <c r="K345" s="17"/>
      <c r="L345" s="17"/>
      <c r="M345" s="17"/>
    </row>
    <row r="346" spans="1:13" s="2" customFormat="1" x14ac:dyDescent="0.25">
      <c r="A346" s="6"/>
      <c r="D346" s="17"/>
      <c r="E346" s="18"/>
      <c r="F346" s="17"/>
      <c r="G346" s="17"/>
      <c r="H346" s="17"/>
      <c r="I346" s="17"/>
      <c r="J346" s="17"/>
      <c r="K346" s="17"/>
      <c r="L346" s="17"/>
      <c r="M346" s="17"/>
    </row>
    <row r="347" spans="1:13" s="2" customFormat="1" x14ac:dyDescent="0.25">
      <c r="A347" s="6"/>
      <c r="D347" s="17"/>
      <c r="E347" s="18"/>
      <c r="F347" s="17"/>
      <c r="G347" s="17"/>
      <c r="H347" s="17"/>
      <c r="I347" s="17"/>
      <c r="J347" s="17"/>
      <c r="K347" s="17"/>
      <c r="L347" s="17"/>
      <c r="M347" s="17"/>
    </row>
    <row r="348" spans="1:13" s="2" customFormat="1" x14ac:dyDescent="0.25">
      <c r="A348" s="6"/>
      <c r="D348" s="17"/>
      <c r="E348" s="18"/>
      <c r="F348" s="17"/>
      <c r="G348" s="17"/>
      <c r="H348" s="17"/>
      <c r="I348" s="17"/>
      <c r="J348" s="17"/>
      <c r="K348" s="17"/>
      <c r="L348" s="17"/>
      <c r="M348" s="17"/>
    </row>
    <row r="349" spans="1:13" s="2" customFormat="1" x14ac:dyDescent="0.25">
      <c r="A349" s="6"/>
      <c r="D349" s="17"/>
      <c r="E349" s="18"/>
      <c r="F349" s="17"/>
      <c r="G349" s="17"/>
      <c r="H349" s="17"/>
      <c r="I349" s="17"/>
      <c r="J349" s="17"/>
      <c r="K349" s="17"/>
      <c r="L349" s="17"/>
      <c r="M349" s="17"/>
    </row>
    <row r="350" spans="1:13" s="2" customFormat="1" x14ac:dyDescent="0.25">
      <c r="A350" s="6"/>
      <c r="D350" s="17"/>
      <c r="E350" s="18"/>
      <c r="F350" s="17"/>
      <c r="G350" s="17"/>
      <c r="H350" s="17"/>
      <c r="I350" s="17"/>
      <c r="J350" s="17"/>
      <c r="K350" s="17"/>
      <c r="L350" s="17"/>
      <c r="M350" s="17"/>
    </row>
    <row r="351" spans="1:13" s="2" customFormat="1" x14ac:dyDescent="0.25">
      <c r="A351" s="6"/>
      <c r="D351" s="17"/>
      <c r="E351" s="18"/>
      <c r="F351" s="17"/>
      <c r="G351" s="17"/>
      <c r="H351" s="17"/>
      <c r="I351" s="17"/>
      <c r="J351" s="17"/>
      <c r="K351" s="17"/>
      <c r="L351" s="17"/>
      <c r="M351" s="17"/>
    </row>
    <row r="352" spans="1:13" s="2" customFormat="1" x14ac:dyDescent="0.25">
      <c r="A352" s="6"/>
      <c r="D352" s="17"/>
      <c r="E352" s="18"/>
      <c r="F352" s="17"/>
      <c r="G352" s="17"/>
      <c r="H352" s="17"/>
      <c r="I352" s="17"/>
      <c r="J352" s="17"/>
      <c r="K352" s="17"/>
      <c r="L352" s="17"/>
      <c r="M352" s="17"/>
    </row>
    <row r="353" spans="1:13" s="2" customFormat="1" x14ac:dyDescent="0.25">
      <c r="A353" s="6"/>
      <c r="D353" s="17"/>
      <c r="E353" s="18"/>
      <c r="F353" s="17"/>
      <c r="G353" s="17"/>
      <c r="H353" s="17"/>
      <c r="I353" s="17"/>
      <c r="J353" s="17"/>
      <c r="K353" s="17"/>
      <c r="L353" s="17"/>
      <c r="M353" s="17"/>
    </row>
    <row r="354" spans="1:13" s="2" customFormat="1" x14ac:dyDescent="0.25">
      <c r="A354" s="6"/>
      <c r="D354" s="17"/>
      <c r="E354" s="18"/>
      <c r="F354" s="17"/>
      <c r="G354" s="17"/>
      <c r="H354" s="17"/>
      <c r="I354" s="17"/>
      <c r="J354" s="17"/>
      <c r="K354" s="17"/>
      <c r="L354" s="17"/>
      <c r="M354" s="17"/>
    </row>
    <row r="355" spans="1:13" s="2" customFormat="1" x14ac:dyDescent="0.25">
      <c r="A355" s="6"/>
      <c r="D355" s="17"/>
      <c r="E355" s="18"/>
      <c r="F355" s="17"/>
      <c r="G355" s="17"/>
      <c r="H355" s="17"/>
      <c r="I355" s="17"/>
      <c r="J355" s="17"/>
      <c r="K355" s="17"/>
      <c r="L355" s="17"/>
      <c r="M355" s="17"/>
    </row>
    <row r="356" spans="1:13" s="2" customFormat="1" x14ac:dyDescent="0.25">
      <c r="A356" s="6"/>
      <c r="D356" s="17"/>
      <c r="E356" s="18"/>
      <c r="F356" s="17"/>
      <c r="G356" s="17"/>
      <c r="H356" s="17"/>
      <c r="I356" s="17"/>
      <c r="J356" s="17"/>
      <c r="K356" s="17"/>
      <c r="L356" s="17"/>
      <c r="M356" s="17"/>
    </row>
    <row r="357" spans="1:13" s="2" customFormat="1" x14ac:dyDescent="0.25">
      <c r="A357" s="6"/>
      <c r="D357" s="17"/>
      <c r="E357" s="18"/>
      <c r="F357" s="17"/>
      <c r="G357" s="17"/>
      <c r="H357" s="17"/>
      <c r="I357" s="17"/>
      <c r="J357" s="17"/>
      <c r="K357" s="17"/>
      <c r="L357" s="17"/>
      <c r="M357" s="17"/>
    </row>
    <row r="358" spans="1:13" s="2" customFormat="1" x14ac:dyDescent="0.25">
      <c r="A358" s="6"/>
      <c r="D358" s="17"/>
      <c r="E358" s="18"/>
      <c r="F358" s="17"/>
      <c r="G358" s="17"/>
      <c r="H358" s="17"/>
      <c r="I358" s="17"/>
      <c r="J358" s="17"/>
      <c r="K358" s="17"/>
      <c r="L358" s="17"/>
      <c r="M358" s="17"/>
    </row>
    <row r="359" spans="1:13" s="2" customFormat="1" x14ac:dyDescent="0.25">
      <c r="A359" s="6"/>
      <c r="D359" s="17"/>
      <c r="E359" s="18"/>
      <c r="F359" s="17"/>
      <c r="G359" s="17"/>
      <c r="H359" s="17"/>
      <c r="I359" s="17"/>
      <c r="J359" s="17"/>
      <c r="K359" s="17"/>
      <c r="L359" s="17"/>
      <c r="M359" s="17"/>
    </row>
    <row r="360" spans="1:13" s="2" customFormat="1" x14ac:dyDescent="0.25">
      <c r="A360" s="6"/>
      <c r="D360" s="17"/>
      <c r="E360" s="18"/>
      <c r="F360" s="17"/>
      <c r="G360" s="17"/>
      <c r="H360" s="17"/>
      <c r="I360" s="17"/>
      <c r="J360" s="17"/>
      <c r="K360" s="17"/>
      <c r="L360" s="17"/>
      <c r="M360" s="17"/>
    </row>
    <row r="361" spans="1:13" s="2" customFormat="1" x14ac:dyDescent="0.25">
      <c r="A361" s="6"/>
      <c r="D361" s="17"/>
      <c r="E361" s="18"/>
      <c r="F361" s="17"/>
      <c r="G361" s="17"/>
      <c r="H361" s="17"/>
      <c r="I361" s="17"/>
      <c r="J361" s="17"/>
      <c r="K361" s="17"/>
      <c r="L361" s="17"/>
      <c r="M361" s="17"/>
    </row>
    <row r="362" spans="1:13" s="2" customFormat="1" x14ac:dyDescent="0.25">
      <c r="A362" s="6"/>
      <c r="D362" s="17"/>
      <c r="E362" s="18"/>
      <c r="F362" s="17"/>
      <c r="G362" s="17"/>
      <c r="H362" s="17"/>
      <c r="I362" s="17"/>
      <c r="J362" s="17"/>
      <c r="K362" s="17"/>
      <c r="L362" s="17"/>
      <c r="M362" s="17"/>
    </row>
    <row r="363" spans="1:13" s="2" customFormat="1" x14ac:dyDescent="0.25">
      <c r="A363" s="6"/>
      <c r="D363" s="17"/>
      <c r="E363" s="18"/>
      <c r="F363" s="17"/>
      <c r="G363" s="17"/>
      <c r="H363" s="17"/>
      <c r="I363" s="17"/>
      <c r="J363" s="17"/>
      <c r="K363" s="17"/>
      <c r="L363" s="17"/>
      <c r="M363" s="17"/>
    </row>
    <row r="364" spans="1:13" s="2" customFormat="1" x14ac:dyDescent="0.25">
      <c r="A364" s="6"/>
      <c r="D364" s="17"/>
      <c r="E364" s="18"/>
      <c r="F364" s="17"/>
      <c r="G364" s="17"/>
      <c r="H364" s="17"/>
      <c r="I364" s="17"/>
      <c r="J364" s="17"/>
      <c r="K364" s="17"/>
      <c r="L364" s="17"/>
      <c r="M364" s="17"/>
    </row>
    <row r="365" spans="1:13" s="2" customFormat="1" x14ac:dyDescent="0.25">
      <c r="A365" s="6"/>
      <c r="D365" s="17"/>
      <c r="E365" s="18"/>
      <c r="F365" s="17"/>
      <c r="G365" s="17"/>
      <c r="H365" s="17"/>
      <c r="I365" s="17"/>
      <c r="J365" s="17"/>
      <c r="K365" s="17"/>
      <c r="L365" s="17"/>
      <c r="M365" s="17"/>
    </row>
    <row r="366" spans="1:13" s="2" customFormat="1" x14ac:dyDescent="0.25">
      <c r="A366" s="6"/>
      <c r="D366" s="17"/>
      <c r="E366" s="18"/>
      <c r="F366" s="17"/>
      <c r="G366" s="17"/>
      <c r="H366" s="17"/>
      <c r="I366" s="17"/>
      <c r="J366" s="17"/>
      <c r="K366" s="17"/>
      <c r="L366" s="17"/>
      <c r="M366" s="17"/>
    </row>
    <row r="367" spans="1:13" s="2" customFormat="1" x14ac:dyDescent="0.25">
      <c r="A367" s="6"/>
      <c r="D367" s="17"/>
      <c r="E367" s="18"/>
      <c r="F367" s="17"/>
      <c r="G367" s="17"/>
      <c r="H367" s="17"/>
      <c r="I367" s="17"/>
      <c r="J367" s="17"/>
      <c r="K367" s="17"/>
      <c r="L367" s="17"/>
      <c r="M367" s="17"/>
    </row>
    <row r="368" spans="1:13" s="2" customFormat="1" x14ac:dyDescent="0.25">
      <c r="A368" s="6"/>
      <c r="D368" s="17"/>
      <c r="E368" s="18"/>
      <c r="F368" s="17"/>
      <c r="G368" s="17"/>
      <c r="H368" s="17"/>
      <c r="I368" s="17"/>
      <c r="J368" s="17"/>
      <c r="K368" s="17"/>
      <c r="L368" s="17"/>
      <c r="M368" s="17"/>
    </row>
    <row r="369" spans="1:13" s="2" customFormat="1" x14ac:dyDescent="0.25">
      <c r="A369" s="6"/>
      <c r="D369" s="17"/>
      <c r="E369" s="18"/>
      <c r="F369" s="17"/>
      <c r="G369" s="17"/>
      <c r="H369" s="17"/>
      <c r="I369" s="17"/>
      <c r="J369" s="17"/>
      <c r="K369" s="17"/>
      <c r="L369" s="17"/>
      <c r="M369" s="17"/>
    </row>
    <row r="370" spans="1:13" s="2" customFormat="1" x14ac:dyDescent="0.25">
      <c r="A370" s="6"/>
      <c r="D370" s="17"/>
      <c r="E370" s="18"/>
      <c r="F370" s="17"/>
      <c r="G370" s="17"/>
      <c r="H370" s="17"/>
      <c r="I370" s="17"/>
      <c r="J370" s="17"/>
      <c r="K370" s="17"/>
      <c r="L370" s="17"/>
      <c r="M370" s="17"/>
    </row>
    <row r="371" spans="1:13" s="2" customFormat="1" x14ac:dyDescent="0.25">
      <c r="A371" s="6"/>
      <c r="D371" s="17"/>
      <c r="E371" s="18"/>
      <c r="F371" s="17"/>
      <c r="G371" s="17"/>
      <c r="H371" s="17"/>
      <c r="I371" s="17"/>
      <c r="J371" s="17"/>
      <c r="K371" s="17"/>
      <c r="L371" s="17"/>
      <c r="M371" s="17"/>
    </row>
    <row r="372" spans="1:13" s="2" customFormat="1" x14ac:dyDescent="0.25">
      <c r="A372" s="6"/>
      <c r="D372" s="17"/>
      <c r="E372" s="18"/>
      <c r="F372" s="17"/>
      <c r="G372" s="17"/>
      <c r="H372" s="17"/>
      <c r="I372" s="17"/>
      <c r="J372" s="17"/>
      <c r="K372" s="17"/>
      <c r="L372" s="17"/>
      <c r="M372" s="17"/>
    </row>
    <row r="373" spans="1:13" s="2" customFormat="1" x14ac:dyDescent="0.25">
      <c r="A373" s="6"/>
      <c r="D373" s="17"/>
      <c r="E373" s="18"/>
      <c r="F373" s="17"/>
      <c r="G373" s="17"/>
      <c r="H373" s="17"/>
      <c r="I373" s="17"/>
      <c r="J373" s="17"/>
      <c r="K373" s="17"/>
      <c r="L373" s="17"/>
      <c r="M373" s="17"/>
    </row>
    <row r="374" spans="1:13" s="2" customFormat="1" x14ac:dyDescent="0.25">
      <c r="A374" s="6"/>
      <c r="D374" s="17"/>
      <c r="E374" s="18"/>
      <c r="F374" s="17"/>
      <c r="G374" s="17"/>
      <c r="H374" s="17"/>
      <c r="I374" s="17"/>
      <c r="J374" s="17"/>
      <c r="K374" s="17"/>
      <c r="L374" s="17"/>
      <c r="M374" s="17"/>
    </row>
    <row r="375" spans="1:13" s="2" customFormat="1" x14ac:dyDescent="0.25">
      <c r="A375" s="6"/>
      <c r="D375" s="17"/>
      <c r="E375" s="18"/>
      <c r="F375" s="17"/>
      <c r="G375" s="17"/>
      <c r="H375" s="17"/>
      <c r="I375" s="17"/>
      <c r="J375" s="17"/>
      <c r="K375" s="17"/>
      <c r="L375" s="17"/>
      <c r="M375" s="17"/>
    </row>
    <row r="376" spans="1:13" s="2" customFormat="1" x14ac:dyDescent="0.25">
      <c r="A376" s="6"/>
      <c r="D376" s="17"/>
      <c r="E376" s="18"/>
      <c r="F376" s="17"/>
      <c r="G376" s="17"/>
      <c r="H376" s="17"/>
      <c r="I376" s="17"/>
      <c r="J376" s="17"/>
      <c r="K376" s="17"/>
      <c r="L376" s="17"/>
      <c r="M376" s="17"/>
    </row>
    <row r="377" spans="1:13" s="2" customFormat="1" x14ac:dyDescent="0.25">
      <c r="A377" s="6"/>
      <c r="D377" s="17"/>
      <c r="E377" s="18"/>
      <c r="F377" s="17"/>
      <c r="G377" s="17"/>
      <c r="H377" s="17"/>
      <c r="I377" s="17"/>
      <c r="J377" s="17"/>
      <c r="K377" s="17"/>
      <c r="L377" s="17"/>
      <c r="M377" s="17"/>
    </row>
    <row r="378" spans="1:13" s="2" customFormat="1" x14ac:dyDescent="0.25">
      <c r="A378" s="6"/>
      <c r="D378" s="17"/>
      <c r="E378" s="18"/>
      <c r="F378" s="17"/>
      <c r="G378" s="17"/>
      <c r="H378" s="17"/>
      <c r="I378" s="17"/>
      <c r="J378" s="17"/>
      <c r="K378" s="17"/>
      <c r="L378" s="17"/>
      <c r="M378" s="17"/>
    </row>
    <row r="379" spans="1:13" s="2" customFormat="1" x14ac:dyDescent="0.25">
      <c r="A379" s="6"/>
      <c r="D379" s="17"/>
      <c r="E379" s="18"/>
      <c r="F379" s="17"/>
      <c r="G379" s="17"/>
      <c r="H379" s="17"/>
      <c r="I379" s="17"/>
      <c r="J379" s="17"/>
      <c r="K379" s="17"/>
      <c r="L379" s="17"/>
      <c r="M379" s="17"/>
    </row>
    <row r="380" spans="1:13" s="2" customFormat="1" x14ac:dyDescent="0.25">
      <c r="A380" s="6"/>
      <c r="D380" s="17"/>
      <c r="E380" s="18"/>
      <c r="F380" s="17"/>
      <c r="G380" s="17"/>
      <c r="H380" s="17"/>
      <c r="I380" s="17"/>
      <c r="J380" s="17"/>
      <c r="K380" s="17"/>
      <c r="L380" s="17"/>
      <c r="M380" s="17"/>
    </row>
    <row r="381" spans="1:13" s="2" customFormat="1" x14ac:dyDescent="0.25">
      <c r="A381" s="6"/>
      <c r="D381" s="17"/>
      <c r="E381" s="18"/>
      <c r="F381" s="17"/>
      <c r="G381" s="17"/>
      <c r="H381" s="17"/>
      <c r="I381" s="17"/>
      <c r="J381" s="17"/>
      <c r="K381" s="17"/>
      <c r="L381" s="17"/>
      <c r="M381" s="17"/>
    </row>
    <row r="382" spans="1:13" s="2" customFormat="1" x14ac:dyDescent="0.25">
      <c r="A382" s="6"/>
      <c r="D382" s="17"/>
      <c r="E382" s="18"/>
      <c r="F382" s="17"/>
      <c r="G382" s="17"/>
      <c r="H382" s="17"/>
      <c r="I382" s="17"/>
      <c r="J382" s="17"/>
      <c r="K382" s="17"/>
      <c r="L382" s="17"/>
      <c r="M382" s="17"/>
    </row>
    <row r="383" spans="1:13" s="2" customFormat="1" x14ac:dyDescent="0.25">
      <c r="A383" s="6"/>
      <c r="D383" s="17"/>
      <c r="E383" s="18"/>
      <c r="F383" s="17"/>
      <c r="G383" s="17"/>
      <c r="H383" s="17"/>
      <c r="I383" s="17"/>
      <c r="J383" s="17"/>
      <c r="K383" s="17"/>
      <c r="L383" s="17"/>
      <c r="M383" s="17"/>
    </row>
    <row r="384" spans="1:13" s="2" customFormat="1" x14ac:dyDescent="0.25">
      <c r="A384" s="6"/>
      <c r="D384" s="17"/>
      <c r="E384" s="18"/>
      <c r="F384" s="17"/>
      <c r="G384" s="17"/>
      <c r="H384" s="17"/>
      <c r="I384" s="17"/>
      <c r="J384" s="17"/>
      <c r="K384" s="17"/>
      <c r="L384" s="17"/>
      <c r="M384" s="17"/>
    </row>
    <row r="385" spans="1:13" s="2" customFormat="1" x14ac:dyDescent="0.25">
      <c r="A385" s="6"/>
      <c r="D385" s="17"/>
      <c r="E385" s="18"/>
      <c r="F385" s="17"/>
      <c r="G385" s="17"/>
      <c r="H385" s="17"/>
      <c r="I385" s="17"/>
      <c r="J385" s="17"/>
      <c r="K385" s="17"/>
      <c r="L385" s="17"/>
      <c r="M385" s="17"/>
    </row>
    <row r="386" spans="1:13" s="2" customFormat="1" x14ac:dyDescent="0.25">
      <c r="A386" s="6"/>
      <c r="D386" s="17"/>
      <c r="E386" s="18"/>
      <c r="F386" s="17"/>
      <c r="G386" s="17"/>
      <c r="H386" s="17"/>
      <c r="I386" s="17"/>
      <c r="J386" s="17"/>
      <c r="K386" s="17"/>
      <c r="L386" s="17"/>
      <c r="M386" s="17"/>
    </row>
    <row r="387" spans="1:13" s="2" customFormat="1" x14ac:dyDescent="0.25">
      <c r="A387" s="6"/>
      <c r="D387" s="17"/>
      <c r="E387" s="18"/>
      <c r="F387" s="17"/>
      <c r="G387" s="17"/>
      <c r="H387" s="17"/>
      <c r="I387" s="17"/>
      <c r="J387" s="17"/>
      <c r="K387" s="17"/>
      <c r="L387" s="17"/>
      <c r="M387" s="17"/>
    </row>
    <row r="388" spans="1:13" s="2" customFormat="1" x14ac:dyDescent="0.25">
      <c r="A388" s="6"/>
      <c r="D388" s="17"/>
      <c r="E388" s="18"/>
      <c r="F388" s="17"/>
      <c r="G388" s="17"/>
      <c r="H388" s="17"/>
      <c r="I388" s="17"/>
      <c r="J388" s="17"/>
      <c r="K388" s="17"/>
      <c r="L388" s="17"/>
      <c r="M388" s="17"/>
    </row>
    <row r="389" spans="1:13" s="2" customFormat="1" x14ac:dyDescent="0.25">
      <c r="A389" s="6"/>
      <c r="D389" s="17"/>
      <c r="E389" s="18"/>
      <c r="F389" s="17"/>
      <c r="G389" s="17"/>
      <c r="H389" s="17"/>
      <c r="I389" s="17"/>
      <c r="J389" s="17"/>
      <c r="K389" s="17"/>
      <c r="L389" s="17"/>
      <c r="M389" s="17"/>
    </row>
    <row r="390" spans="1:13" s="2" customFormat="1" x14ac:dyDescent="0.25">
      <c r="A390" s="6"/>
      <c r="D390" s="17"/>
      <c r="E390" s="18"/>
      <c r="F390" s="17"/>
      <c r="G390" s="17"/>
      <c r="H390" s="17"/>
      <c r="I390" s="17"/>
      <c r="J390" s="17"/>
      <c r="K390" s="17"/>
      <c r="L390" s="17"/>
      <c r="M390" s="17"/>
    </row>
    <row r="391" spans="1:13" s="2" customFormat="1" x14ac:dyDescent="0.25">
      <c r="A391" s="6"/>
      <c r="D391" s="17"/>
      <c r="E391" s="18"/>
      <c r="F391" s="17"/>
      <c r="G391" s="17"/>
      <c r="H391" s="17"/>
      <c r="I391" s="17"/>
      <c r="J391" s="17"/>
      <c r="K391" s="17"/>
      <c r="L391" s="17"/>
      <c r="M391" s="17"/>
    </row>
    <row r="392" spans="1:13" s="2" customFormat="1" x14ac:dyDescent="0.25">
      <c r="A392" s="6"/>
      <c r="D392" s="17"/>
      <c r="E392" s="18"/>
      <c r="F392" s="17"/>
      <c r="G392" s="17"/>
      <c r="H392" s="17"/>
      <c r="I392" s="17"/>
      <c r="J392" s="17"/>
      <c r="K392" s="17"/>
      <c r="L392" s="17"/>
      <c r="M392" s="17"/>
    </row>
    <row r="393" spans="1:13" s="2" customFormat="1" x14ac:dyDescent="0.25">
      <c r="A393" s="6"/>
      <c r="D393" s="17"/>
      <c r="E393" s="18"/>
      <c r="F393" s="17"/>
      <c r="G393" s="17"/>
      <c r="H393" s="17"/>
      <c r="I393" s="17"/>
      <c r="J393" s="17"/>
      <c r="K393" s="17"/>
      <c r="L393" s="17"/>
      <c r="M393" s="17"/>
    </row>
    <row r="394" spans="1:13" s="2" customFormat="1" x14ac:dyDescent="0.25">
      <c r="A394" s="6"/>
      <c r="D394" s="17"/>
      <c r="E394" s="18"/>
      <c r="F394" s="17"/>
      <c r="G394" s="17"/>
      <c r="H394" s="17"/>
      <c r="I394" s="17"/>
      <c r="J394" s="17"/>
      <c r="K394" s="17"/>
      <c r="L394" s="17"/>
      <c r="M394" s="17"/>
    </row>
    <row r="395" spans="1:13" s="2" customFormat="1" x14ac:dyDescent="0.25">
      <c r="A395" s="6"/>
      <c r="D395" s="17"/>
      <c r="E395" s="18"/>
      <c r="F395" s="17"/>
      <c r="G395" s="17"/>
      <c r="H395" s="17"/>
      <c r="I395" s="17"/>
      <c r="J395" s="17"/>
      <c r="K395" s="17"/>
      <c r="L395" s="17"/>
      <c r="M395" s="17"/>
    </row>
    <row r="396" spans="1:13" s="2" customFormat="1" x14ac:dyDescent="0.25">
      <c r="A396" s="6"/>
      <c r="D396" s="17"/>
      <c r="E396" s="18"/>
      <c r="F396" s="17"/>
      <c r="G396" s="17"/>
      <c r="H396" s="17"/>
      <c r="I396" s="17"/>
      <c r="J396" s="17"/>
      <c r="K396" s="17"/>
      <c r="L396" s="17"/>
      <c r="M396" s="17"/>
    </row>
    <row r="397" spans="1:13" s="2" customFormat="1" x14ac:dyDescent="0.25">
      <c r="A397" s="6"/>
      <c r="D397" s="17"/>
      <c r="E397" s="18"/>
      <c r="F397" s="17"/>
      <c r="G397" s="17"/>
      <c r="H397" s="17"/>
      <c r="I397" s="17"/>
      <c r="J397" s="17"/>
      <c r="K397" s="17"/>
      <c r="L397" s="17"/>
      <c r="M397" s="17"/>
    </row>
    <row r="398" spans="1:13" s="2" customFormat="1" x14ac:dyDescent="0.25">
      <c r="A398" s="6"/>
      <c r="D398" s="17"/>
      <c r="E398" s="18"/>
      <c r="F398" s="17"/>
      <c r="G398" s="17"/>
      <c r="H398" s="17"/>
      <c r="I398" s="17"/>
      <c r="J398" s="17"/>
      <c r="K398" s="17"/>
      <c r="L398" s="17"/>
      <c r="M398" s="17"/>
    </row>
    <row r="399" spans="1:13" s="2" customFormat="1" x14ac:dyDescent="0.25">
      <c r="A399" s="6"/>
      <c r="D399" s="17"/>
      <c r="E399" s="18"/>
      <c r="F399" s="17"/>
      <c r="G399" s="17"/>
      <c r="H399" s="17"/>
      <c r="I399" s="17"/>
      <c r="J399" s="17"/>
      <c r="K399" s="17"/>
      <c r="L399" s="17"/>
      <c r="M399" s="17"/>
    </row>
    <row r="400" spans="1:13" s="2" customFormat="1" x14ac:dyDescent="0.25">
      <c r="A400" s="6"/>
      <c r="D400" s="17"/>
      <c r="E400" s="18"/>
      <c r="F400" s="17"/>
      <c r="G400" s="17"/>
      <c r="H400" s="17"/>
      <c r="I400" s="17"/>
      <c r="J400" s="17"/>
      <c r="K400" s="17"/>
      <c r="L400" s="17"/>
      <c r="M400" s="17"/>
    </row>
    <row r="401" spans="1:13" s="2" customFormat="1" x14ac:dyDescent="0.25">
      <c r="A401" s="6"/>
      <c r="D401" s="17"/>
      <c r="E401" s="18"/>
      <c r="F401" s="17"/>
      <c r="G401" s="17"/>
      <c r="H401" s="17"/>
      <c r="I401" s="17"/>
      <c r="J401" s="17"/>
      <c r="K401" s="17"/>
      <c r="L401" s="17"/>
      <c r="M401" s="17"/>
    </row>
    <row r="402" spans="1:13" s="2" customFormat="1" x14ac:dyDescent="0.25">
      <c r="A402" s="6"/>
      <c r="D402" s="17"/>
      <c r="E402" s="18"/>
      <c r="F402" s="17"/>
      <c r="G402" s="17"/>
      <c r="H402" s="17"/>
      <c r="I402" s="17"/>
      <c r="J402" s="17"/>
      <c r="K402" s="17"/>
      <c r="L402" s="17"/>
      <c r="M402" s="17"/>
    </row>
    <row r="403" spans="1:13" s="2" customFormat="1" x14ac:dyDescent="0.25">
      <c r="A403" s="6"/>
      <c r="D403" s="17"/>
      <c r="E403" s="18"/>
      <c r="F403" s="17"/>
      <c r="G403" s="17"/>
      <c r="H403" s="17"/>
      <c r="I403" s="17"/>
      <c r="J403" s="17"/>
      <c r="K403" s="17"/>
      <c r="L403" s="17"/>
      <c r="M403" s="17"/>
    </row>
    <row r="404" spans="1:13" s="2" customFormat="1" x14ac:dyDescent="0.25">
      <c r="A404" s="6"/>
      <c r="D404" s="17"/>
      <c r="E404" s="18"/>
      <c r="F404" s="17"/>
      <c r="G404" s="17"/>
      <c r="H404" s="17"/>
      <c r="I404" s="17"/>
      <c r="J404" s="17"/>
      <c r="K404" s="17"/>
      <c r="L404" s="17"/>
      <c r="M404" s="17"/>
    </row>
    <row r="405" spans="1:13" s="2" customFormat="1" x14ac:dyDescent="0.25">
      <c r="A405" s="6"/>
      <c r="D405" s="17"/>
      <c r="E405" s="18"/>
      <c r="F405" s="17"/>
      <c r="G405" s="17"/>
      <c r="H405" s="17"/>
      <c r="I405" s="17"/>
      <c r="J405" s="17"/>
      <c r="K405" s="17"/>
      <c r="L405" s="17"/>
      <c r="M405" s="17"/>
    </row>
    <row r="406" spans="1:13" s="2" customFormat="1" x14ac:dyDescent="0.25">
      <c r="A406" s="6"/>
      <c r="D406" s="17"/>
      <c r="E406" s="18"/>
      <c r="F406" s="17"/>
      <c r="G406" s="17"/>
      <c r="H406" s="17"/>
      <c r="I406" s="17"/>
      <c r="J406" s="17"/>
      <c r="K406" s="17"/>
      <c r="L406" s="17"/>
      <c r="M406" s="17"/>
    </row>
    <row r="407" spans="1:13" s="2" customFormat="1" x14ac:dyDescent="0.25">
      <c r="A407" s="6"/>
      <c r="D407" s="17"/>
      <c r="E407" s="18"/>
      <c r="F407" s="17"/>
      <c r="G407" s="17"/>
      <c r="H407" s="17"/>
      <c r="I407" s="17"/>
      <c r="J407" s="17"/>
      <c r="K407" s="17"/>
      <c r="L407" s="17"/>
      <c r="M407" s="17"/>
    </row>
    <row r="408" spans="1:13" s="2" customFormat="1" x14ac:dyDescent="0.25">
      <c r="A408" s="6"/>
      <c r="D408" s="17"/>
      <c r="E408" s="18"/>
      <c r="F408" s="17"/>
      <c r="G408" s="17"/>
      <c r="H408" s="17"/>
      <c r="I408" s="17"/>
      <c r="J408" s="17"/>
      <c r="K408" s="17"/>
      <c r="L408" s="17"/>
      <c r="M408" s="17"/>
    </row>
    <row r="409" spans="1:13" s="2" customFormat="1" x14ac:dyDescent="0.25">
      <c r="A409" s="6"/>
      <c r="D409" s="17"/>
      <c r="E409" s="18"/>
      <c r="F409" s="17"/>
      <c r="G409" s="17"/>
      <c r="H409" s="17"/>
      <c r="I409" s="17"/>
      <c r="J409" s="17"/>
      <c r="K409" s="17"/>
      <c r="L409" s="17"/>
      <c r="M409" s="17"/>
    </row>
    <row r="410" spans="1:13" s="2" customFormat="1" x14ac:dyDescent="0.25">
      <c r="A410" s="6"/>
      <c r="D410" s="17"/>
      <c r="E410" s="18"/>
      <c r="F410" s="17"/>
      <c r="G410" s="17"/>
      <c r="H410" s="17"/>
      <c r="I410" s="17"/>
      <c r="J410" s="17"/>
      <c r="K410" s="17"/>
      <c r="L410" s="17"/>
      <c r="M410" s="17"/>
    </row>
    <row r="411" spans="1:13" s="2" customFormat="1" x14ac:dyDescent="0.25">
      <c r="A411" s="6"/>
      <c r="D411" s="17"/>
      <c r="E411" s="18"/>
      <c r="F411" s="17"/>
      <c r="G411" s="17"/>
      <c r="H411" s="17"/>
      <c r="I411" s="17"/>
      <c r="J411" s="17"/>
      <c r="K411" s="17"/>
      <c r="L411" s="17"/>
      <c r="M411" s="17"/>
    </row>
    <row r="412" spans="1:13" s="2" customFormat="1" x14ac:dyDescent="0.25">
      <c r="A412" s="6"/>
      <c r="D412" s="17"/>
      <c r="E412" s="18"/>
      <c r="F412" s="17"/>
      <c r="G412" s="17"/>
      <c r="H412" s="17"/>
      <c r="I412" s="17"/>
      <c r="J412" s="17"/>
      <c r="K412" s="17"/>
      <c r="L412" s="17"/>
      <c r="M412" s="17"/>
    </row>
    <row r="413" spans="1:13" s="2" customFormat="1" x14ac:dyDescent="0.25">
      <c r="A413" s="6"/>
      <c r="D413" s="17"/>
      <c r="E413" s="18"/>
      <c r="F413" s="17"/>
      <c r="G413" s="17"/>
      <c r="H413" s="17"/>
      <c r="I413" s="17"/>
      <c r="J413" s="17"/>
      <c r="K413" s="17"/>
      <c r="L413" s="17"/>
      <c r="M413" s="17"/>
    </row>
    <row r="414" spans="1:13" s="2" customFormat="1" x14ac:dyDescent="0.25">
      <c r="A414" s="6"/>
      <c r="D414" s="17"/>
      <c r="E414" s="18"/>
      <c r="F414" s="17"/>
      <c r="G414" s="17"/>
      <c r="H414" s="17"/>
      <c r="I414" s="17"/>
      <c r="J414" s="17"/>
      <c r="K414" s="17"/>
      <c r="L414" s="17"/>
      <c r="M414" s="17"/>
    </row>
    <row r="415" spans="1:13" s="2" customFormat="1" x14ac:dyDescent="0.25">
      <c r="A415" s="6"/>
      <c r="D415" s="17"/>
      <c r="E415" s="18"/>
      <c r="F415" s="17"/>
      <c r="G415" s="17"/>
      <c r="H415" s="17"/>
      <c r="I415" s="17"/>
      <c r="J415" s="17"/>
      <c r="K415" s="17"/>
      <c r="L415" s="17"/>
      <c r="M415" s="17"/>
    </row>
    <row r="416" spans="1:13" s="2" customFormat="1" x14ac:dyDescent="0.25">
      <c r="A416" s="6"/>
      <c r="D416" s="17"/>
      <c r="E416" s="18"/>
      <c r="F416" s="17"/>
      <c r="G416" s="17"/>
      <c r="H416" s="17"/>
      <c r="I416" s="17"/>
      <c r="J416" s="17"/>
      <c r="K416" s="17"/>
      <c r="L416" s="17"/>
      <c r="M416" s="17"/>
    </row>
    <row r="417" spans="1:13" s="2" customFormat="1" x14ac:dyDescent="0.25">
      <c r="A417" s="6"/>
      <c r="D417" s="17"/>
      <c r="E417" s="18"/>
      <c r="F417" s="17"/>
      <c r="G417" s="17"/>
      <c r="H417" s="17"/>
      <c r="I417" s="17"/>
      <c r="J417" s="17"/>
      <c r="K417" s="17"/>
      <c r="L417" s="17"/>
      <c r="M417" s="17"/>
    </row>
    <row r="418" spans="1:13" s="2" customFormat="1" x14ac:dyDescent="0.25">
      <c r="A418" s="6"/>
      <c r="D418" s="17"/>
      <c r="E418" s="18"/>
      <c r="F418" s="17"/>
      <c r="G418" s="17"/>
      <c r="H418" s="17"/>
      <c r="I418" s="17"/>
      <c r="J418" s="17"/>
      <c r="K418" s="17"/>
      <c r="L418" s="17"/>
      <c r="M418" s="17"/>
    </row>
    <row r="419" spans="1:13" s="2" customFormat="1" x14ac:dyDescent="0.25">
      <c r="A419" s="6"/>
      <c r="D419" s="17"/>
      <c r="E419" s="18"/>
      <c r="F419" s="17"/>
      <c r="G419" s="17"/>
      <c r="H419" s="17"/>
      <c r="I419" s="17"/>
      <c r="J419" s="17"/>
      <c r="K419" s="17"/>
      <c r="L419" s="17"/>
      <c r="M419" s="17"/>
    </row>
    <row r="420" spans="1:13" s="2" customFormat="1" x14ac:dyDescent="0.25">
      <c r="A420" s="6"/>
      <c r="D420" s="17"/>
      <c r="E420" s="18"/>
      <c r="F420" s="17"/>
      <c r="G420" s="17"/>
      <c r="H420" s="17"/>
      <c r="I420" s="17"/>
      <c r="J420" s="17"/>
      <c r="K420" s="17"/>
      <c r="L420" s="17"/>
      <c r="M420" s="17"/>
    </row>
    <row r="421" spans="1:13" s="2" customFormat="1" x14ac:dyDescent="0.25">
      <c r="A421" s="6"/>
      <c r="D421" s="17"/>
      <c r="E421" s="18"/>
      <c r="F421" s="17"/>
      <c r="G421" s="17"/>
      <c r="H421" s="17"/>
      <c r="I421" s="17"/>
      <c r="J421" s="17"/>
      <c r="K421" s="17"/>
      <c r="L421" s="17"/>
      <c r="M421" s="17"/>
    </row>
    <row r="422" spans="1:13" s="2" customFormat="1" x14ac:dyDescent="0.25">
      <c r="A422" s="6"/>
      <c r="D422" s="17"/>
      <c r="E422" s="18"/>
      <c r="F422" s="17"/>
      <c r="G422" s="17"/>
      <c r="H422" s="17"/>
      <c r="I422" s="17"/>
      <c r="J422" s="17"/>
      <c r="K422" s="17"/>
      <c r="L422" s="17"/>
      <c r="M422" s="17"/>
    </row>
    <row r="423" spans="1:13" s="2" customFormat="1" x14ac:dyDescent="0.25">
      <c r="A423" s="6"/>
      <c r="D423" s="17"/>
      <c r="E423" s="18"/>
      <c r="F423" s="17"/>
      <c r="G423" s="17"/>
      <c r="H423" s="17"/>
      <c r="I423" s="17"/>
      <c r="J423" s="17"/>
      <c r="K423" s="17"/>
      <c r="L423" s="17"/>
      <c r="M423" s="17"/>
    </row>
    <row r="424" spans="1:13" s="2" customFormat="1" x14ac:dyDescent="0.25">
      <c r="A424" s="6"/>
      <c r="D424" s="17"/>
      <c r="E424" s="18"/>
      <c r="F424" s="17"/>
      <c r="G424" s="17"/>
      <c r="H424" s="17"/>
      <c r="I424" s="17"/>
      <c r="J424" s="17"/>
      <c r="K424" s="17"/>
      <c r="L424" s="17"/>
      <c r="M424" s="17"/>
    </row>
    <row r="425" spans="1:13" s="2" customFormat="1" x14ac:dyDescent="0.25">
      <c r="A425" s="6"/>
      <c r="D425" s="17"/>
      <c r="E425" s="18"/>
      <c r="F425" s="17"/>
      <c r="G425" s="17"/>
      <c r="H425" s="17"/>
      <c r="I425" s="17"/>
      <c r="J425" s="17"/>
      <c r="K425" s="17"/>
      <c r="L425" s="17"/>
      <c r="M425" s="17"/>
    </row>
    <row r="426" spans="1:13" s="2" customFormat="1" x14ac:dyDescent="0.25">
      <c r="A426" s="6"/>
      <c r="D426" s="17"/>
      <c r="E426" s="18"/>
      <c r="F426" s="17"/>
      <c r="G426" s="17"/>
      <c r="H426" s="17"/>
      <c r="I426" s="17"/>
      <c r="J426" s="17"/>
      <c r="K426" s="17"/>
      <c r="L426" s="17"/>
      <c r="M426" s="17"/>
    </row>
    <row r="427" spans="1:13" s="2" customFormat="1" x14ac:dyDescent="0.25">
      <c r="A427" s="6"/>
      <c r="D427" s="17"/>
      <c r="E427" s="18"/>
      <c r="F427" s="17"/>
      <c r="G427" s="17"/>
      <c r="H427" s="17"/>
      <c r="I427" s="17"/>
      <c r="J427" s="17"/>
      <c r="K427" s="17"/>
      <c r="L427" s="17"/>
      <c r="M427" s="17"/>
    </row>
    <row r="428" spans="1:13" s="2" customFormat="1" x14ac:dyDescent="0.25">
      <c r="A428" s="6"/>
      <c r="D428" s="17"/>
      <c r="E428" s="18"/>
      <c r="F428" s="17"/>
      <c r="G428" s="17"/>
      <c r="H428" s="17"/>
      <c r="I428" s="17"/>
      <c r="J428" s="17"/>
      <c r="K428" s="17"/>
      <c r="L428" s="17"/>
      <c r="M428" s="17"/>
    </row>
    <row r="429" spans="1:13" s="2" customFormat="1" x14ac:dyDescent="0.25">
      <c r="A429" s="6"/>
      <c r="D429" s="17"/>
      <c r="E429" s="18"/>
      <c r="F429" s="17"/>
      <c r="G429" s="17"/>
      <c r="H429" s="17"/>
      <c r="I429" s="17"/>
      <c r="J429" s="17"/>
      <c r="K429" s="17"/>
      <c r="L429" s="17"/>
      <c r="M429" s="17"/>
    </row>
    <row r="430" spans="1:13" s="2" customFormat="1" x14ac:dyDescent="0.25">
      <c r="A430" s="6"/>
      <c r="D430" s="17"/>
      <c r="E430" s="18"/>
      <c r="F430" s="17"/>
      <c r="G430" s="17"/>
      <c r="H430" s="17"/>
      <c r="I430" s="17"/>
      <c r="J430" s="17"/>
      <c r="K430" s="17"/>
      <c r="L430" s="17"/>
      <c r="M430" s="17"/>
    </row>
    <row r="431" spans="1:13" s="2" customFormat="1" x14ac:dyDescent="0.25">
      <c r="A431" s="6"/>
      <c r="D431" s="17"/>
      <c r="E431" s="18"/>
      <c r="F431" s="17"/>
      <c r="G431" s="17"/>
      <c r="H431" s="17"/>
      <c r="I431" s="17"/>
      <c r="J431" s="17"/>
      <c r="K431" s="17"/>
      <c r="L431" s="17"/>
      <c r="M431" s="17"/>
    </row>
    <row r="432" spans="1:13" s="2" customFormat="1" x14ac:dyDescent="0.25">
      <c r="A432" s="6"/>
      <c r="D432" s="17"/>
      <c r="E432" s="18"/>
      <c r="F432" s="17"/>
      <c r="G432" s="17"/>
      <c r="H432" s="17"/>
      <c r="I432" s="17"/>
      <c r="J432" s="17"/>
      <c r="K432" s="17"/>
      <c r="L432" s="17"/>
      <c r="M432" s="17"/>
    </row>
    <row r="433" spans="1:13" s="2" customFormat="1" x14ac:dyDescent="0.25">
      <c r="A433" s="6"/>
      <c r="D433" s="17"/>
      <c r="E433" s="18"/>
      <c r="F433" s="17"/>
      <c r="G433" s="17"/>
      <c r="H433" s="17"/>
      <c r="I433" s="17"/>
      <c r="J433" s="17"/>
      <c r="K433" s="17"/>
      <c r="L433" s="17"/>
      <c r="M433" s="17"/>
    </row>
    <row r="434" spans="1:13" s="2" customFormat="1" x14ac:dyDescent="0.25">
      <c r="A434" s="6"/>
      <c r="D434" s="17"/>
      <c r="E434" s="18"/>
      <c r="F434" s="17"/>
      <c r="G434" s="17"/>
      <c r="H434" s="17"/>
      <c r="I434" s="17"/>
      <c r="J434" s="17"/>
      <c r="K434" s="17"/>
      <c r="L434" s="17"/>
      <c r="M434" s="17"/>
    </row>
    <row r="435" spans="1:13" s="2" customFormat="1" x14ac:dyDescent="0.25">
      <c r="A435" s="6"/>
      <c r="D435" s="17"/>
      <c r="E435" s="18"/>
      <c r="F435" s="17"/>
      <c r="G435" s="17"/>
      <c r="H435" s="17"/>
      <c r="I435" s="17"/>
      <c r="J435" s="17"/>
      <c r="K435" s="17"/>
      <c r="L435" s="17"/>
      <c r="M435" s="17"/>
    </row>
    <row r="436" spans="1:13" s="2" customFormat="1" x14ac:dyDescent="0.25">
      <c r="A436" s="6"/>
      <c r="D436" s="17"/>
      <c r="E436" s="18"/>
      <c r="F436" s="17"/>
      <c r="G436" s="17"/>
      <c r="H436" s="17"/>
      <c r="I436" s="17"/>
      <c r="J436" s="17"/>
      <c r="K436" s="17"/>
      <c r="L436" s="17"/>
      <c r="M436" s="17"/>
    </row>
    <row r="437" spans="1:13" s="2" customFormat="1" x14ac:dyDescent="0.25">
      <c r="A437" s="6"/>
      <c r="D437" s="17"/>
      <c r="E437" s="18"/>
      <c r="F437" s="17"/>
      <c r="G437" s="17"/>
      <c r="H437" s="17"/>
      <c r="I437" s="17"/>
      <c r="J437" s="17"/>
      <c r="K437" s="17"/>
      <c r="L437" s="17"/>
      <c r="M437" s="17"/>
    </row>
    <row r="438" spans="1:13" s="2" customFormat="1" x14ac:dyDescent="0.25">
      <c r="A438" s="6"/>
      <c r="D438" s="17"/>
      <c r="E438" s="18"/>
      <c r="F438" s="17"/>
      <c r="G438" s="17"/>
      <c r="H438" s="17"/>
      <c r="I438" s="17"/>
      <c r="J438" s="17"/>
      <c r="K438" s="17"/>
      <c r="L438" s="17"/>
      <c r="M438" s="17"/>
    </row>
    <row r="439" spans="1:13" s="2" customFormat="1" x14ac:dyDescent="0.25">
      <c r="A439" s="6"/>
      <c r="D439" s="17"/>
      <c r="E439" s="18"/>
      <c r="F439" s="17"/>
      <c r="G439" s="17"/>
      <c r="H439" s="17"/>
      <c r="I439" s="17"/>
      <c r="J439" s="17"/>
      <c r="K439" s="17"/>
      <c r="L439" s="17"/>
      <c r="M439" s="17"/>
    </row>
    <row r="440" spans="1:13" s="2" customFormat="1" x14ac:dyDescent="0.25">
      <c r="A440" s="6"/>
      <c r="D440" s="17"/>
      <c r="E440" s="18"/>
      <c r="F440" s="17"/>
      <c r="G440" s="17"/>
      <c r="H440" s="17"/>
      <c r="I440" s="17"/>
      <c r="J440" s="17"/>
      <c r="K440" s="17"/>
      <c r="L440" s="17"/>
      <c r="M440" s="17"/>
    </row>
    <row r="441" spans="1:13" s="2" customFormat="1" x14ac:dyDescent="0.25">
      <c r="A441" s="6"/>
      <c r="D441" s="17"/>
      <c r="E441" s="18"/>
      <c r="F441" s="17"/>
      <c r="G441" s="17"/>
      <c r="H441" s="17"/>
      <c r="I441" s="17"/>
      <c r="J441" s="17"/>
      <c r="K441" s="17"/>
      <c r="L441" s="17"/>
      <c r="M441" s="17"/>
    </row>
    <row r="442" spans="1:13" s="2" customFormat="1" x14ac:dyDescent="0.25">
      <c r="A442" s="6"/>
      <c r="D442" s="17"/>
      <c r="E442" s="18"/>
      <c r="F442" s="17"/>
      <c r="G442" s="17"/>
      <c r="H442" s="17"/>
      <c r="I442" s="17"/>
      <c r="J442" s="17"/>
      <c r="K442" s="17"/>
      <c r="L442" s="17"/>
      <c r="M442" s="17"/>
    </row>
    <row r="443" spans="1:13" s="2" customFormat="1" x14ac:dyDescent="0.25">
      <c r="A443" s="6"/>
      <c r="D443" s="17"/>
      <c r="E443" s="18"/>
      <c r="F443" s="17"/>
      <c r="G443" s="17"/>
      <c r="H443" s="17"/>
      <c r="I443" s="17"/>
      <c r="J443" s="17"/>
      <c r="K443" s="17"/>
      <c r="L443" s="17"/>
      <c r="M443" s="17"/>
    </row>
    <row r="444" spans="1:13" s="2" customFormat="1" x14ac:dyDescent="0.25">
      <c r="A444" s="6"/>
      <c r="D444" s="17"/>
      <c r="E444" s="18"/>
      <c r="F444" s="17"/>
      <c r="G444" s="17"/>
      <c r="H444" s="17"/>
      <c r="I444" s="17"/>
      <c r="J444" s="17"/>
      <c r="K444" s="17"/>
      <c r="L444" s="17"/>
      <c r="M444" s="17"/>
    </row>
    <row r="445" spans="1:13" s="2" customFormat="1" x14ac:dyDescent="0.25">
      <c r="A445" s="6"/>
      <c r="D445" s="17"/>
      <c r="E445" s="18"/>
      <c r="F445" s="17"/>
      <c r="G445" s="17"/>
      <c r="H445" s="17"/>
      <c r="I445" s="17"/>
      <c r="J445" s="17"/>
      <c r="K445" s="17"/>
      <c r="L445" s="17"/>
      <c r="M445" s="17"/>
    </row>
    <row r="446" spans="1:13" s="2" customFormat="1" x14ac:dyDescent="0.25">
      <c r="A446" s="6"/>
      <c r="D446" s="17"/>
      <c r="E446" s="18"/>
      <c r="F446" s="17"/>
      <c r="G446" s="17"/>
      <c r="H446" s="17"/>
      <c r="I446" s="17"/>
      <c r="J446" s="17"/>
      <c r="K446" s="17"/>
      <c r="L446" s="17"/>
      <c r="M446" s="17"/>
    </row>
    <row r="447" spans="1:13" s="2" customFormat="1" x14ac:dyDescent="0.25">
      <c r="A447" s="6"/>
      <c r="D447" s="17"/>
      <c r="E447" s="18"/>
      <c r="F447" s="17"/>
      <c r="G447" s="17"/>
      <c r="H447" s="17"/>
      <c r="I447" s="17"/>
      <c r="J447" s="17"/>
      <c r="K447" s="17"/>
      <c r="L447" s="17"/>
      <c r="M447" s="17"/>
    </row>
    <row r="448" spans="1:13" s="2" customFormat="1" x14ac:dyDescent="0.25">
      <c r="A448" s="6"/>
      <c r="D448" s="17"/>
      <c r="E448" s="18"/>
      <c r="F448" s="17"/>
      <c r="G448" s="17"/>
      <c r="H448" s="17"/>
      <c r="I448" s="17"/>
      <c r="J448" s="17"/>
      <c r="K448" s="17"/>
      <c r="L448" s="17"/>
      <c r="M448" s="17"/>
    </row>
    <row r="449" spans="1:13" s="2" customFormat="1" x14ac:dyDescent="0.25">
      <c r="A449" s="6"/>
      <c r="D449" s="17"/>
      <c r="E449" s="18"/>
      <c r="F449" s="17"/>
      <c r="G449" s="17"/>
      <c r="H449" s="17"/>
      <c r="I449" s="17"/>
      <c r="J449" s="17"/>
      <c r="K449" s="17"/>
      <c r="L449" s="17"/>
      <c r="M449" s="17"/>
    </row>
    <row r="450" spans="1:13" s="2" customFormat="1" x14ac:dyDescent="0.25">
      <c r="A450" s="6"/>
      <c r="D450" s="17"/>
      <c r="E450" s="18"/>
      <c r="F450" s="17"/>
      <c r="G450" s="17"/>
      <c r="H450" s="17"/>
      <c r="I450" s="17"/>
      <c r="J450" s="17"/>
      <c r="K450" s="17"/>
      <c r="L450" s="17"/>
      <c r="M450" s="17"/>
    </row>
    <row r="451" spans="1:13" s="2" customFormat="1" x14ac:dyDescent="0.25">
      <c r="A451" s="6"/>
      <c r="D451" s="17"/>
      <c r="E451" s="18"/>
      <c r="F451" s="17"/>
      <c r="G451" s="17"/>
      <c r="H451" s="17"/>
      <c r="I451" s="17"/>
      <c r="J451" s="17"/>
      <c r="K451" s="17"/>
      <c r="L451" s="17"/>
      <c r="M451" s="17"/>
    </row>
    <row r="452" spans="1:13" s="2" customFormat="1" x14ac:dyDescent="0.25">
      <c r="A452" s="6"/>
      <c r="D452" s="17"/>
      <c r="E452" s="18"/>
      <c r="F452" s="17"/>
      <c r="G452" s="17"/>
      <c r="H452" s="17"/>
      <c r="I452" s="17"/>
      <c r="J452" s="17"/>
      <c r="K452" s="17"/>
      <c r="L452" s="17"/>
      <c r="M452" s="17"/>
    </row>
    <row r="453" spans="1:13" s="2" customFormat="1" x14ac:dyDescent="0.25">
      <c r="A453" s="6"/>
      <c r="D453" s="17"/>
      <c r="E453" s="18"/>
      <c r="F453" s="17"/>
      <c r="G453" s="17"/>
      <c r="H453" s="17"/>
      <c r="I453" s="17"/>
      <c r="J453" s="17"/>
      <c r="K453" s="17"/>
      <c r="L453" s="17"/>
      <c r="M453" s="17"/>
    </row>
    <row r="454" spans="1:13" s="2" customFormat="1" x14ac:dyDescent="0.25">
      <c r="A454" s="6"/>
      <c r="D454" s="17"/>
      <c r="E454" s="18"/>
      <c r="F454" s="17"/>
      <c r="G454" s="17"/>
      <c r="H454" s="17"/>
      <c r="I454" s="17"/>
      <c r="J454" s="17"/>
      <c r="K454" s="17"/>
      <c r="L454" s="17"/>
      <c r="M454" s="17"/>
    </row>
    <row r="455" spans="1:13" s="2" customFormat="1" x14ac:dyDescent="0.25">
      <c r="A455" s="6"/>
      <c r="D455" s="17"/>
      <c r="E455" s="18"/>
      <c r="F455" s="17"/>
      <c r="G455" s="17"/>
      <c r="H455" s="17"/>
      <c r="I455" s="17"/>
      <c r="J455" s="17"/>
      <c r="K455" s="17"/>
      <c r="L455" s="17"/>
      <c r="M455" s="17"/>
    </row>
    <row r="456" spans="1:13" s="2" customFormat="1" x14ac:dyDescent="0.25">
      <c r="A456" s="6"/>
      <c r="D456" s="17"/>
      <c r="E456" s="18"/>
      <c r="F456" s="17"/>
      <c r="G456" s="17"/>
      <c r="H456" s="17"/>
      <c r="I456" s="17"/>
      <c r="J456" s="17"/>
      <c r="K456" s="17"/>
      <c r="L456" s="17"/>
      <c r="M456" s="17"/>
    </row>
    <row r="457" spans="1:13" s="2" customFormat="1" x14ac:dyDescent="0.25">
      <c r="A457" s="6"/>
      <c r="D457" s="17"/>
      <c r="E457" s="18"/>
      <c r="F457" s="17"/>
      <c r="G457" s="17"/>
      <c r="H457" s="17"/>
      <c r="I457" s="17"/>
      <c r="J457" s="17"/>
      <c r="K457" s="17"/>
      <c r="L457" s="17"/>
      <c r="M457" s="17"/>
    </row>
    <row r="458" spans="1:13" s="2" customFormat="1" x14ac:dyDescent="0.25">
      <c r="A458" s="6"/>
      <c r="D458" s="17"/>
      <c r="E458" s="18"/>
      <c r="F458" s="17"/>
      <c r="G458" s="17"/>
      <c r="H458" s="17"/>
      <c r="I458" s="17"/>
      <c r="J458" s="17"/>
      <c r="K458" s="17"/>
      <c r="L458" s="17"/>
      <c r="M458" s="17"/>
    </row>
    <row r="459" spans="1:13" s="2" customFormat="1" x14ac:dyDescent="0.25">
      <c r="A459" s="6"/>
      <c r="D459" s="17"/>
      <c r="E459" s="18"/>
      <c r="F459" s="17"/>
      <c r="G459" s="17"/>
      <c r="H459" s="17"/>
      <c r="I459" s="17"/>
      <c r="J459" s="17"/>
      <c r="K459" s="17"/>
      <c r="L459" s="17"/>
      <c r="M459" s="17"/>
    </row>
    <row r="460" spans="1:13" s="2" customFormat="1" x14ac:dyDescent="0.25">
      <c r="A460" s="6"/>
      <c r="D460" s="17"/>
      <c r="E460" s="18"/>
      <c r="F460" s="17"/>
      <c r="G460" s="17"/>
      <c r="H460" s="17"/>
      <c r="I460" s="17"/>
      <c r="J460" s="17"/>
      <c r="K460" s="17"/>
      <c r="L460" s="17"/>
      <c r="M460" s="17"/>
    </row>
    <row r="461" spans="1:13" s="2" customFormat="1" x14ac:dyDescent="0.25">
      <c r="A461" s="6"/>
      <c r="D461" s="17"/>
      <c r="E461" s="18"/>
      <c r="F461" s="17"/>
      <c r="G461" s="17"/>
      <c r="H461" s="17"/>
      <c r="I461" s="17"/>
      <c r="J461" s="17"/>
      <c r="K461" s="17"/>
      <c r="L461" s="17"/>
      <c r="M461" s="17"/>
    </row>
    <row r="462" spans="1:13" s="2" customFormat="1" x14ac:dyDescent="0.25">
      <c r="A462" s="6"/>
      <c r="D462" s="17"/>
      <c r="E462" s="18"/>
      <c r="F462" s="17"/>
      <c r="G462" s="17"/>
      <c r="H462" s="17"/>
      <c r="I462" s="17"/>
      <c r="J462" s="17"/>
      <c r="K462" s="17"/>
      <c r="L462" s="17"/>
      <c r="M462" s="17"/>
    </row>
    <row r="463" spans="1:13" s="2" customFormat="1" x14ac:dyDescent="0.25">
      <c r="A463" s="6"/>
      <c r="D463" s="17"/>
      <c r="E463" s="18"/>
      <c r="F463" s="17"/>
      <c r="G463" s="17"/>
      <c r="H463" s="17"/>
      <c r="I463" s="17"/>
      <c r="J463" s="17"/>
      <c r="K463" s="17"/>
      <c r="L463" s="17"/>
      <c r="M463" s="17"/>
    </row>
    <row r="464" spans="1:13" s="2" customFormat="1" x14ac:dyDescent="0.25">
      <c r="A464" s="6"/>
      <c r="D464" s="17"/>
      <c r="E464" s="18"/>
      <c r="F464" s="17"/>
      <c r="G464" s="17"/>
      <c r="H464" s="17"/>
      <c r="I464" s="17"/>
      <c r="J464" s="17"/>
      <c r="K464" s="17"/>
      <c r="L464" s="17"/>
      <c r="M464" s="17"/>
    </row>
    <row r="465" spans="1:13" s="2" customFormat="1" x14ac:dyDescent="0.25">
      <c r="A465" s="6"/>
      <c r="D465" s="17"/>
      <c r="E465" s="18"/>
      <c r="F465" s="17"/>
      <c r="G465" s="17"/>
      <c r="H465" s="17"/>
      <c r="I465" s="17"/>
      <c r="J465" s="17"/>
      <c r="K465" s="17"/>
      <c r="L465" s="17"/>
      <c r="M465" s="17"/>
    </row>
    <row r="466" spans="1:13" s="2" customFormat="1" x14ac:dyDescent="0.25">
      <c r="A466" s="6"/>
      <c r="D466" s="17"/>
      <c r="E466" s="18"/>
      <c r="F466" s="17"/>
      <c r="G466" s="17"/>
      <c r="H466" s="17"/>
      <c r="I466" s="17"/>
      <c r="J466" s="17"/>
      <c r="K466" s="17"/>
      <c r="L466" s="17"/>
      <c r="M466" s="17"/>
    </row>
    <row r="467" spans="1:13" s="2" customFormat="1" x14ac:dyDescent="0.25">
      <c r="A467" s="6"/>
      <c r="D467" s="17"/>
      <c r="E467" s="18"/>
      <c r="F467" s="17"/>
      <c r="G467" s="17"/>
      <c r="H467" s="17"/>
      <c r="I467" s="17"/>
      <c r="J467" s="17"/>
      <c r="K467" s="17"/>
      <c r="L467" s="17"/>
      <c r="M467" s="17"/>
    </row>
    <row r="468" spans="1:13" s="2" customFormat="1" x14ac:dyDescent="0.25">
      <c r="A468" s="6"/>
      <c r="D468" s="17"/>
      <c r="E468" s="18"/>
      <c r="F468" s="17"/>
      <c r="G468" s="17"/>
      <c r="H468" s="17"/>
      <c r="I468" s="17"/>
      <c r="J468" s="17"/>
      <c r="K468" s="17"/>
      <c r="L468" s="17"/>
      <c r="M468" s="17"/>
    </row>
    <row r="469" spans="1:13" s="2" customFormat="1" x14ac:dyDescent="0.25">
      <c r="A469" s="6"/>
      <c r="D469" s="17"/>
      <c r="E469" s="18"/>
      <c r="F469" s="17"/>
      <c r="G469" s="17"/>
      <c r="H469" s="17"/>
      <c r="I469" s="17"/>
      <c r="J469" s="17"/>
      <c r="K469" s="17"/>
      <c r="L469" s="17"/>
      <c r="M469" s="17"/>
    </row>
    <row r="470" spans="1:13" s="2" customFormat="1" x14ac:dyDescent="0.25">
      <c r="A470" s="6"/>
      <c r="D470" s="17"/>
      <c r="E470" s="18"/>
      <c r="F470" s="17"/>
      <c r="G470" s="17"/>
      <c r="H470" s="17"/>
      <c r="I470" s="17"/>
      <c r="J470" s="17"/>
      <c r="K470" s="17"/>
      <c r="L470" s="17"/>
      <c r="M470" s="17"/>
    </row>
    <row r="471" spans="1:13" s="2" customFormat="1" x14ac:dyDescent="0.25">
      <c r="A471" s="6"/>
      <c r="D471" s="17"/>
      <c r="E471" s="18"/>
      <c r="F471" s="17"/>
      <c r="G471" s="17"/>
      <c r="H471" s="17"/>
      <c r="I471" s="17"/>
      <c r="J471" s="17"/>
      <c r="K471" s="17"/>
      <c r="L471" s="17"/>
      <c r="M471" s="17"/>
    </row>
    <row r="472" spans="1:13" s="2" customFormat="1" x14ac:dyDescent="0.25">
      <c r="A472" s="6"/>
      <c r="D472" s="17"/>
      <c r="E472" s="18"/>
      <c r="F472" s="17"/>
      <c r="G472" s="17"/>
      <c r="H472" s="17"/>
      <c r="I472" s="17"/>
      <c r="J472" s="17"/>
      <c r="K472" s="17"/>
      <c r="L472" s="17"/>
      <c r="M472" s="17"/>
    </row>
    <row r="473" spans="1:13" s="2" customFormat="1" x14ac:dyDescent="0.25">
      <c r="A473" s="6"/>
      <c r="D473" s="17"/>
      <c r="E473" s="18"/>
      <c r="F473" s="17"/>
      <c r="G473" s="17"/>
      <c r="H473" s="17"/>
      <c r="I473" s="17"/>
      <c r="J473" s="17"/>
      <c r="K473" s="17"/>
      <c r="L473" s="17"/>
      <c r="M473" s="17"/>
    </row>
    <row r="474" spans="1:13" s="2" customFormat="1" x14ac:dyDescent="0.25">
      <c r="A474" s="6"/>
      <c r="D474" s="17"/>
      <c r="E474" s="18"/>
      <c r="F474" s="17"/>
      <c r="G474" s="17"/>
      <c r="H474" s="17"/>
      <c r="I474" s="17"/>
      <c r="J474" s="17"/>
      <c r="K474" s="17"/>
      <c r="L474" s="17"/>
      <c r="M474" s="17"/>
    </row>
    <row r="475" spans="1:13" s="2" customFormat="1" x14ac:dyDescent="0.25">
      <c r="A475" s="6"/>
      <c r="D475" s="17"/>
      <c r="E475" s="18"/>
      <c r="F475" s="17"/>
      <c r="G475" s="17"/>
      <c r="H475" s="17"/>
      <c r="I475" s="17"/>
      <c r="J475" s="17"/>
      <c r="K475" s="17"/>
      <c r="L475" s="17"/>
      <c r="M475" s="17"/>
    </row>
    <row r="476" spans="1:13" s="2" customFormat="1" x14ac:dyDescent="0.25">
      <c r="A476" s="6"/>
      <c r="D476" s="17"/>
      <c r="E476" s="18"/>
      <c r="F476" s="17"/>
      <c r="G476" s="17"/>
      <c r="H476" s="17"/>
      <c r="I476" s="17"/>
      <c r="J476" s="17"/>
      <c r="K476" s="17"/>
      <c r="L476" s="17"/>
      <c r="M476" s="17"/>
    </row>
    <row r="477" spans="1:13" s="2" customFormat="1" x14ac:dyDescent="0.25">
      <c r="A477" s="6"/>
      <c r="D477" s="17"/>
      <c r="E477" s="18"/>
      <c r="F477" s="17"/>
      <c r="G477" s="17"/>
      <c r="H477" s="17"/>
      <c r="I477" s="17"/>
      <c r="J477" s="17"/>
      <c r="K477" s="17"/>
      <c r="L477" s="17"/>
      <c r="M477" s="17"/>
    </row>
    <row r="478" spans="1:13" s="2" customFormat="1" x14ac:dyDescent="0.25">
      <c r="A478" s="6"/>
      <c r="D478" s="17"/>
      <c r="E478" s="18"/>
      <c r="F478" s="17"/>
      <c r="G478" s="17"/>
      <c r="H478" s="17"/>
      <c r="I478" s="17"/>
      <c r="J478" s="17"/>
      <c r="K478" s="17"/>
      <c r="L478" s="17"/>
      <c r="M478" s="17"/>
    </row>
    <row r="479" spans="1:13" s="2" customFormat="1" x14ac:dyDescent="0.25">
      <c r="A479" s="6"/>
      <c r="D479" s="17"/>
      <c r="E479" s="18"/>
      <c r="F479" s="17"/>
      <c r="G479" s="17"/>
      <c r="H479" s="17"/>
      <c r="I479" s="17"/>
      <c r="J479" s="17"/>
      <c r="K479" s="17"/>
      <c r="L479" s="17"/>
      <c r="M479" s="17"/>
    </row>
    <row r="480" spans="1:13" s="2" customFormat="1" x14ac:dyDescent="0.25">
      <c r="A480" s="6"/>
      <c r="D480" s="17"/>
      <c r="E480" s="18"/>
      <c r="F480" s="17"/>
      <c r="G480" s="17"/>
      <c r="H480" s="17"/>
      <c r="I480" s="17"/>
      <c r="J480" s="17"/>
      <c r="K480" s="17"/>
      <c r="L480" s="17"/>
      <c r="M480" s="17"/>
    </row>
    <row r="481" spans="1:13" s="2" customFormat="1" x14ac:dyDescent="0.25">
      <c r="A481" s="6"/>
      <c r="D481" s="17"/>
      <c r="E481" s="18"/>
      <c r="F481" s="17"/>
      <c r="G481" s="17"/>
      <c r="H481" s="17"/>
      <c r="I481" s="17"/>
      <c r="J481" s="17"/>
      <c r="K481" s="17"/>
      <c r="L481" s="17"/>
      <c r="M481" s="17"/>
    </row>
    <row r="482" spans="1:13" s="2" customFormat="1" x14ac:dyDescent="0.25">
      <c r="A482" s="6"/>
      <c r="D482" s="17"/>
      <c r="E482" s="18"/>
      <c r="F482" s="17"/>
      <c r="G482" s="17"/>
      <c r="H482" s="17"/>
      <c r="I482" s="17"/>
      <c r="J482" s="17"/>
      <c r="K482" s="17"/>
      <c r="L482" s="17"/>
      <c r="M482" s="17"/>
    </row>
    <row r="483" spans="1:13" s="2" customFormat="1" x14ac:dyDescent="0.25">
      <c r="A483" s="6"/>
      <c r="D483" s="17"/>
      <c r="E483" s="18"/>
      <c r="F483" s="17"/>
      <c r="G483" s="17"/>
      <c r="H483" s="17"/>
      <c r="I483" s="17"/>
      <c r="J483" s="17"/>
      <c r="K483" s="17"/>
      <c r="L483" s="17"/>
      <c r="M483" s="17"/>
    </row>
    <row r="484" spans="1:13" s="2" customFormat="1" x14ac:dyDescent="0.25">
      <c r="A484" s="6"/>
      <c r="D484" s="17"/>
      <c r="E484" s="18"/>
      <c r="F484" s="17"/>
      <c r="G484" s="17"/>
      <c r="H484" s="17"/>
      <c r="I484" s="17"/>
      <c r="J484" s="17"/>
      <c r="K484" s="17"/>
      <c r="L484" s="17"/>
      <c r="M484" s="17"/>
    </row>
    <row r="485" spans="1:13" s="2" customFormat="1" x14ac:dyDescent="0.25">
      <c r="A485" s="6"/>
      <c r="D485" s="17"/>
      <c r="E485" s="18"/>
      <c r="F485" s="17"/>
      <c r="G485" s="17"/>
      <c r="H485" s="17"/>
      <c r="I485" s="17"/>
      <c r="J485" s="17"/>
      <c r="K485" s="17"/>
      <c r="L485" s="17"/>
      <c r="M485" s="17"/>
    </row>
    <row r="486" spans="1:13" s="2" customFormat="1" x14ac:dyDescent="0.25">
      <c r="A486" s="6"/>
      <c r="D486" s="17"/>
      <c r="E486" s="18"/>
      <c r="F486" s="17"/>
      <c r="G486" s="17"/>
      <c r="H486" s="17"/>
      <c r="I486" s="17"/>
      <c r="J486" s="17"/>
      <c r="K486" s="17"/>
      <c r="L486" s="17"/>
      <c r="M486" s="17"/>
    </row>
    <row r="487" spans="1:13" s="2" customFormat="1" x14ac:dyDescent="0.25">
      <c r="A487" s="6"/>
      <c r="D487" s="17"/>
      <c r="E487" s="18"/>
      <c r="F487" s="17"/>
      <c r="G487" s="17"/>
      <c r="H487" s="17"/>
      <c r="I487" s="17"/>
      <c r="J487" s="17"/>
      <c r="K487" s="17"/>
      <c r="L487" s="17"/>
      <c r="M487" s="17"/>
    </row>
    <row r="488" spans="1:13" s="2" customFormat="1" x14ac:dyDescent="0.25">
      <c r="A488" s="6"/>
      <c r="D488" s="17"/>
      <c r="E488" s="18"/>
      <c r="F488" s="17"/>
      <c r="G488" s="17"/>
      <c r="H488" s="17"/>
      <c r="I488" s="17"/>
      <c r="J488" s="17"/>
      <c r="K488" s="17"/>
      <c r="L488" s="17"/>
      <c r="M488" s="17"/>
    </row>
    <row r="489" spans="1:13" s="2" customFormat="1" x14ac:dyDescent="0.25">
      <c r="A489" s="6"/>
      <c r="D489" s="17"/>
      <c r="E489" s="18"/>
      <c r="F489" s="17"/>
      <c r="G489" s="17"/>
      <c r="H489" s="17"/>
      <c r="I489" s="17"/>
      <c r="J489" s="17"/>
      <c r="K489" s="17"/>
      <c r="L489" s="17"/>
      <c r="M489" s="17"/>
    </row>
    <row r="490" spans="1:13" s="2" customFormat="1" x14ac:dyDescent="0.25">
      <c r="A490" s="6"/>
      <c r="D490" s="17"/>
      <c r="E490" s="18"/>
      <c r="F490" s="17"/>
      <c r="G490" s="17"/>
      <c r="H490" s="17"/>
      <c r="I490" s="17"/>
      <c r="J490" s="17"/>
      <c r="K490" s="17"/>
      <c r="L490" s="17"/>
      <c r="M490" s="17"/>
    </row>
    <row r="491" spans="1:13" s="2" customFormat="1" x14ac:dyDescent="0.25">
      <c r="A491" s="6"/>
      <c r="D491" s="17"/>
      <c r="E491" s="18"/>
      <c r="F491" s="17"/>
      <c r="G491" s="17"/>
      <c r="H491" s="17"/>
      <c r="I491" s="17"/>
      <c r="J491" s="17"/>
      <c r="K491" s="17"/>
      <c r="L491" s="17"/>
      <c r="M491" s="17"/>
    </row>
    <row r="492" spans="1:13" s="2" customFormat="1" x14ac:dyDescent="0.25">
      <c r="A492" s="6"/>
      <c r="D492" s="17"/>
      <c r="E492" s="18"/>
      <c r="F492" s="17"/>
      <c r="G492" s="17"/>
      <c r="H492" s="17"/>
      <c r="I492" s="17"/>
      <c r="J492" s="17"/>
      <c r="K492" s="17"/>
      <c r="L492" s="17"/>
      <c r="M492" s="17"/>
    </row>
    <row r="493" spans="1:13" s="2" customFormat="1" x14ac:dyDescent="0.25">
      <c r="A493" s="6"/>
      <c r="D493" s="17"/>
      <c r="E493" s="18"/>
      <c r="F493" s="17"/>
      <c r="G493" s="17"/>
      <c r="H493" s="17"/>
      <c r="I493" s="17"/>
      <c r="J493" s="17"/>
      <c r="K493" s="17"/>
      <c r="L493" s="17"/>
      <c r="M493" s="17"/>
    </row>
    <row r="494" spans="1:13" s="2" customFormat="1" x14ac:dyDescent="0.25">
      <c r="A494" s="6"/>
      <c r="D494" s="17"/>
      <c r="E494" s="18"/>
      <c r="F494" s="17"/>
      <c r="G494" s="17"/>
      <c r="H494" s="17"/>
      <c r="I494" s="17"/>
      <c r="J494" s="17"/>
      <c r="K494" s="17"/>
      <c r="L494" s="17"/>
      <c r="M494" s="17"/>
    </row>
    <row r="495" spans="1:13" s="2" customFormat="1" x14ac:dyDescent="0.25">
      <c r="A495" s="6"/>
      <c r="D495" s="17"/>
      <c r="E495" s="18"/>
      <c r="F495" s="17"/>
      <c r="G495" s="17"/>
      <c r="H495" s="17"/>
      <c r="I495" s="17"/>
      <c r="J495" s="17"/>
      <c r="K495" s="17"/>
      <c r="L495" s="17"/>
      <c r="M495" s="17"/>
    </row>
    <row r="496" spans="1:13" s="2" customFormat="1" x14ac:dyDescent="0.25">
      <c r="A496" s="6"/>
      <c r="D496" s="17"/>
      <c r="E496" s="18"/>
      <c r="F496" s="17"/>
      <c r="G496" s="17"/>
      <c r="H496" s="17"/>
      <c r="I496" s="17"/>
      <c r="J496" s="17"/>
      <c r="K496" s="17"/>
      <c r="L496" s="17"/>
      <c r="M496" s="17"/>
    </row>
    <row r="497" spans="1:13" s="2" customFormat="1" x14ac:dyDescent="0.25">
      <c r="A497" s="6"/>
      <c r="D497" s="17"/>
      <c r="E497" s="18"/>
      <c r="F497" s="17"/>
      <c r="G497" s="17"/>
      <c r="H497" s="17"/>
      <c r="I497" s="17"/>
      <c r="J497" s="17"/>
      <c r="K497" s="17"/>
      <c r="L497" s="17"/>
      <c r="M497" s="17"/>
    </row>
    <row r="498" spans="1:13" s="2" customFormat="1" x14ac:dyDescent="0.25">
      <c r="A498" s="6"/>
      <c r="D498" s="17"/>
      <c r="E498" s="18"/>
      <c r="F498" s="17"/>
      <c r="G498" s="17"/>
      <c r="H498" s="17"/>
      <c r="I498" s="17"/>
      <c r="J498" s="17"/>
      <c r="K498" s="17"/>
      <c r="L498" s="17"/>
      <c r="M498" s="17"/>
    </row>
    <row r="499" spans="1:13" s="2" customFormat="1" x14ac:dyDescent="0.25">
      <c r="A499" s="6"/>
      <c r="D499" s="17"/>
      <c r="E499" s="18"/>
      <c r="F499" s="17"/>
      <c r="G499" s="17"/>
      <c r="H499" s="17"/>
      <c r="I499" s="17"/>
      <c r="J499" s="17"/>
      <c r="K499" s="17"/>
      <c r="L499" s="17"/>
      <c r="M499" s="17"/>
    </row>
    <row r="500" spans="1:13" s="2" customFormat="1" x14ac:dyDescent="0.25">
      <c r="A500" s="6"/>
      <c r="D500" s="17"/>
      <c r="E500" s="18"/>
      <c r="F500" s="17"/>
      <c r="G500" s="17"/>
      <c r="H500" s="17"/>
      <c r="I500" s="17"/>
      <c r="J500" s="17"/>
      <c r="K500" s="17"/>
      <c r="L500" s="17"/>
      <c r="M500" s="17"/>
    </row>
    <row r="501" spans="1:13" s="2" customFormat="1" x14ac:dyDescent="0.25">
      <c r="A501" s="6"/>
      <c r="D501" s="17"/>
      <c r="E501" s="18"/>
      <c r="F501" s="17"/>
      <c r="G501" s="17"/>
      <c r="H501" s="17"/>
      <c r="I501" s="17"/>
      <c r="J501" s="17"/>
      <c r="K501" s="17"/>
      <c r="L501" s="17"/>
      <c r="M501" s="17"/>
    </row>
    <row r="502" spans="1:13" s="2" customFormat="1" x14ac:dyDescent="0.25">
      <c r="A502" s="6"/>
      <c r="D502" s="17"/>
      <c r="E502" s="18"/>
      <c r="F502" s="17"/>
      <c r="G502" s="17"/>
      <c r="H502" s="17"/>
      <c r="I502" s="17"/>
      <c r="J502" s="17"/>
      <c r="K502" s="17"/>
      <c r="L502" s="17"/>
      <c r="M502" s="17"/>
    </row>
    <row r="503" spans="1:13" s="2" customFormat="1" x14ac:dyDescent="0.25">
      <c r="A503" s="6"/>
      <c r="D503" s="17"/>
      <c r="E503" s="18"/>
      <c r="F503" s="17"/>
      <c r="G503" s="17"/>
      <c r="H503" s="17"/>
      <c r="I503" s="17"/>
      <c r="J503" s="17"/>
      <c r="K503" s="17"/>
      <c r="L503" s="17"/>
      <c r="M503" s="17"/>
    </row>
    <row r="504" spans="1:13" s="2" customFormat="1" x14ac:dyDescent="0.25">
      <c r="A504" s="6"/>
      <c r="D504" s="17"/>
      <c r="E504" s="18"/>
      <c r="F504" s="17"/>
      <c r="G504" s="17"/>
      <c r="H504" s="17"/>
      <c r="I504" s="17"/>
      <c r="J504" s="17"/>
      <c r="K504" s="17"/>
      <c r="L504" s="17"/>
      <c r="M504" s="17"/>
    </row>
    <row r="505" spans="1:13" s="2" customFormat="1" x14ac:dyDescent="0.25">
      <c r="A505" s="6"/>
      <c r="D505" s="17"/>
      <c r="E505" s="18"/>
      <c r="F505" s="17"/>
      <c r="G505" s="17"/>
      <c r="H505" s="17"/>
      <c r="I505" s="17"/>
      <c r="J505" s="17"/>
      <c r="K505" s="17"/>
      <c r="L505" s="17"/>
      <c r="M505" s="17"/>
    </row>
    <row r="506" spans="1:13" s="2" customFormat="1" x14ac:dyDescent="0.25">
      <c r="A506" s="6"/>
      <c r="D506" s="17"/>
      <c r="E506" s="18"/>
      <c r="F506" s="17"/>
      <c r="G506" s="17"/>
      <c r="H506" s="17"/>
      <c r="I506" s="17"/>
      <c r="J506" s="17"/>
      <c r="K506" s="17"/>
      <c r="L506" s="17"/>
      <c r="M506" s="17"/>
    </row>
    <row r="507" spans="1:13" s="2" customFormat="1" x14ac:dyDescent="0.25">
      <c r="A507" s="6"/>
      <c r="D507" s="17"/>
      <c r="E507" s="18"/>
      <c r="F507" s="17"/>
      <c r="G507" s="17"/>
      <c r="H507" s="17"/>
      <c r="I507" s="17"/>
      <c r="J507" s="17"/>
      <c r="K507" s="17"/>
      <c r="L507" s="17"/>
      <c r="M507" s="17"/>
    </row>
    <row r="508" spans="1:13" s="2" customFormat="1" x14ac:dyDescent="0.25">
      <c r="A508" s="6"/>
      <c r="D508" s="17"/>
      <c r="E508" s="18"/>
      <c r="F508" s="17"/>
      <c r="G508" s="17"/>
      <c r="H508" s="17"/>
      <c r="I508" s="17"/>
      <c r="J508" s="17"/>
      <c r="K508" s="17"/>
      <c r="L508" s="17"/>
      <c r="M508" s="17"/>
    </row>
    <row r="509" spans="1:13" s="2" customFormat="1" x14ac:dyDescent="0.25">
      <c r="A509" s="6"/>
      <c r="D509" s="17"/>
      <c r="E509" s="18"/>
      <c r="F509" s="17"/>
      <c r="G509" s="17"/>
      <c r="H509" s="17"/>
      <c r="I509" s="17"/>
      <c r="J509" s="17"/>
      <c r="K509" s="17"/>
      <c r="L509" s="17"/>
      <c r="M509" s="17"/>
    </row>
    <row r="510" spans="1:13" s="2" customFormat="1" x14ac:dyDescent="0.25">
      <c r="A510" s="6"/>
      <c r="D510" s="17"/>
      <c r="E510" s="18"/>
      <c r="F510" s="17"/>
      <c r="G510" s="17"/>
      <c r="H510" s="17"/>
      <c r="I510" s="17"/>
      <c r="J510" s="17"/>
      <c r="K510" s="17"/>
      <c r="L510" s="17"/>
      <c r="M510" s="17"/>
    </row>
    <row r="511" spans="1:13" s="2" customFormat="1" x14ac:dyDescent="0.25">
      <c r="A511" s="6"/>
      <c r="D511" s="17"/>
      <c r="E511" s="18"/>
      <c r="F511" s="17"/>
      <c r="G511" s="17"/>
      <c r="H511" s="17"/>
      <c r="I511" s="17"/>
      <c r="J511" s="17"/>
      <c r="K511" s="17"/>
      <c r="L511" s="17"/>
      <c r="M511" s="17"/>
    </row>
    <row r="512" spans="1:13" s="2" customFormat="1" x14ac:dyDescent="0.25">
      <c r="A512" s="6"/>
      <c r="D512" s="17"/>
      <c r="E512" s="18"/>
      <c r="F512" s="17"/>
      <c r="G512" s="17"/>
      <c r="H512" s="17"/>
      <c r="I512" s="17"/>
      <c r="J512" s="17"/>
      <c r="K512" s="17"/>
      <c r="L512" s="17"/>
      <c r="M512" s="17"/>
    </row>
    <row r="513" spans="1:13" s="2" customFormat="1" x14ac:dyDescent="0.25">
      <c r="A513" s="6"/>
      <c r="D513" s="17"/>
      <c r="E513" s="18"/>
      <c r="F513" s="17"/>
      <c r="G513" s="17"/>
      <c r="H513" s="17"/>
      <c r="I513" s="17"/>
      <c r="J513" s="17"/>
      <c r="K513" s="17"/>
      <c r="L513" s="17"/>
      <c r="M513" s="17"/>
    </row>
    <row r="514" spans="1:13" s="2" customFormat="1" x14ac:dyDescent="0.25">
      <c r="A514" s="6"/>
      <c r="D514" s="17"/>
      <c r="E514" s="18"/>
      <c r="F514" s="17"/>
      <c r="G514" s="17"/>
      <c r="H514" s="17"/>
      <c r="I514" s="17"/>
      <c r="J514" s="17"/>
      <c r="K514" s="17"/>
      <c r="L514" s="17"/>
      <c r="M514" s="17"/>
    </row>
    <row r="515" spans="1:13" s="2" customFormat="1" x14ac:dyDescent="0.25">
      <c r="A515" s="6"/>
      <c r="D515" s="17"/>
      <c r="E515" s="18"/>
      <c r="F515" s="17"/>
      <c r="G515" s="17"/>
      <c r="H515" s="17"/>
      <c r="I515" s="17"/>
      <c r="J515" s="17"/>
      <c r="K515" s="17"/>
      <c r="L515" s="17"/>
      <c r="M515" s="17"/>
    </row>
    <row r="516" spans="1:13" s="2" customFormat="1" x14ac:dyDescent="0.25">
      <c r="A516" s="6"/>
      <c r="D516" s="17"/>
      <c r="E516" s="18"/>
      <c r="F516" s="17"/>
      <c r="G516" s="17"/>
      <c r="H516" s="17"/>
      <c r="I516" s="17"/>
      <c r="J516" s="17"/>
      <c r="K516" s="17"/>
      <c r="L516" s="17"/>
      <c r="M516" s="17"/>
    </row>
    <row r="517" spans="1:13" s="2" customFormat="1" x14ac:dyDescent="0.25">
      <c r="A517" s="6"/>
      <c r="D517" s="17"/>
      <c r="E517" s="18"/>
      <c r="F517" s="17"/>
      <c r="G517" s="17"/>
      <c r="H517" s="17"/>
      <c r="I517" s="17"/>
      <c r="J517" s="17"/>
      <c r="K517" s="17"/>
      <c r="L517" s="17"/>
      <c r="M517" s="17"/>
    </row>
    <row r="518" spans="1:13" s="2" customFormat="1" x14ac:dyDescent="0.25">
      <c r="A518" s="6"/>
      <c r="D518" s="17"/>
      <c r="E518" s="18"/>
      <c r="F518" s="17"/>
      <c r="G518" s="17"/>
      <c r="H518" s="17"/>
      <c r="I518" s="17"/>
      <c r="J518" s="17"/>
      <c r="K518" s="17"/>
      <c r="L518" s="17"/>
      <c r="M518" s="17"/>
    </row>
    <row r="519" spans="1:13" s="2" customFormat="1" x14ac:dyDescent="0.25">
      <c r="A519" s="6"/>
      <c r="D519" s="17"/>
      <c r="E519" s="18"/>
      <c r="F519" s="17"/>
      <c r="G519" s="17"/>
      <c r="H519" s="17"/>
      <c r="I519" s="17"/>
      <c r="J519" s="17"/>
      <c r="K519" s="17"/>
      <c r="L519" s="17"/>
      <c r="M519" s="17"/>
    </row>
    <row r="520" spans="1:13" s="2" customFormat="1" x14ac:dyDescent="0.25">
      <c r="A520" s="6"/>
      <c r="D520" s="17"/>
      <c r="E520" s="18"/>
      <c r="F520" s="17"/>
      <c r="G520" s="17"/>
      <c r="H520" s="17"/>
      <c r="I520" s="17"/>
      <c r="J520" s="17"/>
      <c r="K520" s="17"/>
      <c r="L520" s="17"/>
      <c r="M520" s="17"/>
    </row>
    <row r="521" spans="1:13" s="2" customFormat="1" x14ac:dyDescent="0.25">
      <c r="A521" s="6"/>
      <c r="D521" s="17"/>
      <c r="E521" s="18"/>
      <c r="F521" s="17"/>
      <c r="G521" s="17"/>
      <c r="H521" s="17"/>
      <c r="I521" s="17"/>
      <c r="J521" s="17"/>
      <c r="K521" s="17"/>
      <c r="L521" s="17"/>
      <c r="M521" s="17"/>
    </row>
    <row r="522" spans="1:13" s="2" customFormat="1" x14ac:dyDescent="0.25">
      <c r="A522" s="6"/>
      <c r="D522" s="17"/>
      <c r="E522" s="18"/>
      <c r="F522" s="17"/>
      <c r="G522" s="17"/>
      <c r="H522" s="17"/>
      <c r="I522" s="17"/>
      <c r="J522" s="17"/>
      <c r="K522" s="17"/>
      <c r="L522" s="17"/>
      <c r="M522" s="17"/>
    </row>
    <row r="523" spans="1:13" s="2" customFormat="1" x14ac:dyDescent="0.25">
      <c r="A523" s="6"/>
      <c r="D523" s="17"/>
      <c r="E523" s="18"/>
      <c r="F523" s="17"/>
      <c r="G523" s="17"/>
      <c r="H523" s="17"/>
      <c r="I523" s="17"/>
      <c r="J523" s="17"/>
      <c r="K523" s="17"/>
      <c r="L523" s="17"/>
      <c r="M523" s="17"/>
    </row>
    <row r="524" spans="1:13" s="2" customFormat="1" x14ac:dyDescent="0.25">
      <c r="A524" s="6"/>
      <c r="D524" s="17"/>
      <c r="E524" s="18"/>
      <c r="F524" s="17"/>
      <c r="G524" s="17"/>
      <c r="H524" s="17"/>
      <c r="I524" s="17"/>
      <c r="J524" s="17"/>
      <c r="K524" s="17"/>
      <c r="L524" s="17"/>
      <c r="M524" s="17"/>
    </row>
    <row r="525" spans="1:13" s="2" customFormat="1" x14ac:dyDescent="0.25">
      <c r="A525" s="6"/>
      <c r="D525" s="17"/>
      <c r="E525" s="18"/>
      <c r="F525" s="17"/>
      <c r="G525" s="17"/>
      <c r="H525" s="17"/>
      <c r="I525" s="17"/>
      <c r="J525" s="17"/>
      <c r="K525" s="17"/>
      <c r="L525" s="17"/>
      <c r="M525" s="17"/>
    </row>
    <row r="526" spans="1:13" s="2" customFormat="1" x14ac:dyDescent="0.25">
      <c r="A526" s="6"/>
      <c r="D526" s="17"/>
      <c r="E526" s="18"/>
      <c r="F526" s="17"/>
      <c r="G526" s="17"/>
      <c r="H526" s="17"/>
      <c r="I526" s="17"/>
      <c r="J526" s="17"/>
      <c r="K526" s="17"/>
      <c r="L526" s="17"/>
      <c r="M526" s="17"/>
    </row>
    <row r="527" spans="1:13" s="2" customFormat="1" x14ac:dyDescent="0.25">
      <c r="A527" s="6"/>
      <c r="D527" s="17"/>
      <c r="E527" s="18"/>
      <c r="F527" s="17"/>
      <c r="G527" s="17"/>
      <c r="H527" s="17"/>
      <c r="I527" s="17"/>
      <c r="J527" s="17"/>
      <c r="K527" s="17"/>
      <c r="L527" s="17"/>
      <c r="M527" s="17"/>
    </row>
    <row r="528" spans="1:13" s="2" customFormat="1" x14ac:dyDescent="0.25">
      <c r="A528" s="6"/>
      <c r="D528" s="17"/>
      <c r="E528" s="18"/>
      <c r="F528" s="17"/>
      <c r="G528" s="17"/>
      <c r="H528" s="17"/>
      <c r="I528" s="17"/>
      <c r="J528" s="17"/>
      <c r="K528" s="17"/>
      <c r="L528" s="17"/>
      <c r="M528" s="17"/>
    </row>
    <row r="529" spans="1:13" s="2" customFormat="1" x14ac:dyDescent="0.25">
      <c r="A529" s="6"/>
      <c r="D529" s="17"/>
      <c r="E529" s="18"/>
      <c r="F529" s="17"/>
      <c r="G529" s="17"/>
      <c r="H529" s="17"/>
      <c r="I529" s="17"/>
      <c r="J529" s="17"/>
      <c r="K529" s="17"/>
      <c r="L529" s="17"/>
      <c r="M529" s="17"/>
    </row>
    <row r="530" spans="1:13" s="2" customFormat="1" x14ac:dyDescent="0.25">
      <c r="A530" s="6"/>
      <c r="D530" s="17"/>
      <c r="E530" s="18"/>
      <c r="F530" s="17"/>
      <c r="G530" s="17"/>
      <c r="H530" s="17"/>
      <c r="I530" s="17"/>
      <c r="J530" s="17"/>
      <c r="K530" s="17"/>
      <c r="L530" s="17"/>
      <c r="M530" s="17"/>
    </row>
    <row r="531" spans="1:13" s="2" customFormat="1" x14ac:dyDescent="0.25">
      <c r="A531" s="6"/>
      <c r="D531" s="17"/>
      <c r="E531" s="18"/>
      <c r="F531" s="17"/>
      <c r="G531" s="17"/>
      <c r="H531" s="17"/>
      <c r="I531" s="17"/>
      <c r="J531" s="17"/>
      <c r="K531" s="17"/>
      <c r="L531" s="17"/>
      <c r="M531" s="17"/>
    </row>
    <row r="532" spans="1:13" s="2" customFormat="1" x14ac:dyDescent="0.25">
      <c r="A532" s="6"/>
      <c r="D532" s="17"/>
      <c r="E532" s="18"/>
      <c r="F532" s="17"/>
      <c r="G532" s="17"/>
      <c r="H532" s="17"/>
      <c r="I532" s="17"/>
      <c r="J532" s="17"/>
      <c r="K532" s="17"/>
      <c r="L532" s="17"/>
      <c r="M532" s="17"/>
    </row>
    <row r="533" spans="1:13" s="2" customFormat="1" x14ac:dyDescent="0.25">
      <c r="A533" s="6"/>
      <c r="D533" s="17"/>
      <c r="E533" s="18"/>
      <c r="F533" s="17"/>
      <c r="G533" s="17"/>
      <c r="H533" s="17"/>
      <c r="I533" s="17"/>
      <c r="J533" s="17"/>
      <c r="K533" s="17"/>
      <c r="L533" s="17"/>
      <c r="M533" s="17"/>
    </row>
    <row r="534" spans="1:13" s="2" customFormat="1" x14ac:dyDescent="0.25">
      <c r="A534" s="6"/>
      <c r="D534" s="17"/>
      <c r="E534" s="18"/>
      <c r="F534" s="17"/>
      <c r="G534" s="17"/>
      <c r="H534" s="17"/>
      <c r="I534" s="17"/>
      <c r="J534" s="17"/>
      <c r="K534" s="17"/>
      <c r="L534" s="17"/>
      <c r="M534" s="17"/>
    </row>
    <row r="535" spans="1:13" s="2" customFormat="1" x14ac:dyDescent="0.25">
      <c r="A535" s="6"/>
      <c r="D535" s="17"/>
      <c r="E535" s="18"/>
      <c r="F535" s="17"/>
      <c r="G535" s="17"/>
      <c r="H535" s="17"/>
      <c r="I535" s="17"/>
      <c r="J535" s="17"/>
      <c r="K535" s="17"/>
      <c r="L535" s="17"/>
      <c r="M535" s="17"/>
    </row>
    <row r="536" spans="1:13" s="2" customFormat="1" x14ac:dyDescent="0.25">
      <c r="A536" s="6"/>
      <c r="D536" s="17"/>
      <c r="E536" s="18"/>
      <c r="F536" s="17"/>
      <c r="G536" s="17"/>
      <c r="H536" s="17"/>
      <c r="I536" s="17"/>
      <c r="J536" s="17"/>
      <c r="K536" s="17"/>
      <c r="L536" s="17"/>
      <c r="M536" s="17"/>
    </row>
    <row r="537" spans="1:13" s="2" customFormat="1" x14ac:dyDescent="0.25">
      <c r="A537" s="6"/>
      <c r="D537" s="17"/>
      <c r="E537" s="18"/>
      <c r="F537" s="17"/>
      <c r="G537" s="17"/>
      <c r="H537" s="17"/>
      <c r="I537" s="17"/>
      <c r="J537" s="17"/>
      <c r="K537" s="17"/>
      <c r="L537" s="17"/>
      <c r="M537" s="17"/>
    </row>
    <row r="538" spans="1:13" s="2" customFormat="1" x14ac:dyDescent="0.25">
      <c r="A538" s="6"/>
      <c r="D538" s="17"/>
      <c r="E538" s="18"/>
      <c r="F538" s="17"/>
      <c r="G538" s="17"/>
      <c r="H538" s="17"/>
      <c r="I538" s="17"/>
      <c r="J538" s="17"/>
      <c r="K538" s="17"/>
      <c r="L538" s="17"/>
      <c r="M538" s="17"/>
    </row>
    <row r="539" spans="1:13" s="2" customFormat="1" x14ac:dyDescent="0.25">
      <c r="A539" s="6"/>
      <c r="D539" s="17"/>
      <c r="E539" s="18"/>
      <c r="F539" s="17"/>
      <c r="G539" s="17"/>
      <c r="H539" s="17"/>
      <c r="I539" s="17"/>
      <c r="J539" s="17"/>
      <c r="K539" s="17"/>
      <c r="L539" s="17"/>
      <c r="M539" s="17"/>
    </row>
    <row r="540" spans="1:13" s="2" customFormat="1" x14ac:dyDescent="0.25">
      <c r="A540" s="6"/>
      <c r="D540" s="17"/>
      <c r="E540" s="18"/>
      <c r="F540" s="17"/>
      <c r="G540" s="17"/>
      <c r="H540" s="17"/>
      <c r="I540" s="17"/>
      <c r="J540" s="17"/>
      <c r="K540" s="17"/>
      <c r="L540" s="17"/>
      <c r="M540" s="17"/>
    </row>
    <row r="541" spans="1:13" s="2" customFormat="1" x14ac:dyDescent="0.25">
      <c r="A541" s="6"/>
      <c r="D541" s="17"/>
      <c r="E541" s="18"/>
      <c r="F541" s="17"/>
      <c r="G541" s="17"/>
      <c r="H541" s="17"/>
      <c r="I541" s="17"/>
      <c r="J541" s="17"/>
      <c r="K541" s="17"/>
      <c r="L541" s="17"/>
      <c r="M541" s="17"/>
    </row>
    <row r="542" spans="1:13" s="2" customFormat="1" x14ac:dyDescent="0.25">
      <c r="A542" s="6"/>
      <c r="D542" s="17"/>
      <c r="E542" s="18"/>
      <c r="F542" s="17"/>
      <c r="G542" s="17"/>
      <c r="H542" s="17"/>
      <c r="I542" s="17"/>
      <c r="J542" s="17"/>
      <c r="K542" s="17"/>
      <c r="L542" s="17"/>
      <c r="M542" s="17"/>
    </row>
    <row r="543" spans="1:13" s="2" customFormat="1" x14ac:dyDescent="0.25">
      <c r="A543" s="6"/>
      <c r="D543" s="17"/>
      <c r="E543" s="18"/>
      <c r="F543" s="17"/>
      <c r="G543" s="17"/>
      <c r="H543" s="17"/>
      <c r="I543" s="17"/>
      <c r="J543" s="17"/>
      <c r="K543" s="17"/>
      <c r="L543" s="17"/>
      <c r="M543" s="17"/>
    </row>
    <row r="544" spans="1:13" s="2" customFormat="1" x14ac:dyDescent="0.25">
      <c r="A544" s="6"/>
      <c r="D544" s="17"/>
      <c r="E544" s="18"/>
      <c r="F544" s="17"/>
      <c r="G544" s="17"/>
      <c r="H544" s="17"/>
      <c r="I544" s="17"/>
      <c r="J544" s="17"/>
      <c r="K544" s="17"/>
      <c r="L544" s="17"/>
      <c r="M544" s="17"/>
    </row>
    <row r="545" spans="1:13" s="2" customFormat="1" x14ac:dyDescent="0.25">
      <c r="A545" s="6"/>
      <c r="D545" s="17"/>
      <c r="E545" s="18"/>
      <c r="F545" s="17"/>
      <c r="G545" s="17"/>
      <c r="H545" s="17"/>
      <c r="I545" s="17"/>
      <c r="J545" s="17"/>
      <c r="K545" s="17"/>
      <c r="L545" s="17"/>
      <c r="M545" s="17"/>
    </row>
    <row r="546" spans="1:13" s="2" customFormat="1" x14ac:dyDescent="0.25">
      <c r="A546" s="6"/>
      <c r="D546" s="17"/>
      <c r="E546" s="18"/>
      <c r="F546" s="17"/>
      <c r="G546" s="17"/>
      <c r="H546" s="17"/>
      <c r="I546" s="17"/>
      <c r="J546" s="17"/>
      <c r="K546" s="17"/>
      <c r="L546" s="17"/>
      <c r="M546" s="17"/>
    </row>
    <row r="547" spans="1:13" s="2" customFormat="1" x14ac:dyDescent="0.25">
      <c r="A547" s="6"/>
      <c r="D547" s="17"/>
      <c r="E547" s="18"/>
      <c r="F547" s="17"/>
      <c r="G547" s="17"/>
      <c r="H547" s="17"/>
      <c r="I547" s="17"/>
      <c r="J547" s="17"/>
      <c r="K547" s="17"/>
      <c r="L547" s="17"/>
      <c r="M547" s="17"/>
    </row>
    <row r="548" spans="1:13" s="2" customFormat="1" x14ac:dyDescent="0.25">
      <c r="A548" s="6"/>
      <c r="D548" s="17"/>
      <c r="E548" s="18"/>
      <c r="F548" s="17"/>
      <c r="G548" s="17"/>
      <c r="H548" s="17"/>
      <c r="I548" s="17"/>
      <c r="J548" s="17"/>
      <c r="K548" s="17"/>
      <c r="L548" s="17"/>
      <c r="M548" s="17"/>
    </row>
    <row r="549" spans="1:13" s="2" customFormat="1" x14ac:dyDescent="0.25">
      <c r="A549" s="6"/>
      <c r="D549" s="17"/>
      <c r="E549" s="18"/>
      <c r="F549" s="17"/>
      <c r="G549" s="17"/>
      <c r="H549" s="17"/>
      <c r="I549" s="17"/>
      <c r="J549" s="17"/>
      <c r="K549" s="17"/>
      <c r="L549" s="17"/>
      <c r="M549" s="17"/>
    </row>
    <row r="550" spans="1:13" s="2" customFormat="1" x14ac:dyDescent="0.25">
      <c r="A550" s="6"/>
      <c r="D550" s="17"/>
      <c r="E550" s="18"/>
      <c r="F550" s="17"/>
      <c r="G550" s="17"/>
      <c r="H550" s="17"/>
      <c r="I550" s="17"/>
      <c r="J550" s="17"/>
      <c r="K550" s="17"/>
      <c r="L550" s="17"/>
      <c r="M550" s="17"/>
    </row>
    <row r="551" spans="1:13" s="2" customFormat="1" x14ac:dyDescent="0.25">
      <c r="A551" s="6"/>
      <c r="D551" s="17"/>
      <c r="E551" s="18"/>
      <c r="F551" s="17"/>
      <c r="G551" s="17"/>
      <c r="H551" s="17"/>
      <c r="I551" s="17"/>
      <c r="J551" s="17"/>
      <c r="K551" s="17"/>
      <c r="L551" s="17"/>
      <c r="M551" s="17"/>
    </row>
    <row r="552" spans="1:13" s="2" customFormat="1" x14ac:dyDescent="0.25">
      <c r="A552" s="6"/>
      <c r="D552" s="17"/>
      <c r="E552" s="18"/>
      <c r="F552" s="17"/>
      <c r="G552" s="17"/>
      <c r="H552" s="17"/>
      <c r="I552" s="17"/>
      <c r="J552" s="17"/>
      <c r="K552" s="17"/>
      <c r="L552" s="17"/>
      <c r="M552" s="17"/>
    </row>
    <row r="553" spans="1:13" s="2" customFormat="1" x14ac:dyDescent="0.25">
      <c r="A553" s="6"/>
      <c r="D553" s="17"/>
      <c r="E553" s="18"/>
      <c r="F553" s="17"/>
      <c r="G553" s="17"/>
      <c r="H553" s="17"/>
      <c r="I553" s="17"/>
      <c r="J553" s="17"/>
      <c r="K553" s="17"/>
      <c r="L553" s="17"/>
      <c r="M553" s="17"/>
    </row>
    <row r="554" spans="1:13" s="2" customFormat="1" x14ac:dyDescent="0.25">
      <c r="A554" s="6"/>
      <c r="D554" s="17"/>
      <c r="E554" s="18"/>
      <c r="F554" s="17"/>
      <c r="G554" s="17"/>
      <c r="H554" s="17"/>
      <c r="I554" s="17"/>
      <c r="J554" s="17"/>
      <c r="K554" s="17"/>
      <c r="L554" s="17"/>
      <c r="M554" s="17"/>
    </row>
    <row r="555" spans="1:13" s="2" customFormat="1" x14ac:dyDescent="0.25">
      <c r="A555" s="6"/>
      <c r="D555" s="17"/>
      <c r="E555" s="18"/>
      <c r="F555" s="17"/>
      <c r="G555" s="17"/>
      <c r="H555" s="17"/>
      <c r="I555" s="17"/>
      <c r="J555" s="17"/>
      <c r="K555" s="17"/>
      <c r="L555" s="17"/>
      <c r="M555" s="17"/>
    </row>
    <row r="556" spans="1:13" s="2" customFormat="1" x14ac:dyDescent="0.25">
      <c r="A556" s="6"/>
      <c r="D556" s="17"/>
      <c r="E556" s="18"/>
      <c r="F556" s="17"/>
      <c r="G556" s="17"/>
      <c r="H556" s="17"/>
      <c r="I556" s="17"/>
      <c r="J556" s="17"/>
      <c r="K556" s="17"/>
      <c r="L556" s="17"/>
      <c r="M556" s="17"/>
    </row>
    <row r="557" spans="1:13" s="2" customFormat="1" x14ac:dyDescent="0.25">
      <c r="A557" s="6"/>
      <c r="D557" s="17"/>
      <c r="E557" s="18"/>
      <c r="F557" s="17"/>
      <c r="G557" s="17"/>
      <c r="H557" s="17"/>
      <c r="I557" s="17"/>
      <c r="J557" s="17"/>
      <c r="K557" s="17"/>
      <c r="L557" s="17"/>
      <c r="M557" s="17"/>
    </row>
    <row r="558" spans="1:13" s="2" customFormat="1" x14ac:dyDescent="0.25">
      <c r="A558" s="6"/>
      <c r="D558" s="17"/>
      <c r="E558" s="18"/>
      <c r="F558" s="17"/>
      <c r="G558" s="17"/>
      <c r="H558" s="17"/>
      <c r="I558" s="17"/>
      <c r="J558" s="17"/>
      <c r="K558" s="17"/>
      <c r="L558" s="17"/>
      <c r="M558" s="17"/>
    </row>
    <row r="559" spans="1:13" s="2" customFormat="1" x14ac:dyDescent="0.25">
      <c r="A559" s="6"/>
      <c r="D559" s="17"/>
      <c r="E559" s="18"/>
      <c r="F559" s="17"/>
      <c r="G559" s="17"/>
      <c r="H559" s="17"/>
      <c r="I559" s="17"/>
      <c r="J559" s="17"/>
      <c r="K559" s="17"/>
      <c r="L559" s="17"/>
      <c r="M559" s="17"/>
    </row>
    <row r="560" spans="1:13" s="2" customFormat="1" x14ac:dyDescent="0.25">
      <c r="A560" s="6"/>
      <c r="D560" s="17"/>
      <c r="E560" s="18"/>
      <c r="F560" s="17"/>
      <c r="G560" s="17"/>
      <c r="H560" s="17"/>
      <c r="I560" s="17"/>
      <c r="J560" s="17"/>
      <c r="K560" s="17"/>
      <c r="L560" s="17"/>
      <c r="M560" s="17"/>
    </row>
    <row r="561" spans="1:13" s="2" customFormat="1" x14ac:dyDescent="0.25">
      <c r="A561" s="6"/>
      <c r="D561" s="17"/>
      <c r="E561" s="18"/>
      <c r="F561" s="17"/>
      <c r="G561" s="17"/>
      <c r="H561" s="17"/>
      <c r="I561" s="17"/>
      <c r="J561" s="17"/>
      <c r="K561" s="17"/>
      <c r="L561" s="17"/>
      <c r="M561" s="17"/>
    </row>
    <row r="562" spans="1:13" s="2" customFormat="1" x14ac:dyDescent="0.25">
      <c r="A562" s="6"/>
      <c r="D562" s="17"/>
      <c r="E562" s="18"/>
      <c r="F562" s="17"/>
      <c r="G562" s="17"/>
      <c r="H562" s="17"/>
      <c r="I562" s="17"/>
      <c r="J562" s="17"/>
      <c r="K562" s="17"/>
      <c r="L562" s="17"/>
      <c r="M562" s="17"/>
    </row>
    <row r="563" spans="1:13" s="2" customFormat="1" x14ac:dyDescent="0.25">
      <c r="A563" s="6"/>
      <c r="D563" s="17"/>
      <c r="E563" s="18"/>
      <c r="F563" s="17"/>
      <c r="G563" s="17"/>
      <c r="H563" s="17"/>
      <c r="I563" s="17"/>
      <c r="J563" s="17"/>
      <c r="K563" s="17"/>
      <c r="L563" s="17"/>
      <c r="M563" s="17"/>
    </row>
    <row r="564" spans="1:13" s="2" customFormat="1" x14ac:dyDescent="0.25">
      <c r="A564" s="6"/>
      <c r="D564" s="17"/>
      <c r="E564" s="18"/>
      <c r="F564" s="17"/>
      <c r="G564" s="17"/>
      <c r="H564" s="17"/>
      <c r="I564" s="17"/>
      <c r="J564" s="17"/>
      <c r="K564" s="17"/>
      <c r="L564" s="17"/>
      <c r="M564" s="17"/>
    </row>
    <row r="565" spans="1:13" s="2" customFormat="1" x14ac:dyDescent="0.25">
      <c r="A565" s="6"/>
      <c r="D565" s="17"/>
      <c r="E565" s="18"/>
      <c r="F565" s="17"/>
      <c r="G565" s="17"/>
      <c r="H565" s="17"/>
      <c r="I565" s="17"/>
      <c r="J565" s="17"/>
      <c r="K565" s="17"/>
      <c r="L565" s="17"/>
      <c r="M565" s="17"/>
    </row>
    <row r="566" spans="1:13" s="2" customFormat="1" x14ac:dyDescent="0.25">
      <c r="A566" s="6"/>
      <c r="D566" s="17"/>
      <c r="E566" s="18"/>
      <c r="F566" s="17"/>
      <c r="G566" s="17"/>
      <c r="H566" s="17"/>
      <c r="I566" s="17"/>
      <c r="J566" s="17"/>
      <c r="K566" s="17"/>
      <c r="L566" s="17"/>
      <c r="M566" s="17"/>
    </row>
    <row r="567" spans="1:13" s="2" customFormat="1" x14ac:dyDescent="0.25">
      <c r="A567" s="6"/>
      <c r="D567" s="17"/>
      <c r="E567" s="18"/>
      <c r="F567" s="17"/>
      <c r="G567" s="17"/>
      <c r="H567" s="17"/>
      <c r="I567" s="17"/>
      <c r="J567" s="17"/>
      <c r="K567" s="17"/>
      <c r="L567" s="17"/>
      <c r="M567" s="17"/>
    </row>
    <row r="568" spans="1:13" s="2" customFormat="1" x14ac:dyDescent="0.25">
      <c r="A568" s="6"/>
      <c r="D568" s="17"/>
      <c r="E568" s="18"/>
      <c r="F568" s="17"/>
      <c r="G568" s="17"/>
      <c r="H568" s="17"/>
      <c r="I568" s="17"/>
      <c r="J568" s="17"/>
      <c r="K568" s="17"/>
      <c r="L568" s="17"/>
      <c r="M568" s="17"/>
    </row>
    <row r="569" spans="1:13" s="2" customFormat="1" x14ac:dyDescent="0.25">
      <c r="A569" s="6"/>
      <c r="D569" s="17"/>
      <c r="E569" s="18"/>
      <c r="F569" s="17"/>
      <c r="G569" s="17"/>
      <c r="H569" s="17"/>
      <c r="I569" s="17"/>
      <c r="J569" s="17"/>
      <c r="K569" s="17"/>
      <c r="L569" s="17"/>
      <c r="M569" s="17"/>
    </row>
    <row r="570" spans="1:13" s="2" customFormat="1" x14ac:dyDescent="0.25">
      <c r="A570" s="6"/>
      <c r="D570" s="17"/>
      <c r="E570" s="18"/>
      <c r="F570" s="17"/>
      <c r="G570" s="17"/>
      <c r="H570" s="17"/>
      <c r="I570" s="17"/>
      <c r="J570" s="17"/>
      <c r="K570" s="17"/>
      <c r="L570" s="17"/>
      <c r="M570" s="17"/>
    </row>
    <row r="571" spans="1:13" s="2" customFormat="1" x14ac:dyDescent="0.25">
      <c r="A571" s="6"/>
      <c r="D571" s="17"/>
      <c r="E571" s="18"/>
      <c r="F571" s="17"/>
      <c r="G571" s="17"/>
      <c r="H571" s="17"/>
      <c r="I571" s="17"/>
      <c r="J571" s="17"/>
      <c r="K571" s="17"/>
      <c r="L571" s="17"/>
      <c r="M571" s="17"/>
    </row>
    <row r="572" spans="1:13" s="2" customFormat="1" x14ac:dyDescent="0.25">
      <c r="A572" s="6"/>
      <c r="D572" s="17"/>
      <c r="E572" s="18"/>
      <c r="F572" s="17"/>
      <c r="G572" s="17"/>
      <c r="H572" s="17"/>
      <c r="I572" s="17"/>
      <c r="J572" s="17"/>
      <c r="K572" s="17"/>
      <c r="L572" s="17"/>
      <c r="M572" s="17"/>
    </row>
    <row r="573" spans="1:13" s="2" customFormat="1" x14ac:dyDescent="0.25">
      <c r="A573" s="6"/>
      <c r="D573" s="17"/>
      <c r="E573" s="18"/>
      <c r="F573" s="17"/>
      <c r="G573" s="17"/>
      <c r="H573" s="17"/>
      <c r="I573" s="17"/>
      <c r="J573" s="17"/>
      <c r="K573" s="17"/>
      <c r="L573" s="17"/>
      <c r="M573" s="17"/>
    </row>
    <row r="574" spans="1:13" s="2" customFormat="1" x14ac:dyDescent="0.25">
      <c r="A574" s="6"/>
      <c r="D574" s="17"/>
      <c r="E574" s="18"/>
      <c r="F574" s="17"/>
      <c r="G574" s="17"/>
      <c r="H574" s="17"/>
      <c r="I574" s="17"/>
      <c r="J574" s="17"/>
      <c r="K574" s="17"/>
      <c r="L574" s="17"/>
      <c r="M574" s="17"/>
    </row>
    <row r="575" spans="1:13" s="2" customFormat="1" x14ac:dyDescent="0.25">
      <c r="A575" s="6"/>
      <c r="D575" s="17"/>
      <c r="E575" s="18"/>
      <c r="F575" s="17"/>
      <c r="G575" s="17"/>
      <c r="H575" s="17"/>
      <c r="I575" s="17"/>
      <c r="J575" s="17"/>
      <c r="K575" s="17"/>
      <c r="L575" s="17"/>
      <c r="M575" s="17"/>
    </row>
    <row r="576" spans="1:13" s="2" customFormat="1" x14ac:dyDescent="0.25">
      <c r="A576" s="6"/>
      <c r="D576" s="17"/>
      <c r="E576" s="18"/>
      <c r="F576" s="17"/>
      <c r="G576" s="17"/>
      <c r="H576" s="17"/>
      <c r="I576" s="17"/>
      <c r="J576" s="17"/>
      <c r="K576" s="17"/>
      <c r="L576" s="17"/>
      <c r="M576" s="17"/>
    </row>
    <row r="577" spans="1:13" s="2" customFormat="1" x14ac:dyDescent="0.25">
      <c r="A577" s="6"/>
      <c r="D577" s="17"/>
      <c r="E577" s="18"/>
      <c r="F577" s="17"/>
      <c r="G577" s="17"/>
      <c r="H577" s="17"/>
      <c r="I577" s="17"/>
      <c r="J577" s="17"/>
      <c r="K577" s="17"/>
      <c r="L577" s="17"/>
      <c r="M577" s="17"/>
    </row>
    <row r="578" spans="1:13" s="2" customFormat="1" x14ac:dyDescent="0.25">
      <c r="A578" s="6"/>
      <c r="D578" s="17"/>
      <c r="E578" s="18"/>
      <c r="F578" s="17"/>
      <c r="G578" s="17"/>
      <c r="H578" s="17"/>
      <c r="I578" s="17"/>
      <c r="J578" s="17"/>
      <c r="K578" s="17"/>
      <c r="L578" s="17"/>
      <c r="M578" s="17"/>
    </row>
    <row r="579" spans="1:13" s="2" customFormat="1" x14ac:dyDescent="0.25">
      <c r="A579" s="6"/>
      <c r="D579" s="17"/>
      <c r="E579" s="18"/>
      <c r="F579" s="17"/>
      <c r="G579" s="17"/>
      <c r="H579" s="17"/>
      <c r="I579" s="17"/>
      <c r="J579" s="17"/>
      <c r="K579" s="17"/>
      <c r="L579" s="17"/>
      <c r="M579" s="17"/>
    </row>
    <row r="580" spans="1:13" s="2" customFormat="1" x14ac:dyDescent="0.25">
      <c r="A580" s="6"/>
      <c r="D580" s="17"/>
      <c r="E580" s="18"/>
      <c r="F580" s="17"/>
      <c r="G580" s="17"/>
      <c r="H580" s="17"/>
      <c r="I580" s="17"/>
      <c r="J580" s="17"/>
      <c r="K580" s="17"/>
      <c r="L580" s="17"/>
      <c r="M580" s="17"/>
    </row>
    <row r="581" spans="1:13" s="2" customFormat="1" x14ac:dyDescent="0.25">
      <c r="A581" s="6"/>
      <c r="D581" s="17"/>
      <c r="E581" s="18"/>
      <c r="F581" s="17"/>
      <c r="G581" s="17"/>
      <c r="H581" s="17"/>
      <c r="I581" s="17"/>
      <c r="J581" s="17"/>
      <c r="K581" s="17"/>
      <c r="L581" s="17"/>
      <c r="M581" s="17"/>
    </row>
    <row r="582" spans="1:13" s="2" customFormat="1" x14ac:dyDescent="0.25">
      <c r="A582" s="6"/>
      <c r="D582" s="17"/>
      <c r="E582" s="18"/>
      <c r="F582" s="17"/>
      <c r="G582" s="17"/>
      <c r="H582" s="17"/>
      <c r="I582" s="17"/>
      <c r="J582" s="17"/>
      <c r="K582" s="17"/>
      <c r="L582" s="17"/>
      <c r="M582" s="17"/>
    </row>
    <row r="583" spans="1:13" s="2" customFormat="1" x14ac:dyDescent="0.25">
      <c r="A583" s="6"/>
      <c r="D583" s="17"/>
      <c r="E583" s="18"/>
      <c r="F583" s="17"/>
      <c r="G583" s="17"/>
      <c r="H583" s="17"/>
      <c r="I583" s="17"/>
      <c r="J583" s="17"/>
      <c r="K583" s="17"/>
      <c r="L583" s="17"/>
      <c r="M583" s="17"/>
    </row>
    <row r="584" spans="1:13" s="2" customFormat="1" x14ac:dyDescent="0.25">
      <c r="A584" s="6"/>
      <c r="D584" s="17"/>
      <c r="E584" s="18"/>
      <c r="F584" s="17"/>
      <c r="G584" s="17"/>
      <c r="H584" s="17"/>
      <c r="I584" s="17"/>
      <c r="J584" s="17"/>
      <c r="K584" s="17"/>
      <c r="L584" s="17"/>
      <c r="M584" s="17"/>
    </row>
    <row r="585" spans="1:13" s="2" customFormat="1" x14ac:dyDescent="0.25">
      <c r="A585" s="6"/>
      <c r="D585" s="17"/>
      <c r="E585" s="18"/>
      <c r="F585" s="17"/>
      <c r="G585" s="17"/>
      <c r="H585" s="17"/>
      <c r="I585" s="17"/>
      <c r="J585" s="17"/>
      <c r="K585" s="17"/>
      <c r="L585" s="17"/>
      <c r="M585" s="17"/>
    </row>
    <row r="586" spans="1:13" s="2" customFormat="1" x14ac:dyDescent="0.25">
      <c r="A586" s="6"/>
      <c r="D586" s="17"/>
      <c r="E586" s="18"/>
      <c r="F586" s="17"/>
      <c r="G586" s="17"/>
      <c r="H586" s="17"/>
      <c r="I586" s="17"/>
      <c r="J586" s="17"/>
      <c r="K586" s="17"/>
      <c r="L586" s="17"/>
      <c r="M586" s="17"/>
    </row>
    <row r="587" spans="1:13" s="2" customFormat="1" x14ac:dyDescent="0.25">
      <c r="A587" s="6"/>
      <c r="D587" s="17"/>
      <c r="E587" s="18"/>
      <c r="F587" s="17"/>
      <c r="G587" s="17"/>
      <c r="H587" s="17"/>
      <c r="I587" s="17"/>
      <c r="J587" s="17"/>
      <c r="K587" s="17"/>
      <c r="L587" s="17"/>
      <c r="M587" s="17"/>
    </row>
    <row r="588" spans="1:13" s="2" customFormat="1" x14ac:dyDescent="0.25">
      <c r="A588" s="6"/>
      <c r="D588" s="17"/>
      <c r="E588" s="18"/>
      <c r="F588" s="17"/>
      <c r="G588" s="17"/>
      <c r="H588" s="17"/>
      <c r="I588" s="17"/>
      <c r="J588" s="17"/>
      <c r="K588" s="17"/>
      <c r="L588" s="17"/>
      <c r="M588" s="17"/>
    </row>
    <row r="589" spans="1:13" s="2" customFormat="1" x14ac:dyDescent="0.25">
      <c r="A589" s="6"/>
      <c r="D589" s="17"/>
      <c r="E589" s="18"/>
      <c r="F589" s="17"/>
      <c r="G589" s="17"/>
      <c r="H589" s="17"/>
      <c r="I589" s="17"/>
      <c r="J589" s="17"/>
      <c r="K589" s="17"/>
      <c r="L589" s="17"/>
      <c r="M589" s="17"/>
    </row>
    <row r="590" spans="1:13" s="2" customFormat="1" x14ac:dyDescent="0.25">
      <c r="A590" s="6"/>
      <c r="D590" s="17"/>
      <c r="E590" s="18"/>
      <c r="F590" s="17"/>
      <c r="G590" s="17"/>
      <c r="H590" s="17"/>
      <c r="I590" s="17"/>
      <c r="J590" s="17"/>
      <c r="K590" s="17"/>
      <c r="L590" s="17"/>
      <c r="M590" s="17"/>
    </row>
    <row r="591" spans="1:13" s="2" customFormat="1" x14ac:dyDescent="0.25">
      <c r="A591" s="6"/>
      <c r="D591" s="17"/>
      <c r="E591" s="18"/>
      <c r="F591" s="17"/>
      <c r="G591" s="17"/>
      <c r="H591" s="17"/>
      <c r="I591" s="17"/>
      <c r="J591" s="17"/>
      <c r="K591" s="17"/>
      <c r="L591" s="17"/>
      <c r="M591" s="17"/>
    </row>
    <row r="592" spans="1:13" s="2" customFormat="1" x14ac:dyDescent="0.25">
      <c r="A592" s="6"/>
      <c r="D592" s="17"/>
      <c r="E592" s="18"/>
      <c r="F592" s="17"/>
      <c r="G592" s="17"/>
      <c r="H592" s="17"/>
      <c r="I592" s="17"/>
      <c r="J592" s="17"/>
      <c r="K592" s="17"/>
      <c r="L592" s="17"/>
      <c r="M592" s="17"/>
    </row>
    <row r="593" spans="1:13" s="2" customFormat="1" x14ac:dyDescent="0.25">
      <c r="A593" s="6"/>
      <c r="D593" s="17"/>
      <c r="E593" s="18"/>
      <c r="F593" s="17"/>
      <c r="G593" s="17"/>
      <c r="H593" s="17"/>
      <c r="I593" s="17"/>
      <c r="J593" s="17"/>
      <c r="K593" s="17"/>
      <c r="L593" s="17"/>
      <c r="M593" s="17"/>
    </row>
    <row r="594" spans="1:13" s="2" customFormat="1" x14ac:dyDescent="0.25">
      <c r="A594" s="6"/>
      <c r="D594" s="17"/>
      <c r="E594" s="18"/>
      <c r="F594" s="17"/>
      <c r="G594" s="17"/>
      <c r="H594" s="17"/>
      <c r="I594" s="17"/>
      <c r="J594" s="17"/>
      <c r="K594" s="17"/>
      <c r="L594" s="17"/>
      <c r="M594" s="17"/>
    </row>
    <row r="595" spans="1:13" s="2" customFormat="1" x14ac:dyDescent="0.25">
      <c r="A595" s="6"/>
      <c r="D595" s="17"/>
      <c r="E595" s="18"/>
      <c r="F595" s="17"/>
      <c r="G595" s="17"/>
      <c r="H595" s="17"/>
      <c r="I595" s="17"/>
      <c r="J595" s="17"/>
      <c r="K595" s="17"/>
      <c r="L595" s="17"/>
      <c r="M595" s="17"/>
    </row>
    <row r="596" spans="1:13" s="2" customFormat="1" x14ac:dyDescent="0.25">
      <c r="A596" s="6"/>
      <c r="D596" s="17"/>
      <c r="E596" s="18"/>
      <c r="F596" s="17"/>
      <c r="G596" s="17"/>
      <c r="H596" s="17"/>
      <c r="I596" s="17"/>
      <c r="J596" s="17"/>
      <c r="K596" s="17"/>
      <c r="L596" s="17"/>
      <c r="M596" s="17"/>
    </row>
    <row r="597" spans="1:13" s="2" customFormat="1" x14ac:dyDescent="0.25">
      <c r="A597" s="6"/>
      <c r="D597" s="17"/>
      <c r="E597" s="18"/>
      <c r="F597" s="17"/>
      <c r="G597" s="17"/>
      <c r="H597" s="17"/>
      <c r="I597" s="17"/>
      <c r="J597" s="17"/>
      <c r="K597" s="17"/>
      <c r="L597" s="17"/>
      <c r="M597" s="17"/>
    </row>
    <row r="598" spans="1:13" s="2" customFormat="1" x14ac:dyDescent="0.25">
      <c r="A598" s="6"/>
      <c r="D598" s="17"/>
      <c r="E598" s="18"/>
      <c r="F598" s="17"/>
      <c r="G598" s="17"/>
      <c r="H598" s="17"/>
      <c r="I598" s="17"/>
      <c r="J598" s="17"/>
      <c r="K598" s="17"/>
      <c r="L598" s="17"/>
      <c r="M598" s="17"/>
    </row>
    <row r="599" spans="1:13" s="2" customFormat="1" x14ac:dyDescent="0.25">
      <c r="A599" s="6"/>
      <c r="D599" s="17"/>
      <c r="E599" s="18"/>
      <c r="F599" s="17"/>
      <c r="G599" s="17"/>
      <c r="H599" s="17"/>
      <c r="I599" s="17"/>
      <c r="J599" s="17"/>
      <c r="K599" s="17"/>
      <c r="L599" s="17"/>
      <c r="M599" s="17"/>
    </row>
    <row r="600" spans="1:13" s="2" customFormat="1" x14ac:dyDescent="0.25">
      <c r="A600" s="6"/>
      <c r="D600" s="17"/>
      <c r="E600" s="18"/>
      <c r="F600" s="17"/>
      <c r="G600" s="17"/>
      <c r="H600" s="17"/>
      <c r="I600" s="17"/>
      <c r="J600" s="17"/>
      <c r="K600" s="17"/>
      <c r="L600" s="17"/>
      <c r="M600" s="17"/>
    </row>
    <row r="601" spans="1:13" s="2" customFormat="1" x14ac:dyDescent="0.25">
      <c r="A601" s="6"/>
      <c r="D601" s="17"/>
      <c r="E601" s="18"/>
      <c r="F601" s="17"/>
      <c r="G601" s="17"/>
      <c r="H601" s="17"/>
      <c r="I601" s="17"/>
      <c r="J601" s="17"/>
      <c r="K601" s="17"/>
      <c r="L601" s="17"/>
      <c r="M601" s="17"/>
    </row>
    <row r="602" spans="1:13" s="2" customFormat="1" x14ac:dyDescent="0.25">
      <c r="A602" s="6"/>
      <c r="D602" s="17"/>
      <c r="E602" s="18"/>
      <c r="F602" s="17"/>
      <c r="G602" s="17"/>
      <c r="H602" s="17"/>
      <c r="I602" s="17"/>
      <c r="J602" s="17"/>
      <c r="K602" s="17"/>
      <c r="L602" s="17"/>
      <c r="M602" s="17"/>
    </row>
    <row r="603" spans="1:13" s="2" customFormat="1" x14ac:dyDescent="0.25">
      <c r="A603" s="6"/>
      <c r="D603" s="17"/>
      <c r="E603" s="18"/>
      <c r="F603" s="17"/>
      <c r="G603" s="17"/>
      <c r="H603" s="17"/>
      <c r="I603" s="17"/>
      <c r="J603" s="17"/>
      <c r="K603" s="17"/>
      <c r="L603" s="17"/>
      <c r="M603" s="17"/>
    </row>
    <row r="604" spans="1:13" s="2" customFormat="1" x14ac:dyDescent="0.25">
      <c r="A604" s="6"/>
      <c r="D604" s="17"/>
      <c r="E604" s="18"/>
      <c r="F604" s="17"/>
      <c r="G604" s="17"/>
      <c r="H604" s="17"/>
      <c r="I604" s="17"/>
      <c r="J604" s="17"/>
      <c r="K604" s="17"/>
      <c r="L604" s="17"/>
      <c r="M604" s="17"/>
    </row>
    <row r="605" spans="1:13" s="2" customFormat="1" x14ac:dyDescent="0.25">
      <c r="A605" s="6"/>
      <c r="D605" s="17"/>
      <c r="E605" s="18"/>
      <c r="F605" s="17"/>
      <c r="G605" s="17"/>
      <c r="H605" s="17"/>
      <c r="I605" s="17"/>
      <c r="J605" s="17"/>
      <c r="K605" s="17"/>
      <c r="L605" s="17"/>
      <c r="M605" s="17"/>
    </row>
    <row r="606" spans="1:13" s="2" customFormat="1" x14ac:dyDescent="0.25">
      <c r="A606" s="6"/>
      <c r="D606" s="17"/>
      <c r="E606" s="18"/>
      <c r="F606" s="17"/>
      <c r="G606" s="17"/>
      <c r="H606" s="17"/>
      <c r="I606" s="17"/>
      <c r="J606" s="17"/>
      <c r="K606" s="17"/>
      <c r="L606" s="17"/>
      <c r="M606" s="17"/>
    </row>
    <row r="607" spans="1:13" s="2" customFormat="1" x14ac:dyDescent="0.25">
      <c r="A607" s="6"/>
      <c r="D607" s="17"/>
      <c r="E607" s="18"/>
      <c r="F607" s="17"/>
      <c r="G607" s="17"/>
      <c r="H607" s="17"/>
      <c r="I607" s="17"/>
      <c r="J607" s="17"/>
      <c r="K607" s="17"/>
      <c r="L607" s="17"/>
      <c r="M607" s="17"/>
    </row>
    <row r="608" spans="1:13" s="2" customFormat="1" x14ac:dyDescent="0.25">
      <c r="A608" s="6"/>
      <c r="D608" s="17"/>
      <c r="E608" s="18"/>
      <c r="F608" s="17"/>
      <c r="G608" s="17"/>
      <c r="H608" s="17"/>
      <c r="I608" s="17"/>
      <c r="J608" s="17"/>
      <c r="K608" s="17"/>
      <c r="L608" s="17"/>
      <c r="M608" s="17"/>
    </row>
    <row r="609" spans="1:13" s="2" customFormat="1" x14ac:dyDescent="0.25">
      <c r="A609" s="6"/>
      <c r="D609" s="17"/>
      <c r="E609" s="18"/>
      <c r="F609" s="17"/>
      <c r="G609" s="17"/>
      <c r="H609" s="17"/>
      <c r="I609" s="17"/>
      <c r="J609" s="17"/>
      <c r="K609" s="17"/>
      <c r="L609" s="17"/>
      <c r="M609" s="17"/>
    </row>
    <row r="610" spans="1:13" s="2" customFormat="1" x14ac:dyDescent="0.25">
      <c r="A610" s="6"/>
      <c r="D610" s="17"/>
      <c r="E610" s="18"/>
      <c r="F610" s="17"/>
      <c r="G610" s="17"/>
      <c r="H610" s="17"/>
      <c r="I610" s="17"/>
      <c r="J610" s="17"/>
      <c r="K610" s="17"/>
      <c r="L610" s="17"/>
      <c r="M610" s="17"/>
    </row>
    <row r="611" spans="1:13" s="2" customFormat="1" x14ac:dyDescent="0.25">
      <c r="A611" s="6"/>
      <c r="D611" s="17"/>
      <c r="E611" s="18"/>
      <c r="F611" s="17"/>
      <c r="G611" s="17"/>
      <c r="H611" s="17"/>
      <c r="I611" s="17"/>
      <c r="J611" s="17"/>
      <c r="K611" s="17"/>
      <c r="L611" s="17"/>
      <c r="M611" s="17"/>
    </row>
    <row r="612" spans="1:13" s="2" customFormat="1" x14ac:dyDescent="0.25">
      <c r="A612" s="6"/>
      <c r="D612" s="17"/>
      <c r="E612" s="18"/>
      <c r="F612" s="17"/>
      <c r="G612" s="17"/>
      <c r="H612" s="17"/>
      <c r="I612" s="17"/>
      <c r="J612" s="17"/>
      <c r="K612" s="17"/>
      <c r="L612" s="17"/>
      <c r="M612" s="17"/>
    </row>
    <row r="613" spans="1:13" s="2" customFormat="1" x14ac:dyDescent="0.25">
      <c r="A613" s="6"/>
      <c r="D613" s="17"/>
      <c r="E613" s="18"/>
      <c r="F613" s="17"/>
      <c r="G613" s="17"/>
      <c r="H613" s="17"/>
      <c r="I613" s="17"/>
      <c r="J613" s="17"/>
      <c r="K613" s="17"/>
      <c r="L613" s="17"/>
      <c r="M613" s="17"/>
    </row>
    <row r="614" spans="1:13" s="2" customFormat="1" x14ac:dyDescent="0.25">
      <c r="A614" s="6"/>
      <c r="D614" s="17"/>
      <c r="E614" s="18"/>
      <c r="F614" s="17"/>
      <c r="G614" s="17"/>
      <c r="H614" s="17"/>
      <c r="I614" s="17"/>
      <c r="J614" s="17"/>
      <c r="K614" s="17"/>
      <c r="L614" s="17"/>
      <c r="M614" s="17"/>
    </row>
    <row r="615" spans="1:13" s="2" customFormat="1" x14ac:dyDescent="0.25">
      <c r="A615" s="6"/>
      <c r="D615" s="17"/>
      <c r="E615" s="18"/>
      <c r="F615" s="17"/>
      <c r="G615" s="17"/>
      <c r="H615" s="17"/>
      <c r="I615" s="17"/>
      <c r="J615" s="17"/>
      <c r="K615" s="17"/>
      <c r="L615" s="17"/>
      <c r="M615" s="17"/>
    </row>
    <row r="616" spans="1:13" s="2" customFormat="1" x14ac:dyDescent="0.25">
      <c r="A616" s="6"/>
      <c r="D616" s="17"/>
      <c r="E616" s="18"/>
      <c r="F616" s="17"/>
      <c r="G616" s="17"/>
      <c r="H616" s="17"/>
      <c r="I616" s="17"/>
      <c r="J616" s="17"/>
      <c r="K616" s="17"/>
      <c r="L616" s="17"/>
      <c r="M616" s="17"/>
    </row>
    <row r="617" spans="1:13" s="2" customFormat="1" x14ac:dyDescent="0.25">
      <c r="A617" s="6"/>
      <c r="D617" s="17"/>
      <c r="E617" s="18"/>
      <c r="F617" s="17"/>
      <c r="G617" s="17"/>
      <c r="H617" s="17"/>
      <c r="I617" s="17"/>
      <c r="J617" s="17"/>
      <c r="K617" s="17"/>
      <c r="L617" s="17"/>
      <c r="M617" s="17"/>
    </row>
    <row r="618" spans="1:13" s="2" customFormat="1" x14ac:dyDescent="0.25">
      <c r="A618" s="6"/>
      <c r="D618" s="17"/>
      <c r="E618" s="18"/>
      <c r="F618" s="17"/>
      <c r="G618" s="17"/>
      <c r="H618" s="17"/>
      <c r="I618" s="17"/>
      <c r="J618" s="17"/>
      <c r="K618" s="17"/>
      <c r="L618" s="17"/>
      <c r="M618" s="17"/>
    </row>
    <row r="619" spans="1:13" s="2" customFormat="1" x14ac:dyDescent="0.25">
      <c r="A619" s="6"/>
      <c r="D619" s="17"/>
      <c r="E619" s="18"/>
      <c r="F619" s="17"/>
      <c r="G619" s="17"/>
      <c r="H619" s="17"/>
      <c r="I619" s="17"/>
      <c r="J619" s="17"/>
      <c r="K619" s="17"/>
      <c r="L619" s="17"/>
      <c r="M619" s="17"/>
    </row>
    <row r="620" spans="1:13" s="2" customFormat="1" x14ac:dyDescent="0.25">
      <c r="A620" s="6"/>
      <c r="D620" s="17"/>
      <c r="E620" s="18"/>
      <c r="F620" s="17"/>
      <c r="G620" s="17"/>
      <c r="H620" s="17"/>
      <c r="I620" s="17"/>
      <c r="J620" s="17"/>
      <c r="K620" s="17"/>
      <c r="L620" s="17"/>
      <c r="M620" s="17"/>
    </row>
    <row r="621" spans="1:13" s="2" customFormat="1" x14ac:dyDescent="0.25">
      <c r="A621" s="6"/>
      <c r="D621" s="17"/>
      <c r="E621" s="18"/>
      <c r="F621" s="17"/>
      <c r="G621" s="17"/>
      <c r="H621" s="17"/>
      <c r="I621" s="17"/>
      <c r="J621" s="17"/>
      <c r="K621" s="17"/>
      <c r="L621" s="17"/>
      <c r="M621" s="17"/>
    </row>
    <row r="622" spans="1:13" s="2" customFormat="1" x14ac:dyDescent="0.25">
      <c r="A622" s="6"/>
      <c r="D622" s="17"/>
      <c r="E622" s="18"/>
      <c r="F622" s="17"/>
      <c r="G622" s="17"/>
      <c r="H622" s="17"/>
      <c r="I622" s="17"/>
      <c r="J622" s="17"/>
      <c r="K622" s="17"/>
      <c r="L622" s="17"/>
      <c r="M622" s="17"/>
    </row>
    <row r="623" spans="1:13" s="2" customFormat="1" x14ac:dyDescent="0.25">
      <c r="A623" s="6"/>
      <c r="D623" s="17"/>
      <c r="E623" s="18"/>
      <c r="F623" s="17"/>
      <c r="G623" s="17"/>
      <c r="H623" s="17"/>
      <c r="I623" s="17"/>
      <c r="J623" s="17"/>
      <c r="K623" s="17"/>
      <c r="L623" s="17"/>
      <c r="M623" s="17"/>
    </row>
    <row r="624" spans="1:13" s="2" customFormat="1" x14ac:dyDescent="0.25">
      <c r="A624" s="6"/>
      <c r="D624" s="17"/>
      <c r="E624" s="18"/>
      <c r="F624" s="17"/>
      <c r="G624" s="17"/>
      <c r="H624" s="17"/>
      <c r="I624" s="17"/>
      <c r="J624" s="17"/>
      <c r="K624" s="17"/>
      <c r="L624" s="17"/>
      <c r="M624" s="17"/>
    </row>
    <row r="625" spans="1:13" s="2" customFormat="1" x14ac:dyDescent="0.25">
      <c r="A625" s="6"/>
      <c r="D625" s="17"/>
      <c r="E625" s="18"/>
      <c r="F625" s="17"/>
      <c r="G625" s="17"/>
      <c r="H625" s="17"/>
      <c r="I625" s="17"/>
      <c r="J625" s="17"/>
      <c r="K625" s="17"/>
      <c r="L625" s="17"/>
      <c r="M625" s="17"/>
    </row>
    <row r="626" spans="1:13" s="2" customFormat="1" x14ac:dyDescent="0.25">
      <c r="A626" s="6"/>
      <c r="D626" s="17"/>
      <c r="E626" s="18"/>
      <c r="F626" s="17"/>
      <c r="G626" s="17"/>
      <c r="H626" s="17"/>
      <c r="I626" s="17"/>
      <c r="J626" s="17"/>
      <c r="K626" s="17"/>
      <c r="L626" s="17"/>
      <c r="M626" s="17"/>
    </row>
    <row r="627" spans="1:13" s="2" customFormat="1" x14ac:dyDescent="0.25">
      <c r="A627" s="6"/>
      <c r="D627" s="17"/>
      <c r="E627" s="18"/>
      <c r="F627" s="17"/>
      <c r="G627" s="17"/>
      <c r="H627" s="17"/>
      <c r="I627" s="17"/>
      <c r="J627" s="17"/>
      <c r="K627" s="17"/>
      <c r="L627" s="17"/>
      <c r="M627" s="17"/>
    </row>
    <row r="628" spans="1:13" s="2" customFormat="1" x14ac:dyDescent="0.25">
      <c r="A628" s="6"/>
      <c r="D628" s="17"/>
      <c r="E628" s="18"/>
      <c r="F628" s="17"/>
      <c r="G628" s="17"/>
      <c r="H628" s="17"/>
      <c r="I628" s="17"/>
      <c r="J628" s="17"/>
      <c r="K628" s="17"/>
      <c r="L628" s="17"/>
      <c r="M628" s="17"/>
    </row>
    <row r="629" spans="1:13" s="2" customFormat="1" x14ac:dyDescent="0.25">
      <c r="A629" s="6"/>
      <c r="D629" s="17"/>
      <c r="E629" s="18"/>
      <c r="F629" s="17"/>
      <c r="G629" s="17"/>
      <c r="H629" s="17"/>
      <c r="I629" s="17"/>
      <c r="J629" s="17"/>
      <c r="K629" s="17"/>
      <c r="L629" s="17"/>
      <c r="M629" s="17"/>
    </row>
    <row r="630" spans="1:13" s="2" customFormat="1" x14ac:dyDescent="0.25">
      <c r="A630" s="6"/>
      <c r="D630" s="17"/>
      <c r="E630" s="18"/>
      <c r="F630" s="17"/>
      <c r="G630" s="17"/>
      <c r="H630" s="17"/>
      <c r="I630" s="17"/>
      <c r="J630" s="17"/>
      <c r="K630" s="17"/>
      <c r="L630" s="17"/>
      <c r="M630" s="17"/>
    </row>
    <row r="631" spans="1:13" s="2" customFormat="1" x14ac:dyDescent="0.25">
      <c r="A631" s="6"/>
      <c r="D631" s="17"/>
      <c r="E631" s="18"/>
      <c r="F631" s="17"/>
      <c r="G631" s="17"/>
      <c r="H631" s="17"/>
      <c r="I631" s="17"/>
      <c r="J631" s="17"/>
      <c r="K631" s="17"/>
      <c r="L631" s="17"/>
      <c r="M631" s="17"/>
    </row>
    <row r="632" spans="1:13" s="2" customFormat="1" x14ac:dyDescent="0.25">
      <c r="A632" s="6"/>
      <c r="D632" s="17"/>
      <c r="E632" s="18"/>
      <c r="F632" s="17"/>
      <c r="G632" s="17"/>
      <c r="H632" s="17"/>
      <c r="I632" s="17"/>
      <c r="J632" s="17"/>
      <c r="K632" s="17"/>
      <c r="L632" s="17"/>
      <c r="M632" s="17"/>
    </row>
    <row r="633" spans="1:13" s="2" customFormat="1" x14ac:dyDescent="0.25">
      <c r="A633" s="6"/>
      <c r="D633" s="17"/>
      <c r="E633" s="18"/>
      <c r="F633" s="17"/>
      <c r="G633" s="17"/>
      <c r="H633" s="17"/>
      <c r="I633" s="17"/>
      <c r="J633" s="17"/>
      <c r="K633" s="17"/>
      <c r="L633" s="17"/>
      <c r="M633" s="17"/>
    </row>
    <row r="634" spans="1:13" s="2" customFormat="1" x14ac:dyDescent="0.25">
      <c r="A634" s="6"/>
      <c r="D634" s="17"/>
      <c r="E634" s="18"/>
      <c r="F634" s="17"/>
      <c r="G634" s="17"/>
      <c r="H634" s="17"/>
      <c r="I634" s="17"/>
      <c r="J634" s="17"/>
      <c r="K634" s="17"/>
      <c r="L634" s="17"/>
      <c r="M634" s="17"/>
    </row>
    <row r="635" spans="1:13" s="2" customFormat="1" x14ac:dyDescent="0.25">
      <c r="A635" s="6"/>
      <c r="D635" s="17"/>
      <c r="E635" s="18"/>
      <c r="F635" s="17"/>
      <c r="G635" s="17"/>
      <c r="H635" s="17"/>
      <c r="I635" s="17"/>
      <c r="J635" s="17"/>
      <c r="K635" s="17"/>
      <c r="L635" s="17"/>
      <c r="M635" s="17"/>
    </row>
    <row r="636" spans="1:13" s="2" customFormat="1" x14ac:dyDescent="0.25">
      <c r="A636" s="6"/>
      <c r="D636" s="17"/>
      <c r="E636" s="18"/>
      <c r="F636" s="17"/>
      <c r="G636" s="17"/>
      <c r="H636" s="17"/>
      <c r="I636" s="17"/>
      <c r="J636" s="17"/>
      <c r="K636" s="17"/>
      <c r="L636" s="17"/>
      <c r="M636" s="17"/>
    </row>
    <row r="637" spans="1:13" s="2" customFormat="1" x14ac:dyDescent="0.25">
      <c r="A637" s="6"/>
      <c r="D637" s="17"/>
      <c r="E637" s="18"/>
      <c r="F637" s="17"/>
      <c r="G637" s="17"/>
      <c r="H637" s="17"/>
      <c r="I637" s="17"/>
      <c r="J637" s="17"/>
      <c r="K637" s="17"/>
      <c r="L637" s="17"/>
      <c r="M637" s="17"/>
    </row>
    <row r="638" spans="1:13" s="2" customFormat="1" x14ac:dyDescent="0.25">
      <c r="A638" s="6"/>
      <c r="D638" s="17"/>
      <c r="E638" s="18"/>
      <c r="F638" s="17"/>
      <c r="G638" s="17"/>
      <c r="H638" s="17"/>
      <c r="I638" s="17"/>
      <c r="J638" s="17"/>
      <c r="K638" s="17"/>
      <c r="L638" s="17"/>
      <c r="M638" s="17"/>
    </row>
    <row r="639" spans="1:13" s="2" customFormat="1" x14ac:dyDescent="0.25">
      <c r="A639" s="6"/>
      <c r="D639" s="17"/>
      <c r="E639" s="18"/>
      <c r="F639" s="17"/>
      <c r="G639" s="17"/>
      <c r="H639" s="17"/>
      <c r="I639" s="17"/>
      <c r="J639" s="17"/>
      <c r="K639" s="17"/>
      <c r="L639" s="17"/>
      <c r="M639" s="17"/>
    </row>
    <row r="640" spans="1:13" s="2" customFormat="1" x14ac:dyDescent="0.25">
      <c r="A640" s="6"/>
      <c r="D640" s="17"/>
      <c r="E640" s="18"/>
      <c r="F640" s="17"/>
      <c r="G640" s="17"/>
      <c r="H640" s="17"/>
      <c r="I640" s="17"/>
      <c r="J640" s="17"/>
      <c r="K640" s="17"/>
      <c r="L640" s="17"/>
      <c r="M640" s="17"/>
    </row>
    <row r="641" spans="1:13" s="2" customFormat="1" x14ac:dyDescent="0.25">
      <c r="A641" s="6"/>
      <c r="D641" s="17"/>
      <c r="E641" s="18"/>
      <c r="F641" s="17"/>
      <c r="G641" s="17"/>
      <c r="H641" s="17"/>
      <c r="I641" s="17"/>
      <c r="J641" s="17"/>
      <c r="K641" s="17"/>
      <c r="L641" s="17"/>
      <c r="M641" s="17"/>
    </row>
    <row r="642" spans="1:13" s="2" customFormat="1" x14ac:dyDescent="0.25">
      <c r="A642" s="6"/>
      <c r="D642" s="17"/>
      <c r="E642" s="18"/>
      <c r="F642" s="17"/>
      <c r="G642" s="17"/>
      <c r="H642" s="17"/>
      <c r="I642" s="17"/>
      <c r="J642" s="17"/>
      <c r="K642" s="17"/>
      <c r="L642" s="17"/>
      <c r="M642" s="17"/>
    </row>
    <row r="643" spans="1:13" s="2" customFormat="1" x14ac:dyDescent="0.25">
      <c r="A643" s="6"/>
      <c r="D643" s="17"/>
      <c r="E643" s="18"/>
      <c r="F643" s="17"/>
      <c r="G643" s="17"/>
      <c r="H643" s="17"/>
      <c r="I643" s="17"/>
      <c r="J643" s="17"/>
      <c r="K643" s="17"/>
      <c r="L643" s="17"/>
      <c r="M643" s="17"/>
    </row>
    <row r="644" spans="1:13" s="2" customFormat="1" x14ac:dyDescent="0.25">
      <c r="A644" s="6"/>
      <c r="D644" s="17"/>
      <c r="E644" s="18"/>
      <c r="F644" s="17"/>
      <c r="G644" s="17"/>
      <c r="H644" s="17"/>
      <c r="I644" s="17"/>
      <c r="J644" s="17"/>
      <c r="K644" s="17"/>
      <c r="L644" s="17"/>
      <c r="M644" s="17"/>
    </row>
    <row r="645" spans="1:13" s="2" customFormat="1" x14ac:dyDescent="0.25">
      <c r="A645" s="6"/>
      <c r="D645" s="17"/>
      <c r="E645" s="18"/>
      <c r="F645" s="17"/>
      <c r="G645" s="17"/>
      <c r="H645" s="17"/>
      <c r="I645" s="17"/>
      <c r="J645" s="17"/>
      <c r="K645" s="17"/>
      <c r="L645" s="17"/>
      <c r="M645" s="17"/>
    </row>
    <row r="646" spans="1:13" s="2" customFormat="1" x14ac:dyDescent="0.25">
      <c r="A646" s="6"/>
      <c r="D646" s="17"/>
      <c r="E646" s="18"/>
      <c r="F646" s="17"/>
      <c r="G646" s="17"/>
      <c r="H646" s="17"/>
      <c r="I646" s="17"/>
      <c r="J646" s="17"/>
      <c r="K646" s="17"/>
      <c r="L646" s="17"/>
      <c r="M646" s="17"/>
    </row>
    <row r="647" spans="1:13" s="2" customFormat="1" x14ac:dyDescent="0.25">
      <c r="A647" s="6"/>
      <c r="D647" s="17"/>
      <c r="E647" s="18"/>
      <c r="F647" s="17"/>
      <c r="G647" s="17"/>
      <c r="H647" s="17"/>
      <c r="I647" s="17"/>
      <c r="J647" s="17"/>
      <c r="K647" s="17"/>
      <c r="L647" s="17"/>
      <c r="M647" s="17"/>
    </row>
    <row r="648" spans="1:13" s="2" customFormat="1" x14ac:dyDescent="0.25">
      <c r="A648" s="6"/>
      <c r="D648" s="17"/>
      <c r="E648" s="18"/>
      <c r="F648" s="17"/>
      <c r="G648" s="17"/>
      <c r="H648" s="17"/>
      <c r="I648" s="17"/>
      <c r="J648" s="17"/>
      <c r="K648" s="17"/>
      <c r="L648" s="17"/>
      <c r="M648" s="17"/>
    </row>
    <row r="649" spans="1:13" s="2" customFormat="1" x14ac:dyDescent="0.25">
      <c r="A649" s="6"/>
      <c r="D649" s="17"/>
      <c r="E649" s="18"/>
      <c r="F649" s="17"/>
      <c r="G649" s="17"/>
      <c r="H649" s="17"/>
      <c r="I649" s="17"/>
      <c r="J649" s="17"/>
      <c r="K649" s="17"/>
      <c r="L649" s="17"/>
      <c r="M649" s="17"/>
    </row>
    <row r="650" spans="1:13" s="2" customFormat="1" x14ac:dyDescent="0.25">
      <c r="A650" s="6"/>
      <c r="D650" s="17"/>
      <c r="E650" s="18"/>
      <c r="F650" s="17"/>
      <c r="G650" s="17"/>
      <c r="H650" s="17"/>
      <c r="I650" s="17"/>
      <c r="J650" s="17"/>
      <c r="K650" s="17"/>
      <c r="L650" s="17"/>
      <c r="M650" s="17"/>
    </row>
    <row r="651" spans="1:13" s="2" customFormat="1" x14ac:dyDescent="0.25">
      <c r="A651" s="6"/>
      <c r="D651" s="17"/>
      <c r="E651" s="18"/>
      <c r="F651" s="17"/>
      <c r="G651" s="17"/>
      <c r="H651" s="17"/>
      <c r="I651" s="17"/>
      <c r="J651" s="17"/>
      <c r="K651" s="17"/>
      <c r="L651" s="17"/>
      <c r="M651" s="17"/>
    </row>
    <row r="652" spans="1:13" s="2" customFormat="1" x14ac:dyDescent="0.25">
      <c r="A652" s="6"/>
      <c r="D652" s="17"/>
      <c r="E652" s="18"/>
      <c r="F652" s="17"/>
      <c r="G652" s="17"/>
      <c r="H652" s="17"/>
      <c r="I652" s="17"/>
      <c r="J652" s="17"/>
      <c r="K652" s="17"/>
      <c r="L652" s="17"/>
      <c r="M652" s="17"/>
    </row>
    <row r="653" spans="1:13" s="2" customFormat="1" x14ac:dyDescent="0.25">
      <c r="A653" s="6"/>
      <c r="D653" s="17"/>
      <c r="E653" s="18"/>
      <c r="F653" s="17"/>
      <c r="G653" s="17"/>
      <c r="H653" s="17"/>
      <c r="I653" s="17"/>
      <c r="J653" s="17"/>
      <c r="K653" s="17"/>
      <c r="L653" s="17"/>
      <c r="M653" s="17"/>
    </row>
    <row r="654" spans="1:13" s="2" customFormat="1" x14ac:dyDescent="0.25">
      <c r="A654" s="6"/>
      <c r="D654" s="17"/>
      <c r="E654" s="18"/>
      <c r="F654" s="17"/>
      <c r="G654" s="17"/>
      <c r="H654" s="17"/>
      <c r="I654" s="17"/>
      <c r="J654" s="17"/>
      <c r="K654" s="17"/>
      <c r="L654" s="17"/>
      <c r="M654" s="17"/>
    </row>
    <row r="655" spans="1:13" s="2" customFormat="1" x14ac:dyDescent="0.25">
      <c r="A655" s="6"/>
      <c r="D655" s="17"/>
      <c r="E655" s="18"/>
      <c r="F655" s="17"/>
      <c r="G655" s="17"/>
      <c r="H655" s="17"/>
      <c r="I655" s="17"/>
      <c r="J655" s="17"/>
      <c r="K655" s="17"/>
      <c r="L655" s="17"/>
      <c r="M655" s="17"/>
    </row>
    <row r="656" spans="1:13" s="2" customFormat="1" x14ac:dyDescent="0.25">
      <c r="A656" s="6"/>
      <c r="D656" s="17"/>
      <c r="E656" s="18"/>
      <c r="F656" s="17"/>
      <c r="G656" s="17"/>
      <c r="H656" s="17"/>
      <c r="I656" s="17"/>
      <c r="J656" s="17"/>
      <c r="K656" s="17"/>
      <c r="L656" s="17"/>
      <c r="M656" s="17"/>
    </row>
    <row r="657" spans="1:13" s="2" customFormat="1" x14ac:dyDescent="0.25">
      <c r="A657" s="6"/>
      <c r="D657" s="17"/>
      <c r="E657" s="18"/>
      <c r="F657" s="17"/>
      <c r="G657" s="17"/>
      <c r="H657" s="17"/>
      <c r="I657" s="17"/>
      <c r="J657" s="17"/>
      <c r="K657" s="17"/>
      <c r="L657" s="17"/>
      <c r="M657" s="17"/>
    </row>
    <row r="658" spans="1:13" s="2" customFormat="1" x14ac:dyDescent="0.25">
      <c r="A658" s="6"/>
      <c r="D658" s="17"/>
      <c r="E658" s="18"/>
      <c r="F658" s="17"/>
      <c r="G658" s="17"/>
      <c r="H658" s="17"/>
      <c r="I658" s="17"/>
      <c r="J658" s="17"/>
      <c r="K658" s="17"/>
      <c r="L658" s="17"/>
      <c r="M658" s="17"/>
    </row>
    <row r="659" spans="1:13" s="2" customFormat="1" x14ac:dyDescent="0.25">
      <c r="A659" s="6"/>
      <c r="D659" s="17"/>
      <c r="E659" s="18"/>
      <c r="F659" s="17"/>
      <c r="G659" s="17"/>
      <c r="H659" s="17"/>
      <c r="I659" s="17"/>
      <c r="J659" s="17"/>
      <c r="K659" s="17"/>
      <c r="L659" s="17"/>
      <c r="M659" s="17"/>
    </row>
    <row r="660" spans="1:13" s="2" customFormat="1" x14ac:dyDescent="0.25">
      <c r="A660" s="6"/>
      <c r="D660" s="17"/>
      <c r="E660" s="18"/>
      <c r="F660" s="17"/>
      <c r="G660" s="17"/>
      <c r="H660" s="17"/>
      <c r="I660" s="17"/>
      <c r="J660" s="17"/>
      <c r="K660" s="17"/>
      <c r="L660" s="17"/>
      <c r="M660" s="17"/>
    </row>
    <row r="661" spans="1:13" s="2" customFormat="1" x14ac:dyDescent="0.25">
      <c r="A661" s="6"/>
      <c r="D661" s="17"/>
      <c r="E661" s="18"/>
      <c r="F661" s="17"/>
      <c r="G661" s="17"/>
      <c r="H661" s="17"/>
      <c r="I661" s="17"/>
      <c r="J661" s="17"/>
      <c r="K661" s="17"/>
      <c r="L661" s="17"/>
      <c r="M661" s="17"/>
    </row>
    <row r="662" spans="1:13" s="2" customFormat="1" x14ac:dyDescent="0.25">
      <c r="A662" s="6"/>
      <c r="D662" s="17"/>
      <c r="E662" s="18"/>
      <c r="F662" s="17"/>
      <c r="G662" s="17"/>
      <c r="H662" s="17"/>
      <c r="I662" s="17"/>
      <c r="J662" s="17"/>
      <c r="K662" s="17"/>
      <c r="L662" s="17"/>
      <c r="M662" s="17"/>
    </row>
    <row r="663" spans="1:13" s="2" customFormat="1" x14ac:dyDescent="0.25">
      <c r="A663" s="6"/>
      <c r="D663" s="17"/>
      <c r="E663" s="18"/>
      <c r="F663" s="17"/>
      <c r="G663" s="17"/>
      <c r="H663" s="17"/>
      <c r="I663" s="17"/>
      <c r="J663" s="17"/>
      <c r="K663" s="17"/>
      <c r="L663" s="17"/>
      <c r="M663" s="17"/>
    </row>
    <row r="664" spans="1:13" s="2" customFormat="1" x14ac:dyDescent="0.25">
      <c r="A664" s="6"/>
      <c r="D664" s="17"/>
      <c r="E664" s="18"/>
      <c r="F664" s="17"/>
      <c r="G664" s="17"/>
      <c r="H664" s="17"/>
      <c r="I664" s="17"/>
      <c r="J664" s="17"/>
      <c r="K664" s="17"/>
      <c r="L664" s="17"/>
      <c r="M664" s="17"/>
    </row>
    <row r="665" spans="1:13" s="2" customFormat="1" x14ac:dyDescent="0.25">
      <c r="A665" s="6"/>
      <c r="D665" s="17"/>
      <c r="E665" s="18"/>
      <c r="F665" s="17"/>
      <c r="G665" s="17"/>
      <c r="H665" s="17"/>
      <c r="I665" s="17"/>
      <c r="J665" s="17"/>
      <c r="K665" s="17"/>
      <c r="L665" s="17"/>
      <c r="M665" s="17"/>
    </row>
    <row r="666" spans="1:13" s="2" customFormat="1" x14ac:dyDescent="0.25">
      <c r="A666" s="6"/>
      <c r="D666" s="17"/>
      <c r="E666" s="18"/>
      <c r="F666" s="17"/>
      <c r="G666" s="17"/>
      <c r="H666" s="17"/>
      <c r="I666" s="17"/>
      <c r="J666" s="17"/>
      <c r="K666" s="17"/>
      <c r="L666" s="17"/>
      <c r="M666" s="17"/>
    </row>
    <row r="667" spans="1:13" s="2" customFormat="1" x14ac:dyDescent="0.25">
      <c r="A667" s="6"/>
      <c r="D667" s="17"/>
      <c r="E667" s="18"/>
      <c r="F667" s="17"/>
      <c r="G667" s="17"/>
      <c r="H667" s="17"/>
      <c r="I667" s="17"/>
      <c r="J667" s="17"/>
      <c r="K667" s="17"/>
      <c r="L667" s="17"/>
      <c r="M667" s="17"/>
    </row>
    <row r="668" spans="1:13" s="2" customFormat="1" x14ac:dyDescent="0.25">
      <c r="A668" s="6"/>
      <c r="D668" s="17"/>
      <c r="E668" s="18"/>
      <c r="F668" s="17"/>
      <c r="G668" s="17"/>
      <c r="H668" s="17"/>
      <c r="I668" s="17"/>
      <c r="J668" s="17"/>
      <c r="K668" s="17"/>
      <c r="L668" s="17"/>
      <c r="M668" s="17"/>
    </row>
    <row r="669" spans="1:13" s="2" customFormat="1" x14ac:dyDescent="0.25">
      <c r="A669" s="6"/>
      <c r="D669" s="17"/>
      <c r="E669" s="18"/>
      <c r="F669" s="17"/>
      <c r="G669" s="17"/>
      <c r="H669" s="17"/>
      <c r="I669" s="17"/>
      <c r="J669" s="17"/>
      <c r="K669" s="17"/>
      <c r="L669" s="17"/>
      <c r="M669" s="17"/>
    </row>
    <row r="670" spans="1:13" s="2" customFormat="1" x14ac:dyDescent="0.25">
      <c r="A670" s="6"/>
      <c r="D670" s="17"/>
      <c r="E670" s="18"/>
      <c r="F670" s="17"/>
      <c r="G670" s="17"/>
      <c r="H670" s="17"/>
      <c r="I670" s="17"/>
      <c r="J670" s="17"/>
      <c r="K670" s="17"/>
      <c r="L670" s="17"/>
      <c r="M670" s="17"/>
    </row>
    <row r="671" spans="1:13" s="2" customFormat="1" x14ac:dyDescent="0.25">
      <c r="A671" s="6"/>
      <c r="D671" s="17"/>
      <c r="E671" s="18"/>
      <c r="F671" s="17"/>
      <c r="G671" s="17"/>
      <c r="H671" s="17"/>
      <c r="I671" s="17"/>
      <c r="J671" s="17"/>
      <c r="K671" s="17"/>
      <c r="L671" s="17"/>
      <c r="M671" s="17"/>
    </row>
    <row r="672" spans="1:13" s="2" customFormat="1" x14ac:dyDescent="0.25">
      <c r="A672" s="6"/>
      <c r="D672" s="17"/>
      <c r="E672" s="18"/>
      <c r="F672" s="17"/>
      <c r="G672" s="17"/>
      <c r="H672" s="17"/>
      <c r="I672" s="17"/>
      <c r="J672" s="17"/>
      <c r="K672" s="17"/>
      <c r="L672" s="17"/>
      <c r="M672" s="17"/>
    </row>
    <row r="673" spans="1:13" s="2" customFormat="1" x14ac:dyDescent="0.25">
      <c r="A673" s="6"/>
      <c r="D673" s="17"/>
      <c r="E673" s="18"/>
      <c r="F673" s="17"/>
      <c r="G673" s="17"/>
      <c r="H673" s="17"/>
      <c r="I673" s="17"/>
      <c r="J673" s="17"/>
      <c r="K673" s="17"/>
      <c r="L673" s="17"/>
      <c r="M673" s="17"/>
    </row>
    <row r="674" spans="1:13" s="2" customFormat="1" x14ac:dyDescent="0.25">
      <c r="A674" s="6"/>
      <c r="D674" s="17"/>
      <c r="E674" s="18"/>
      <c r="F674" s="17"/>
      <c r="G674" s="17"/>
      <c r="H674" s="17"/>
      <c r="I674" s="17"/>
      <c r="J674" s="17"/>
      <c r="K674" s="17"/>
      <c r="L674" s="17"/>
      <c r="M674" s="17"/>
    </row>
    <row r="675" spans="1:13" s="2" customFormat="1" x14ac:dyDescent="0.25">
      <c r="A675" s="6"/>
      <c r="D675" s="17"/>
      <c r="E675" s="18"/>
      <c r="F675" s="17"/>
      <c r="G675" s="17"/>
      <c r="H675" s="17"/>
      <c r="I675" s="17"/>
      <c r="J675" s="17"/>
      <c r="K675" s="17"/>
      <c r="L675" s="17"/>
      <c r="M675" s="17"/>
    </row>
    <row r="676" spans="1:13" s="2" customFormat="1" x14ac:dyDescent="0.25">
      <c r="A676" s="6"/>
      <c r="D676" s="17"/>
      <c r="E676" s="18"/>
      <c r="F676" s="17"/>
      <c r="G676" s="17"/>
      <c r="H676" s="17"/>
      <c r="I676" s="17"/>
      <c r="J676" s="17"/>
      <c r="K676" s="17"/>
      <c r="L676" s="17"/>
      <c r="M676" s="17"/>
    </row>
    <row r="677" spans="1:13" s="2" customFormat="1" x14ac:dyDescent="0.25">
      <c r="A677" s="6"/>
      <c r="D677" s="17"/>
      <c r="E677" s="18"/>
      <c r="F677" s="17"/>
      <c r="G677" s="17"/>
      <c r="H677" s="17"/>
      <c r="I677" s="17"/>
      <c r="J677" s="17"/>
      <c r="K677" s="17"/>
      <c r="L677" s="17"/>
      <c r="M677" s="17"/>
    </row>
    <row r="678" spans="1:13" s="2" customFormat="1" x14ac:dyDescent="0.25">
      <c r="A678" s="6"/>
      <c r="D678" s="17"/>
      <c r="E678" s="18"/>
      <c r="F678" s="17"/>
      <c r="G678" s="17"/>
      <c r="H678" s="17"/>
      <c r="I678" s="17"/>
      <c r="J678" s="17"/>
      <c r="K678" s="17"/>
      <c r="L678" s="17"/>
      <c r="M678" s="17"/>
    </row>
    <row r="679" spans="1:13" s="2" customFormat="1" x14ac:dyDescent="0.25">
      <c r="A679" s="6"/>
      <c r="D679" s="17"/>
      <c r="E679" s="18"/>
      <c r="F679" s="17"/>
      <c r="G679" s="17"/>
      <c r="H679" s="17"/>
      <c r="I679" s="17"/>
      <c r="J679" s="17"/>
      <c r="K679" s="17"/>
      <c r="L679" s="17"/>
      <c r="M679" s="17"/>
    </row>
    <row r="680" spans="1:13" s="2" customFormat="1" x14ac:dyDescent="0.25">
      <c r="A680" s="6"/>
      <c r="D680" s="17"/>
      <c r="E680" s="18"/>
      <c r="F680" s="17"/>
      <c r="G680" s="17"/>
      <c r="H680" s="17"/>
      <c r="I680" s="17"/>
      <c r="J680" s="17"/>
      <c r="K680" s="17"/>
      <c r="L680" s="17"/>
      <c r="M680" s="17"/>
    </row>
    <row r="681" spans="1:13" s="2" customFormat="1" x14ac:dyDescent="0.25">
      <c r="A681" s="6"/>
      <c r="D681" s="17"/>
      <c r="E681" s="18"/>
      <c r="F681" s="17"/>
      <c r="G681" s="17"/>
      <c r="H681" s="17"/>
      <c r="I681" s="17"/>
      <c r="J681" s="17"/>
      <c r="K681" s="17"/>
      <c r="L681" s="17"/>
      <c r="M681" s="17"/>
    </row>
    <row r="682" spans="1:13" s="2" customFormat="1" x14ac:dyDescent="0.25">
      <c r="A682" s="6"/>
      <c r="D682" s="17"/>
      <c r="E682" s="18"/>
      <c r="F682" s="17"/>
      <c r="G682" s="17"/>
      <c r="H682" s="17"/>
      <c r="I682" s="17"/>
      <c r="J682" s="17"/>
      <c r="K682" s="17"/>
      <c r="L682" s="17"/>
      <c r="M682" s="17"/>
    </row>
    <row r="683" spans="1:13" s="2" customFormat="1" x14ac:dyDescent="0.25">
      <c r="A683" s="6"/>
      <c r="D683" s="17"/>
      <c r="E683" s="18"/>
      <c r="F683" s="17"/>
      <c r="G683" s="17"/>
      <c r="H683" s="17"/>
      <c r="I683" s="17"/>
      <c r="J683" s="17"/>
      <c r="K683" s="17"/>
      <c r="L683" s="17"/>
      <c r="M683" s="17"/>
    </row>
    <row r="684" spans="1:13" s="2" customFormat="1" x14ac:dyDescent="0.25">
      <c r="A684" s="6"/>
      <c r="D684" s="17"/>
      <c r="E684" s="18"/>
      <c r="F684" s="17"/>
      <c r="G684" s="17"/>
      <c r="H684" s="17"/>
      <c r="I684" s="17"/>
      <c r="J684" s="17"/>
      <c r="K684" s="17"/>
      <c r="L684" s="17"/>
      <c r="M684" s="17"/>
    </row>
    <row r="685" spans="1:13" s="2" customFormat="1" x14ac:dyDescent="0.25">
      <c r="A685" s="6"/>
      <c r="D685" s="17"/>
      <c r="E685" s="18"/>
      <c r="F685" s="17"/>
      <c r="G685" s="17"/>
      <c r="H685" s="17"/>
      <c r="I685" s="17"/>
      <c r="J685" s="17"/>
      <c r="K685" s="17"/>
      <c r="L685" s="17"/>
      <c r="M685" s="17"/>
    </row>
    <row r="686" spans="1:13" s="2" customFormat="1" x14ac:dyDescent="0.25">
      <c r="A686" s="6"/>
      <c r="D686" s="17"/>
      <c r="E686" s="18"/>
      <c r="F686" s="17"/>
      <c r="G686" s="17"/>
      <c r="H686" s="17"/>
      <c r="I686" s="17"/>
      <c r="J686" s="17"/>
      <c r="K686" s="17"/>
      <c r="L686" s="17"/>
      <c r="M686" s="17"/>
    </row>
    <row r="687" spans="1:13" s="2" customFormat="1" x14ac:dyDescent="0.25">
      <c r="A687" s="6"/>
      <c r="D687" s="17"/>
      <c r="E687" s="18"/>
      <c r="F687" s="17"/>
      <c r="G687" s="17"/>
      <c r="H687" s="17"/>
      <c r="I687" s="17"/>
      <c r="J687" s="17"/>
      <c r="K687" s="17"/>
      <c r="L687" s="17"/>
      <c r="M687" s="17"/>
    </row>
    <row r="688" spans="1:13" s="2" customFormat="1" x14ac:dyDescent="0.25">
      <c r="A688" s="6"/>
      <c r="D688" s="17"/>
      <c r="E688" s="18"/>
      <c r="F688" s="17"/>
      <c r="G688" s="17"/>
      <c r="H688" s="17"/>
      <c r="I688" s="17"/>
      <c r="J688" s="17"/>
      <c r="K688" s="17"/>
      <c r="L688" s="17"/>
      <c r="M688" s="17"/>
    </row>
    <row r="689" spans="1:13" s="2" customFormat="1" x14ac:dyDescent="0.25">
      <c r="A689" s="6"/>
      <c r="D689" s="17"/>
      <c r="E689" s="18"/>
      <c r="F689" s="17"/>
      <c r="G689" s="17"/>
      <c r="H689" s="17"/>
      <c r="I689" s="17"/>
      <c r="J689" s="17"/>
      <c r="K689" s="17"/>
      <c r="L689" s="17"/>
      <c r="M689" s="17"/>
    </row>
    <row r="690" spans="1:13" s="2" customFormat="1" x14ac:dyDescent="0.25">
      <c r="A690" s="6"/>
      <c r="D690" s="17"/>
      <c r="E690" s="18"/>
      <c r="F690" s="17"/>
      <c r="G690" s="17"/>
      <c r="H690" s="17"/>
      <c r="I690" s="17"/>
      <c r="J690" s="17"/>
      <c r="K690" s="17"/>
      <c r="L690" s="17"/>
      <c r="M690" s="17"/>
    </row>
    <row r="691" spans="1:13" s="2" customFormat="1" x14ac:dyDescent="0.25">
      <c r="A691" s="6"/>
      <c r="D691" s="17"/>
      <c r="E691" s="18"/>
      <c r="F691" s="17"/>
      <c r="G691" s="17"/>
      <c r="H691" s="17"/>
      <c r="I691" s="17"/>
      <c r="J691" s="17"/>
      <c r="K691" s="17"/>
      <c r="L691" s="17"/>
      <c r="M691" s="17"/>
    </row>
    <row r="692" spans="1:13" s="2" customFormat="1" x14ac:dyDescent="0.25">
      <c r="A692" s="6"/>
      <c r="D692" s="17"/>
      <c r="E692" s="18"/>
      <c r="F692" s="17"/>
      <c r="G692" s="17"/>
      <c r="H692" s="17"/>
      <c r="I692" s="17"/>
      <c r="J692" s="17"/>
      <c r="K692" s="17"/>
      <c r="L692" s="17"/>
      <c r="M692" s="17"/>
    </row>
    <row r="693" spans="1:13" s="2" customFormat="1" x14ac:dyDescent="0.25">
      <c r="A693" s="6"/>
      <c r="D693" s="17"/>
      <c r="E693" s="18"/>
      <c r="F693" s="17"/>
      <c r="G693" s="17"/>
      <c r="H693" s="17"/>
      <c r="I693" s="17"/>
      <c r="J693" s="17"/>
      <c r="K693" s="17"/>
      <c r="L693" s="17"/>
      <c r="M693" s="17"/>
    </row>
    <row r="694" spans="1:13" s="2" customFormat="1" x14ac:dyDescent="0.25">
      <c r="A694" s="6"/>
      <c r="D694" s="17"/>
      <c r="E694" s="18"/>
      <c r="F694" s="17"/>
      <c r="G694" s="17"/>
      <c r="H694" s="17"/>
      <c r="I694" s="17"/>
      <c r="J694" s="17"/>
      <c r="K694" s="17"/>
      <c r="L694" s="17"/>
      <c r="M694" s="17"/>
    </row>
    <row r="695" spans="1:13" s="2" customFormat="1" x14ac:dyDescent="0.25">
      <c r="A695" s="6"/>
      <c r="D695" s="17"/>
      <c r="E695" s="18"/>
      <c r="F695" s="17"/>
      <c r="G695" s="17"/>
      <c r="H695" s="17"/>
      <c r="I695" s="17"/>
      <c r="J695" s="17"/>
      <c r="K695" s="17"/>
      <c r="L695" s="17"/>
      <c r="M695" s="17"/>
    </row>
    <row r="696" spans="1:13" s="2" customFormat="1" x14ac:dyDescent="0.25">
      <c r="A696" s="6"/>
      <c r="D696" s="17"/>
      <c r="E696" s="18"/>
      <c r="F696" s="17"/>
      <c r="G696" s="17"/>
      <c r="H696" s="17"/>
      <c r="I696" s="17"/>
      <c r="J696" s="17"/>
      <c r="K696" s="17"/>
      <c r="L696" s="17"/>
      <c r="M696" s="17"/>
    </row>
    <row r="697" spans="1:13" s="2" customFormat="1" x14ac:dyDescent="0.25">
      <c r="A697" s="6"/>
      <c r="D697" s="17"/>
      <c r="E697" s="18"/>
      <c r="F697" s="17"/>
      <c r="G697" s="17"/>
      <c r="H697" s="17"/>
      <c r="I697" s="17"/>
      <c r="J697" s="17"/>
      <c r="K697" s="17"/>
      <c r="L697" s="17"/>
      <c r="M697" s="17"/>
    </row>
    <row r="698" spans="1:13" s="2" customFormat="1" x14ac:dyDescent="0.25">
      <c r="A698" s="6"/>
      <c r="D698" s="17"/>
      <c r="E698" s="18"/>
      <c r="F698" s="17"/>
      <c r="G698" s="17"/>
      <c r="H698" s="17"/>
      <c r="I698" s="17"/>
      <c r="J698" s="17"/>
      <c r="K698" s="17"/>
      <c r="L698" s="17"/>
      <c r="M698" s="17"/>
    </row>
    <row r="699" spans="1:13" s="2" customFormat="1" x14ac:dyDescent="0.25">
      <c r="A699" s="6"/>
      <c r="D699" s="17"/>
      <c r="E699" s="18"/>
      <c r="F699" s="17"/>
      <c r="G699" s="17"/>
      <c r="H699" s="17"/>
      <c r="I699" s="17"/>
      <c r="J699" s="17"/>
      <c r="K699" s="17"/>
      <c r="L699" s="17"/>
      <c r="M699" s="17"/>
    </row>
    <row r="700" spans="1:13" s="2" customFormat="1" x14ac:dyDescent="0.25">
      <c r="A700" s="6"/>
      <c r="D700" s="17"/>
      <c r="E700" s="18"/>
      <c r="F700" s="17"/>
      <c r="G700" s="17"/>
      <c r="H700" s="17"/>
      <c r="I700" s="17"/>
      <c r="J700" s="17"/>
      <c r="K700" s="17"/>
      <c r="L700" s="17"/>
      <c r="M700" s="17"/>
    </row>
    <row r="701" spans="1:13" s="2" customFormat="1" x14ac:dyDescent="0.25">
      <c r="A701" s="6"/>
      <c r="D701" s="17"/>
      <c r="E701" s="18"/>
      <c r="F701" s="17"/>
      <c r="G701" s="17"/>
      <c r="H701" s="17"/>
      <c r="I701" s="17"/>
      <c r="J701" s="17"/>
      <c r="K701" s="17"/>
      <c r="L701" s="17"/>
      <c r="M701" s="17"/>
    </row>
    <row r="702" spans="1:13" s="2" customFormat="1" x14ac:dyDescent="0.25">
      <c r="A702" s="6"/>
      <c r="D702" s="17"/>
      <c r="E702" s="18"/>
      <c r="F702" s="17"/>
      <c r="G702" s="17"/>
      <c r="H702" s="17"/>
      <c r="I702" s="17"/>
      <c r="J702" s="17"/>
      <c r="K702" s="17"/>
      <c r="L702" s="17"/>
      <c r="M702" s="17"/>
    </row>
    <row r="703" spans="1:13" s="2" customFormat="1" x14ac:dyDescent="0.25">
      <c r="A703" s="6"/>
      <c r="D703" s="17"/>
      <c r="E703" s="18"/>
      <c r="F703" s="17"/>
      <c r="G703" s="17"/>
      <c r="H703" s="17"/>
      <c r="I703" s="17"/>
      <c r="J703" s="17"/>
      <c r="K703" s="17"/>
      <c r="L703" s="17"/>
      <c r="M703" s="17"/>
    </row>
    <row r="704" spans="1:13" s="2" customFormat="1" x14ac:dyDescent="0.25">
      <c r="A704" s="6"/>
      <c r="D704" s="17"/>
      <c r="E704" s="18"/>
      <c r="F704" s="17"/>
      <c r="G704" s="17"/>
      <c r="H704" s="17"/>
      <c r="I704" s="17"/>
      <c r="J704" s="17"/>
      <c r="K704" s="17"/>
      <c r="L704" s="17"/>
      <c r="M704" s="17"/>
    </row>
    <row r="705" spans="1:13" s="2" customFormat="1" x14ac:dyDescent="0.25">
      <c r="A705" s="6"/>
      <c r="D705" s="17"/>
      <c r="E705" s="18"/>
      <c r="F705" s="17"/>
      <c r="G705" s="17"/>
      <c r="H705" s="17"/>
      <c r="I705" s="17"/>
      <c r="J705" s="17"/>
      <c r="K705" s="17"/>
      <c r="L705" s="17"/>
      <c r="M705" s="17"/>
    </row>
    <row r="706" spans="1:13" s="2" customFormat="1" x14ac:dyDescent="0.25">
      <c r="A706" s="6"/>
      <c r="D706" s="17"/>
      <c r="E706" s="18"/>
      <c r="F706" s="17"/>
      <c r="G706" s="17"/>
      <c r="H706" s="17"/>
      <c r="I706" s="17"/>
      <c r="J706" s="17"/>
      <c r="K706" s="17"/>
      <c r="L706" s="17"/>
      <c r="M706" s="17"/>
    </row>
    <row r="707" spans="1:13" s="2" customFormat="1" x14ac:dyDescent="0.25">
      <c r="A707" s="6"/>
      <c r="D707" s="17"/>
      <c r="E707" s="18"/>
      <c r="F707" s="17"/>
      <c r="G707" s="17"/>
      <c r="H707" s="17"/>
      <c r="I707" s="17"/>
      <c r="J707" s="17"/>
      <c r="K707" s="17"/>
      <c r="L707" s="17"/>
      <c r="M707" s="17"/>
    </row>
    <row r="708" spans="1:13" s="2" customFormat="1" x14ac:dyDescent="0.25">
      <c r="A708" s="6"/>
      <c r="D708" s="17"/>
      <c r="E708" s="18"/>
      <c r="F708" s="17"/>
      <c r="G708" s="17"/>
      <c r="H708" s="17"/>
      <c r="I708" s="17"/>
      <c r="J708" s="17"/>
      <c r="K708" s="17"/>
      <c r="L708" s="17"/>
      <c r="M708" s="17"/>
    </row>
    <row r="709" spans="1:13" s="2" customFormat="1" x14ac:dyDescent="0.25">
      <c r="A709" s="6"/>
      <c r="D709" s="17"/>
      <c r="E709" s="18"/>
      <c r="F709" s="17"/>
      <c r="G709" s="17"/>
      <c r="H709" s="17"/>
      <c r="I709" s="17"/>
      <c r="J709" s="17"/>
      <c r="K709" s="17"/>
      <c r="L709" s="17"/>
      <c r="M709" s="17"/>
    </row>
    <row r="710" spans="1:13" s="2" customFormat="1" x14ac:dyDescent="0.25">
      <c r="A710" s="6"/>
      <c r="D710" s="17"/>
      <c r="E710" s="18"/>
      <c r="F710" s="17"/>
      <c r="G710" s="17"/>
      <c r="H710" s="17"/>
      <c r="I710" s="17"/>
      <c r="J710" s="17"/>
      <c r="K710" s="17"/>
      <c r="L710" s="17"/>
      <c r="M710" s="17"/>
    </row>
    <row r="711" spans="1:13" s="2" customFormat="1" x14ac:dyDescent="0.25">
      <c r="A711" s="6"/>
      <c r="D711" s="17"/>
      <c r="E711" s="18"/>
      <c r="F711" s="17"/>
      <c r="G711" s="17"/>
      <c r="H711" s="17"/>
      <c r="I711" s="17"/>
      <c r="J711" s="17"/>
      <c r="K711" s="17"/>
      <c r="L711" s="17"/>
      <c r="M711" s="17"/>
    </row>
    <row r="712" spans="1:13" s="2" customFormat="1" x14ac:dyDescent="0.25">
      <c r="A712" s="6"/>
      <c r="D712" s="17"/>
      <c r="E712" s="18"/>
      <c r="F712" s="17"/>
      <c r="G712" s="17"/>
      <c r="H712" s="17"/>
      <c r="I712" s="17"/>
      <c r="J712" s="17"/>
      <c r="K712" s="17"/>
      <c r="L712" s="17"/>
      <c r="M712" s="17"/>
    </row>
    <row r="713" spans="1:13" s="2" customFormat="1" x14ac:dyDescent="0.25">
      <c r="A713" s="6"/>
      <c r="D713" s="17"/>
      <c r="E713" s="18"/>
      <c r="F713" s="17"/>
      <c r="G713" s="17"/>
      <c r="H713" s="17"/>
      <c r="I713" s="17"/>
      <c r="J713" s="17"/>
      <c r="K713" s="17"/>
      <c r="L713" s="17"/>
      <c r="M713" s="17"/>
    </row>
    <row r="714" spans="1:13" s="2" customFormat="1" x14ac:dyDescent="0.25">
      <c r="A714" s="6"/>
      <c r="D714" s="17"/>
      <c r="E714" s="18"/>
      <c r="F714" s="17"/>
      <c r="G714" s="17"/>
      <c r="H714" s="17"/>
      <c r="I714" s="17"/>
      <c r="J714" s="17"/>
      <c r="K714" s="17"/>
      <c r="L714" s="17"/>
      <c r="M714" s="17"/>
    </row>
    <row r="715" spans="1:13" s="2" customFormat="1" x14ac:dyDescent="0.25">
      <c r="A715" s="6"/>
      <c r="D715" s="17"/>
      <c r="E715" s="18"/>
      <c r="F715" s="17"/>
      <c r="G715" s="17"/>
      <c r="H715" s="17"/>
      <c r="I715" s="17"/>
      <c r="J715" s="17"/>
      <c r="K715" s="17"/>
      <c r="L715" s="17"/>
      <c r="M715" s="17"/>
    </row>
    <row r="716" spans="1:13" s="2" customFormat="1" x14ac:dyDescent="0.25">
      <c r="A716" s="6"/>
      <c r="D716" s="17"/>
      <c r="E716" s="18"/>
      <c r="F716" s="17"/>
      <c r="G716" s="17"/>
      <c r="H716" s="17"/>
      <c r="I716" s="17"/>
      <c r="J716" s="17"/>
      <c r="K716" s="17"/>
      <c r="L716" s="17"/>
      <c r="M716" s="17"/>
    </row>
    <row r="717" spans="1:13" s="2" customFormat="1" x14ac:dyDescent="0.25">
      <c r="A717" s="6"/>
      <c r="D717" s="17"/>
      <c r="E717" s="18"/>
      <c r="F717" s="17"/>
      <c r="G717" s="17"/>
      <c r="H717" s="17"/>
      <c r="I717" s="17"/>
      <c r="J717" s="17"/>
      <c r="K717" s="17"/>
      <c r="L717" s="17"/>
      <c r="M717" s="17"/>
    </row>
    <row r="718" spans="1:13" s="2" customFormat="1" x14ac:dyDescent="0.25">
      <c r="A718" s="6"/>
      <c r="D718" s="17"/>
      <c r="E718" s="18"/>
      <c r="F718" s="17"/>
      <c r="G718" s="17"/>
      <c r="H718" s="17"/>
      <c r="I718" s="17"/>
      <c r="J718" s="17"/>
      <c r="K718" s="17"/>
      <c r="L718" s="17"/>
      <c r="M718" s="17"/>
    </row>
    <row r="719" spans="1:13" s="2" customFormat="1" x14ac:dyDescent="0.25">
      <c r="A719" s="6"/>
      <c r="D719" s="17"/>
      <c r="E719" s="18"/>
      <c r="F719" s="17"/>
      <c r="G719" s="17"/>
      <c r="H719" s="17"/>
      <c r="I719" s="17"/>
      <c r="J719" s="17"/>
      <c r="K719" s="17"/>
      <c r="L719" s="17"/>
      <c r="M719" s="17"/>
    </row>
    <row r="720" spans="1:13" s="2" customFormat="1" x14ac:dyDescent="0.25">
      <c r="A720" s="6"/>
      <c r="D720" s="17"/>
      <c r="E720" s="18"/>
      <c r="F720" s="17"/>
      <c r="G720" s="17"/>
      <c r="H720" s="17"/>
      <c r="I720" s="17"/>
      <c r="J720" s="17"/>
      <c r="K720" s="17"/>
      <c r="L720" s="17"/>
      <c r="M720" s="17"/>
    </row>
    <row r="721" spans="1:13" s="2" customFormat="1" x14ac:dyDescent="0.25">
      <c r="A721" s="6"/>
      <c r="D721" s="17"/>
      <c r="E721" s="18"/>
      <c r="F721" s="17"/>
      <c r="G721" s="17"/>
      <c r="H721" s="17"/>
      <c r="I721" s="17"/>
      <c r="J721" s="17"/>
      <c r="K721" s="17"/>
      <c r="L721" s="17"/>
      <c r="M721" s="17"/>
    </row>
    <row r="722" spans="1:13" s="2" customFormat="1" x14ac:dyDescent="0.25">
      <c r="A722" s="6"/>
      <c r="D722" s="17"/>
      <c r="E722" s="18"/>
      <c r="F722" s="17"/>
      <c r="G722" s="17"/>
      <c r="H722" s="17"/>
      <c r="I722" s="17"/>
      <c r="J722" s="17"/>
      <c r="K722" s="17"/>
      <c r="L722" s="17"/>
      <c r="M722" s="17"/>
    </row>
    <row r="723" spans="1:13" s="2" customFormat="1" x14ac:dyDescent="0.25">
      <c r="A723" s="6"/>
      <c r="D723" s="17"/>
      <c r="E723" s="18"/>
      <c r="F723" s="17"/>
      <c r="G723" s="17"/>
      <c r="H723" s="17"/>
      <c r="I723" s="17"/>
      <c r="J723" s="17"/>
      <c r="K723" s="17"/>
      <c r="L723" s="17"/>
      <c r="M723" s="17"/>
    </row>
    <row r="724" spans="1:13" s="2" customFormat="1" x14ac:dyDescent="0.25">
      <c r="A724" s="6"/>
      <c r="D724" s="17"/>
      <c r="E724" s="18"/>
      <c r="F724" s="17"/>
      <c r="G724" s="17"/>
      <c r="H724" s="17"/>
      <c r="I724" s="17"/>
      <c r="J724" s="17"/>
      <c r="K724" s="17"/>
      <c r="L724" s="17"/>
      <c r="M724" s="17"/>
    </row>
    <row r="725" spans="1:13" s="2" customFormat="1" x14ac:dyDescent="0.25">
      <c r="A725" s="6"/>
      <c r="D725" s="17"/>
      <c r="E725" s="18"/>
      <c r="F725" s="17"/>
      <c r="G725" s="17"/>
      <c r="H725" s="17"/>
      <c r="I725" s="17"/>
      <c r="J725" s="17"/>
      <c r="K725" s="17"/>
      <c r="L725" s="17"/>
      <c r="M725" s="17"/>
    </row>
    <row r="726" spans="1:13" s="2" customFormat="1" x14ac:dyDescent="0.25">
      <c r="A726" s="6"/>
      <c r="D726" s="17"/>
      <c r="E726" s="18"/>
      <c r="F726" s="17"/>
      <c r="G726" s="17"/>
      <c r="H726" s="17"/>
      <c r="I726" s="17"/>
      <c r="J726" s="17"/>
      <c r="K726" s="17"/>
      <c r="L726" s="17"/>
      <c r="M726" s="17"/>
    </row>
    <row r="727" spans="1:13" s="2" customFormat="1" x14ac:dyDescent="0.25">
      <c r="A727" s="6"/>
      <c r="D727" s="17"/>
      <c r="E727" s="18"/>
      <c r="F727" s="17"/>
      <c r="G727" s="17"/>
      <c r="H727" s="17"/>
      <c r="I727" s="17"/>
      <c r="J727" s="17"/>
      <c r="K727" s="17"/>
      <c r="L727" s="17"/>
      <c r="M727" s="17"/>
    </row>
    <row r="728" spans="1:13" s="2" customFormat="1" x14ac:dyDescent="0.25">
      <c r="A728" s="6"/>
      <c r="D728" s="17"/>
      <c r="E728" s="18"/>
      <c r="F728" s="17"/>
      <c r="G728" s="17"/>
      <c r="H728" s="17"/>
      <c r="I728" s="17"/>
      <c r="J728" s="17"/>
      <c r="K728" s="17"/>
      <c r="L728" s="17"/>
      <c r="M728" s="17"/>
    </row>
    <row r="729" spans="1:13" s="2" customFormat="1" x14ac:dyDescent="0.25">
      <c r="A729" s="6"/>
      <c r="D729" s="17"/>
      <c r="E729" s="18"/>
      <c r="F729" s="17"/>
      <c r="G729" s="17"/>
      <c r="H729" s="17"/>
      <c r="I729" s="17"/>
      <c r="J729" s="17"/>
      <c r="K729" s="17"/>
      <c r="L729" s="17"/>
      <c r="M729" s="17"/>
    </row>
    <row r="730" spans="1:13" s="2" customFormat="1" x14ac:dyDescent="0.25">
      <c r="A730" s="6"/>
      <c r="D730" s="17"/>
      <c r="E730" s="18"/>
      <c r="F730" s="17"/>
      <c r="G730" s="17"/>
      <c r="H730" s="17"/>
      <c r="I730" s="17"/>
      <c r="J730" s="17"/>
      <c r="K730" s="17"/>
      <c r="L730" s="17"/>
      <c r="M730" s="17"/>
    </row>
    <row r="731" spans="1:13" s="2" customFormat="1" x14ac:dyDescent="0.25">
      <c r="A731" s="6"/>
      <c r="D731" s="17"/>
      <c r="E731" s="18"/>
      <c r="F731" s="17"/>
      <c r="G731" s="17"/>
      <c r="H731" s="17"/>
      <c r="I731" s="17"/>
      <c r="J731" s="17"/>
      <c r="K731" s="17"/>
      <c r="L731" s="17"/>
      <c r="M731" s="17"/>
    </row>
    <row r="732" spans="1:13" s="2" customFormat="1" x14ac:dyDescent="0.25">
      <c r="A732" s="6"/>
      <c r="D732" s="17"/>
      <c r="E732" s="18"/>
      <c r="F732" s="17"/>
      <c r="G732" s="17"/>
      <c r="H732" s="17"/>
      <c r="I732" s="17"/>
      <c r="J732" s="17"/>
      <c r="K732" s="17"/>
      <c r="L732" s="17"/>
      <c r="M732" s="17"/>
    </row>
    <row r="733" spans="1:13" s="2" customFormat="1" x14ac:dyDescent="0.25">
      <c r="A733" s="6"/>
      <c r="D733" s="17"/>
      <c r="E733" s="18"/>
      <c r="F733" s="17"/>
      <c r="G733" s="17"/>
      <c r="H733" s="17"/>
      <c r="I733" s="17"/>
      <c r="J733" s="17"/>
      <c r="K733" s="17"/>
      <c r="L733" s="17"/>
      <c r="M733" s="17"/>
    </row>
    <row r="734" spans="1:13" s="2" customFormat="1" x14ac:dyDescent="0.25">
      <c r="A734" s="6"/>
      <c r="D734" s="17"/>
      <c r="E734" s="18"/>
      <c r="F734" s="17"/>
      <c r="G734" s="17"/>
      <c r="H734" s="17"/>
      <c r="I734" s="17"/>
      <c r="J734" s="17"/>
      <c r="K734" s="17"/>
      <c r="L734" s="17"/>
      <c r="M734" s="17"/>
    </row>
    <row r="735" spans="1:13" s="2" customFormat="1" x14ac:dyDescent="0.25">
      <c r="A735" s="6"/>
      <c r="D735" s="17"/>
      <c r="E735" s="18"/>
      <c r="F735" s="17"/>
      <c r="G735" s="17"/>
      <c r="H735" s="17"/>
      <c r="I735" s="17"/>
      <c r="J735" s="17"/>
      <c r="K735" s="17"/>
      <c r="L735" s="17"/>
      <c r="M735" s="17"/>
    </row>
    <row r="736" spans="1:13" s="2" customFormat="1" x14ac:dyDescent="0.25">
      <c r="A736" s="6"/>
      <c r="D736" s="17"/>
      <c r="E736" s="18"/>
      <c r="F736" s="17"/>
      <c r="G736" s="17"/>
      <c r="H736" s="17"/>
      <c r="I736" s="17"/>
      <c r="J736" s="17"/>
      <c r="K736" s="17"/>
      <c r="L736" s="17"/>
      <c r="M736" s="17"/>
    </row>
    <row r="737" spans="1:13" s="2" customFormat="1" x14ac:dyDescent="0.25">
      <c r="A737" s="6"/>
      <c r="D737" s="17"/>
      <c r="E737" s="18"/>
      <c r="F737" s="17"/>
      <c r="G737" s="17"/>
      <c r="H737" s="17"/>
      <c r="I737" s="17"/>
      <c r="J737" s="17"/>
      <c r="K737" s="17"/>
      <c r="L737" s="17"/>
      <c r="M737" s="17"/>
    </row>
    <row r="738" spans="1:13" s="2" customFormat="1" x14ac:dyDescent="0.25">
      <c r="A738" s="6"/>
      <c r="D738" s="17"/>
      <c r="E738" s="18"/>
      <c r="F738" s="17"/>
      <c r="G738" s="17"/>
      <c r="H738" s="17"/>
      <c r="I738" s="17"/>
      <c r="J738" s="17"/>
      <c r="K738" s="17"/>
      <c r="L738" s="17"/>
      <c r="M738" s="17"/>
    </row>
    <row r="739" spans="1:13" s="2" customFormat="1" x14ac:dyDescent="0.25">
      <c r="A739" s="6"/>
      <c r="D739" s="17"/>
      <c r="E739" s="18"/>
      <c r="F739" s="17"/>
      <c r="G739" s="17"/>
      <c r="H739" s="17"/>
      <c r="I739" s="17"/>
      <c r="J739" s="17"/>
      <c r="K739" s="17"/>
      <c r="L739" s="17"/>
      <c r="M739" s="17"/>
    </row>
    <row r="740" spans="1:13" s="2" customFormat="1" x14ac:dyDescent="0.25">
      <c r="A740" s="6"/>
      <c r="D740" s="17"/>
      <c r="E740" s="18"/>
      <c r="F740" s="17"/>
      <c r="G740" s="17"/>
      <c r="H740" s="17"/>
      <c r="I740" s="17"/>
      <c r="J740" s="17"/>
      <c r="K740" s="17"/>
      <c r="L740" s="17"/>
      <c r="M740" s="17"/>
    </row>
    <row r="741" spans="1:13" s="2" customFormat="1" x14ac:dyDescent="0.25">
      <c r="A741" s="6"/>
      <c r="D741" s="17"/>
      <c r="E741" s="18"/>
      <c r="F741" s="17"/>
      <c r="G741" s="17"/>
      <c r="H741" s="17"/>
      <c r="I741" s="17"/>
      <c r="J741" s="17"/>
      <c r="K741" s="17"/>
      <c r="L741" s="17"/>
      <c r="M741" s="17"/>
    </row>
    <row r="742" spans="1:13" s="2" customFormat="1" x14ac:dyDescent="0.25">
      <c r="A742" s="6"/>
      <c r="D742" s="17"/>
      <c r="E742" s="18"/>
      <c r="F742" s="17"/>
      <c r="G742" s="17"/>
      <c r="H742" s="17"/>
      <c r="I742" s="17"/>
      <c r="J742" s="17"/>
      <c r="K742" s="17"/>
      <c r="L742" s="17"/>
      <c r="M742" s="17"/>
    </row>
    <row r="743" spans="1:13" s="2" customFormat="1" x14ac:dyDescent="0.25">
      <c r="A743" s="6"/>
      <c r="D743" s="17"/>
      <c r="E743" s="18"/>
      <c r="F743" s="17"/>
      <c r="G743" s="17"/>
      <c r="H743" s="17"/>
      <c r="I743" s="17"/>
      <c r="J743" s="17"/>
      <c r="K743" s="17"/>
      <c r="L743" s="17"/>
      <c r="M743" s="17"/>
    </row>
    <row r="744" spans="1:13" s="2" customFormat="1" x14ac:dyDescent="0.25">
      <c r="A744" s="6"/>
      <c r="D744" s="17"/>
      <c r="E744" s="18"/>
      <c r="F744" s="17"/>
      <c r="G744" s="17"/>
      <c r="H744" s="17"/>
      <c r="I744" s="17"/>
      <c r="J744" s="17"/>
      <c r="K744" s="17"/>
      <c r="L744" s="17"/>
      <c r="M744" s="17"/>
    </row>
    <row r="745" spans="1:13" s="2" customFormat="1" x14ac:dyDescent="0.25">
      <c r="A745" s="6"/>
      <c r="D745" s="17"/>
      <c r="E745" s="18"/>
      <c r="F745" s="17"/>
      <c r="G745" s="17"/>
      <c r="H745" s="17"/>
      <c r="I745" s="17"/>
      <c r="J745" s="17"/>
      <c r="K745" s="17"/>
      <c r="L745" s="17"/>
      <c r="M745" s="17"/>
    </row>
    <row r="746" spans="1:13" s="2" customFormat="1" x14ac:dyDescent="0.25">
      <c r="A746" s="6"/>
      <c r="D746" s="17"/>
      <c r="E746" s="18"/>
      <c r="F746" s="17"/>
      <c r="G746" s="17"/>
      <c r="H746" s="17"/>
      <c r="I746" s="17"/>
      <c r="J746" s="17"/>
      <c r="K746" s="17"/>
      <c r="L746" s="17"/>
      <c r="M746" s="17"/>
    </row>
    <row r="747" spans="1:13" s="2" customFormat="1" x14ac:dyDescent="0.25">
      <c r="A747" s="6"/>
      <c r="D747" s="17"/>
      <c r="E747" s="18"/>
      <c r="F747" s="17"/>
      <c r="G747" s="17"/>
      <c r="H747" s="17"/>
      <c r="I747" s="17"/>
      <c r="J747" s="17"/>
      <c r="K747" s="17"/>
      <c r="L747" s="17"/>
      <c r="M747" s="17"/>
    </row>
    <row r="748" spans="1:13" s="2" customFormat="1" x14ac:dyDescent="0.25">
      <c r="A748" s="6"/>
      <c r="D748" s="17"/>
      <c r="E748" s="18"/>
      <c r="F748" s="17"/>
      <c r="G748" s="17"/>
      <c r="H748" s="17"/>
      <c r="I748" s="17"/>
      <c r="J748" s="17"/>
      <c r="K748" s="17"/>
      <c r="L748" s="17"/>
      <c r="M748" s="17"/>
    </row>
    <row r="749" spans="1:13" s="2" customFormat="1" x14ac:dyDescent="0.25">
      <c r="A749" s="6"/>
      <c r="D749" s="17"/>
      <c r="E749" s="18"/>
      <c r="F749" s="17"/>
      <c r="G749" s="17"/>
      <c r="H749" s="17"/>
      <c r="I749" s="17"/>
      <c r="J749" s="17"/>
      <c r="K749" s="17"/>
      <c r="L749" s="17"/>
      <c r="M749" s="17"/>
    </row>
    <row r="750" spans="1:13" s="2" customFormat="1" x14ac:dyDescent="0.25">
      <c r="A750" s="6"/>
      <c r="D750" s="17"/>
      <c r="E750" s="18"/>
      <c r="F750" s="17"/>
      <c r="G750" s="17"/>
      <c r="H750" s="17"/>
      <c r="I750" s="17"/>
      <c r="J750" s="17"/>
      <c r="K750" s="17"/>
      <c r="L750" s="17"/>
      <c r="M750" s="17"/>
    </row>
    <row r="751" spans="1:13" s="2" customFormat="1" x14ac:dyDescent="0.25">
      <c r="A751" s="6"/>
      <c r="D751" s="17"/>
      <c r="E751" s="18"/>
      <c r="F751" s="17"/>
      <c r="G751" s="17"/>
      <c r="H751" s="17"/>
      <c r="I751" s="17"/>
      <c r="J751" s="17"/>
      <c r="K751" s="17"/>
      <c r="L751" s="17"/>
      <c r="M751" s="17"/>
    </row>
    <row r="752" spans="1:13" s="2" customFormat="1" x14ac:dyDescent="0.25">
      <c r="A752" s="6"/>
      <c r="D752" s="17"/>
      <c r="E752" s="18"/>
      <c r="F752" s="17"/>
      <c r="G752" s="17"/>
      <c r="H752" s="17"/>
      <c r="I752" s="17"/>
      <c r="J752" s="17"/>
      <c r="K752" s="17"/>
      <c r="L752" s="17"/>
      <c r="M752" s="17"/>
    </row>
    <row r="753" spans="1:13" s="2" customFormat="1" x14ac:dyDescent="0.25">
      <c r="A753" s="6"/>
      <c r="D753" s="17"/>
      <c r="E753" s="18"/>
      <c r="F753" s="17"/>
      <c r="G753" s="17"/>
      <c r="H753" s="17"/>
      <c r="I753" s="17"/>
      <c r="J753" s="17"/>
      <c r="K753" s="17"/>
      <c r="L753" s="17"/>
      <c r="M753" s="17"/>
    </row>
    <row r="754" spans="1:13" s="2" customFormat="1" x14ac:dyDescent="0.25">
      <c r="A754" s="6"/>
      <c r="D754" s="17"/>
      <c r="E754" s="18"/>
      <c r="F754" s="17"/>
      <c r="G754" s="17"/>
      <c r="H754" s="17"/>
      <c r="I754" s="17"/>
      <c r="J754" s="17"/>
      <c r="K754" s="17"/>
      <c r="L754" s="17"/>
      <c r="M754" s="17"/>
    </row>
    <row r="755" spans="1:13" s="2" customFormat="1" x14ac:dyDescent="0.25">
      <c r="A755" s="6"/>
      <c r="D755" s="17"/>
      <c r="E755" s="18"/>
      <c r="F755" s="17"/>
      <c r="G755" s="17"/>
      <c r="H755" s="17"/>
      <c r="I755" s="17"/>
      <c r="J755" s="17"/>
      <c r="K755" s="17"/>
      <c r="L755" s="17"/>
      <c r="M755" s="17"/>
    </row>
    <row r="756" spans="1:13" s="2" customFormat="1" x14ac:dyDescent="0.25">
      <c r="A756" s="6"/>
      <c r="D756" s="17"/>
      <c r="E756" s="18"/>
      <c r="F756" s="17"/>
      <c r="G756" s="17"/>
      <c r="H756" s="17"/>
      <c r="I756" s="17"/>
      <c r="J756" s="17"/>
      <c r="K756" s="17"/>
      <c r="L756" s="17"/>
      <c r="M756" s="17"/>
    </row>
    <row r="757" spans="1:13" s="2" customFormat="1" x14ac:dyDescent="0.25">
      <c r="A757" s="6"/>
      <c r="D757" s="17"/>
      <c r="E757" s="18"/>
      <c r="F757" s="17"/>
      <c r="G757" s="17"/>
      <c r="H757" s="17"/>
      <c r="I757" s="17"/>
      <c r="J757" s="17"/>
      <c r="K757" s="17"/>
      <c r="L757" s="17"/>
      <c r="M757" s="17"/>
    </row>
    <row r="758" spans="1:13" s="2" customFormat="1" x14ac:dyDescent="0.25">
      <c r="A758" s="6"/>
      <c r="D758" s="17"/>
      <c r="E758" s="18"/>
      <c r="F758" s="17"/>
      <c r="G758" s="17"/>
      <c r="H758" s="17"/>
      <c r="I758" s="17"/>
      <c r="J758" s="17"/>
      <c r="K758" s="17"/>
      <c r="L758" s="17"/>
      <c r="M758" s="17"/>
    </row>
    <row r="759" spans="1:13" s="2" customFormat="1" x14ac:dyDescent="0.25">
      <c r="A759" s="6"/>
      <c r="D759" s="17"/>
      <c r="E759" s="18"/>
      <c r="F759" s="17"/>
      <c r="G759" s="17"/>
      <c r="H759" s="17"/>
      <c r="I759" s="17"/>
      <c r="J759" s="17"/>
      <c r="K759" s="17"/>
      <c r="L759" s="17"/>
      <c r="M759" s="17"/>
    </row>
    <row r="760" spans="1:13" s="2" customFormat="1" x14ac:dyDescent="0.25">
      <c r="A760" s="6"/>
      <c r="D760" s="17"/>
      <c r="E760" s="18"/>
      <c r="F760" s="17"/>
      <c r="G760" s="17"/>
      <c r="H760" s="17"/>
      <c r="I760" s="17"/>
      <c r="J760" s="17"/>
      <c r="K760" s="17"/>
      <c r="L760" s="17"/>
      <c r="M760" s="17"/>
    </row>
    <row r="761" spans="1:13" s="2" customFormat="1" x14ac:dyDescent="0.25">
      <c r="A761" s="6"/>
      <c r="D761" s="17"/>
      <c r="E761" s="18"/>
      <c r="F761" s="17"/>
      <c r="G761" s="17"/>
      <c r="H761" s="17"/>
      <c r="I761" s="17"/>
      <c r="J761" s="17"/>
      <c r="K761" s="17"/>
      <c r="L761" s="17"/>
      <c r="M761" s="17"/>
    </row>
    <row r="762" spans="1:13" s="2" customFormat="1" x14ac:dyDescent="0.25">
      <c r="A762" s="6"/>
      <c r="D762" s="17"/>
      <c r="E762" s="18"/>
      <c r="F762" s="17"/>
      <c r="G762" s="17"/>
      <c r="H762" s="17"/>
      <c r="I762" s="17"/>
      <c r="J762" s="17"/>
      <c r="K762" s="17"/>
      <c r="L762" s="17"/>
      <c r="M762" s="17"/>
    </row>
    <row r="763" spans="1:13" s="2" customFormat="1" x14ac:dyDescent="0.25">
      <c r="A763" s="6"/>
      <c r="D763" s="17"/>
      <c r="E763" s="18"/>
      <c r="F763" s="17"/>
      <c r="G763" s="17"/>
      <c r="H763" s="17"/>
      <c r="I763" s="17"/>
      <c r="J763" s="17"/>
      <c r="K763" s="17"/>
      <c r="L763" s="17"/>
      <c r="M763" s="17"/>
    </row>
    <row r="764" spans="1:13" s="2" customFormat="1" x14ac:dyDescent="0.25">
      <c r="A764" s="6"/>
      <c r="D764" s="17"/>
      <c r="E764" s="18"/>
      <c r="F764" s="17"/>
      <c r="G764" s="17"/>
      <c r="H764" s="17"/>
      <c r="I764" s="17"/>
      <c r="J764" s="17"/>
      <c r="K764" s="17"/>
      <c r="L764" s="17"/>
      <c r="M764" s="17"/>
    </row>
    <row r="765" spans="1:13" s="2" customFormat="1" x14ac:dyDescent="0.25">
      <c r="A765" s="6"/>
      <c r="D765" s="17"/>
      <c r="E765" s="18"/>
      <c r="F765" s="17"/>
      <c r="G765" s="17"/>
      <c r="H765" s="17"/>
      <c r="I765" s="17"/>
      <c r="J765" s="17"/>
      <c r="K765" s="17"/>
      <c r="L765" s="17"/>
      <c r="M765" s="17"/>
    </row>
    <row r="766" spans="1:13" s="2" customFormat="1" x14ac:dyDescent="0.25">
      <c r="A766" s="6"/>
      <c r="D766" s="17"/>
      <c r="E766" s="18"/>
      <c r="F766" s="17"/>
      <c r="G766" s="17"/>
      <c r="H766" s="17"/>
      <c r="I766" s="17"/>
      <c r="J766" s="17"/>
      <c r="K766" s="17"/>
      <c r="L766" s="17"/>
      <c r="M766" s="17"/>
    </row>
    <row r="767" spans="1:13" s="2" customFormat="1" x14ac:dyDescent="0.25">
      <c r="A767" s="6"/>
      <c r="D767" s="17"/>
      <c r="E767" s="18"/>
      <c r="F767" s="17"/>
      <c r="G767" s="17"/>
      <c r="H767" s="17"/>
      <c r="I767" s="17"/>
      <c r="J767" s="17"/>
      <c r="K767" s="17"/>
      <c r="L767" s="17"/>
      <c r="M767" s="17"/>
    </row>
    <row r="768" spans="1:13" s="2" customFormat="1" x14ac:dyDescent="0.25">
      <c r="A768" s="6"/>
      <c r="D768" s="17"/>
      <c r="E768" s="18"/>
      <c r="F768" s="17"/>
      <c r="G768" s="17"/>
      <c r="H768" s="17"/>
      <c r="I768" s="17"/>
      <c r="J768" s="17"/>
      <c r="K768" s="17"/>
      <c r="L768" s="17"/>
      <c r="M768" s="17"/>
    </row>
    <row r="769" spans="1:13" s="2" customFormat="1" x14ac:dyDescent="0.25">
      <c r="A769" s="6"/>
      <c r="D769" s="17"/>
      <c r="E769" s="18"/>
      <c r="F769" s="17"/>
      <c r="G769" s="17"/>
      <c r="H769" s="17"/>
      <c r="I769" s="17"/>
      <c r="J769" s="17"/>
      <c r="K769" s="17"/>
      <c r="L769" s="17"/>
      <c r="M769" s="17"/>
    </row>
    <row r="770" spans="1:13" s="2" customFormat="1" x14ac:dyDescent="0.25">
      <c r="A770" s="6"/>
      <c r="D770" s="17"/>
      <c r="E770" s="18"/>
      <c r="F770" s="17"/>
      <c r="G770" s="17"/>
      <c r="H770" s="17"/>
      <c r="I770" s="17"/>
      <c r="J770" s="17"/>
      <c r="K770" s="17"/>
      <c r="L770" s="17"/>
      <c r="M770" s="17"/>
    </row>
    <row r="771" spans="1:13" s="2" customFormat="1" x14ac:dyDescent="0.25">
      <c r="A771" s="6"/>
      <c r="D771" s="17"/>
      <c r="E771" s="18"/>
      <c r="F771" s="17"/>
      <c r="G771" s="17"/>
      <c r="H771" s="17"/>
      <c r="I771" s="17"/>
      <c r="J771" s="17"/>
      <c r="K771" s="17"/>
      <c r="L771" s="17"/>
      <c r="M771" s="17"/>
    </row>
    <row r="772" spans="1:13" s="2" customFormat="1" x14ac:dyDescent="0.25">
      <c r="A772" s="6"/>
      <c r="D772" s="17"/>
      <c r="E772" s="18"/>
      <c r="F772" s="17"/>
      <c r="G772" s="17"/>
      <c r="H772" s="17"/>
      <c r="I772" s="17"/>
      <c r="J772" s="17"/>
      <c r="K772" s="17"/>
      <c r="L772" s="17"/>
      <c r="M772" s="17"/>
    </row>
    <row r="773" spans="1:13" s="2" customFormat="1" x14ac:dyDescent="0.25">
      <c r="A773" s="6"/>
      <c r="D773" s="17"/>
      <c r="E773" s="18"/>
      <c r="F773" s="17"/>
      <c r="G773" s="17"/>
      <c r="H773" s="17"/>
      <c r="I773" s="17"/>
      <c r="J773" s="17"/>
      <c r="K773" s="17"/>
      <c r="L773" s="17"/>
      <c r="M773" s="17"/>
    </row>
    <row r="774" spans="1:13" s="2" customFormat="1" x14ac:dyDescent="0.25">
      <c r="A774" s="6"/>
      <c r="D774" s="17"/>
      <c r="E774" s="18"/>
      <c r="F774" s="17"/>
      <c r="G774" s="17"/>
      <c r="H774" s="17"/>
      <c r="I774" s="17"/>
      <c r="J774" s="17"/>
      <c r="K774" s="17"/>
      <c r="L774" s="17"/>
      <c r="M774" s="17"/>
    </row>
    <row r="775" spans="1:13" s="2" customFormat="1" x14ac:dyDescent="0.25">
      <c r="A775" s="6"/>
      <c r="D775" s="17"/>
      <c r="E775" s="18"/>
      <c r="F775" s="17"/>
      <c r="G775" s="17"/>
      <c r="H775" s="17"/>
      <c r="I775" s="17"/>
      <c r="J775" s="17"/>
      <c r="K775" s="17"/>
      <c r="L775" s="17"/>
      <c r="M775" s="17"/>
    </row>
    <row r="776" spans="1:13" s="2" customFormat="1" x14ac:dyDescent="0.25">
      <c r="A776" s="6"/>
      <c r="D776" s="17"/>
      <c r="E776" s="18"/>
      <c r="F776" s="17"/>
      <c r="G776" s="17"/>
      <c r="H776" s="17"/>
      <c r="I776" s="17"/>
      <c r="J776" s="17"/>
      <c r="K776" s="17"/>
      <c r="L776" s="17"/>
      <c r="M776" s="17"/>
    </row>
    <row r="777" spans="1:13" s="2" customFormat="1" x14ac:dyDescent="0.25">
      <c r="A777" s="6"/>
      <c r="D777" s="17"/>
      <c r="E777" s="18"/>
      <c r="F777" s="17"/>
      <c r="G777" s="17"/>
      <c r="H777" s="17"/>
      <c r="I777" s="17"/>
      <c r="J777" s="17"/>
      <c r="K777" s="17"/>
      <c r="L777" s="17"/>
      <c r="M777" s="17"/>
    </row>
    <row r="778" spans="1:13" s="2" customFormat="1" x14ac:dyDescent="0.25">
      <c r="A778" s="6"/>
      <c r="D778" s="17"/>
      <c r="E778" s="18"/>
      <c r="F778" s="17"/>
      <c r="G778" s="17"/>
      <c r="H778" s="17"/>
      <c r="I778" s="17"/>
      <c r="J778" s="17"/>
      <c r="K778" s="17"/>
      <c r="L778" s="17"/>
      <c r="M778" s="17"/>
    </row>
    <row r="779" spans="1:13" s="2" customFormat="1" x14ac:dyDescent="0.25">
      <c r="A779" s="6"/>
      <c r="D779" s="17"/>
      <c r="E779" s="18"/>
      <c r="F779" s="17"/>
      <c r="G779" s="17"/>
      <c r="H779" s="17"/>
      <c r="I779" s="17"/>
      <c r="J779" s="17"/>
      <c r="K779" s="17"/>
      <c r="L779" s="17"/>
      <c r="M779" s="17"/>
    </row>
    <row r="780" spans="1:13" s="2" customFormat="1" x14ac:dyDescent="0.25">
      <c r="A780" s="6"/>
      <c r="D780" s="17"/>
      <c r="E780" s="18"/>
      <c r="F780" s="17"/>
      <c r="G780" s="17"/>
      <c r="H780" s="17"/>
      <c r="I780" s="17"/>
      <c r="J780" s="17"/>
      <c r="K780" s="17"/>
      <c r="L780" s="17"/>
      <c r="M780" s="17"/>
    </row>
    <row r="781" spans="1:13" s="2" customFormat="1" x14ac:dyDescent="0.25">
      <c r="A781" s="6"/>
      <c r="D781" s="17"/>
      <c r="E781" s="18"/>
      <c r="F781" s="17"/>
      <c r="G781" s="17"/>
      <c r="H781" s="17"/>
      <c r="I781" s="17"/>
      <c r="J781" s="17"/>
      <c r="K781" s="17"/>
      <c r="L781" s="17"/>
      <c r="M781" s="17"/>
    </row>
    <row r="782" spans="1:13" s="2" customFormat="1" x14ac:dyDescent="0.25">
      <c r="A782" s="6"/>
      <c r="D782" s="17"/>
      <c r="E782" s="18"/>
      <c r="F782" s="17"/>
      <c r="G782" s="17"/>
      <c r="H782" s="17"/>
      <c r="I782" s="17"/>
      <c r="J782" s="17"/>
      <c r="K782" s="17"/>
      <c r="L782" s="17"/>
      <c r="M782" s="17"/>
    </row>
    <row r="783" spans="1:13" s="2" customFormat="1" x14ac:dyDescent="0.25">
      <c r="A783" s="6"/>
      <c r="D783" s="17"/>
      <c r="E783" s="18"/>
      <c r="F783" s="17"/>
      <c r="G783" s="17"/>
      <c r="H783" s="17"/>
      <c r="I783" s="17"/>
      <c r="J783" s="17"/>
      <c r="K783" s="17"/>
      <c r="L783" s="17"/>
      <c r="M783" s="17"/>
    </row>
    <row r="784" spans="1:13" s="2" customFormat="1" x14ac:dyDescent="0.25">
      <c r="A784" s="6"/>
      <c r="D784" s="17"/>
      <c r="E784" s="18"/>
      <c r="F784" s="17"/>
      <c r="G784" s="17"/>
      <c r="H784" s="17"/>
      <c r="I784" s="17"/>
      <c r="J784" s="17"/>
      <c r="K784" s="17"/>
      <c r="L784" s="17"/>
      <c r="M784" s="17"/>
    </row>
    <row r="785" spans="1:13" s="2" customFormat="1" x14ac:dyDescent="0.25">
      <c r="A785" s="6"/>
      <c r="D785" s="17"/>
      <c r="E785" s="18"/>
      <c r="F785" s="17"/>
      <c r="G785" s="17"/>
      <c r="H785" s="17"/>
      <c r="I785" s="17"/>
      <c r="J785" s="17"/>
      <c r="K785" s="17"/>
      <c r="L785" s="17"/>
      <c r="M785" s="17"/>
    </row>
    <row r="786" spans="1:13" s="2" customFormat="1" x14ac:dyDescent="0.25">
      <c r="A786" s="6"/>
      <c r="D786" s="17"/>
      <c r="E786" s="18"/>
      <c r="F786" s="17"/>
      <c r="G786" s="17"/>
      <c r="H786" s="17"/>
      <c r="I786" s="17"/>
      <c r="J786" s="17"/>
      <c r="K786" s="17"/>
      <c r="L786" s="17"/>
      <c r="M786" s="17"/>
    </row>
    <row r="787" spans="1:13" s="2" customFormat="1" x14ac:dyDescent="0.25">
      <c r="A787" s="6"/>
      <c r="D787" s="17"/>
      <c r="E787" s="18"/>
      <c r="F787" s="17"/>
      <c r="G787" s="17"/>
      <c r="H787" s="17"/>
      <c r="I787" s="17"/>
      <c r="J787" s="17"/>
      <c r="K787" s="17"/>
      <c r="L787" s="17"/>
      <c r="M787" s="17"/>
    </row>
    <row r="788" spans="1:13" s="2" customFormat="1" x14ac:dyDescent="0.25">
      <c r="A788" s="6"/>
      <c r="D788" s="17"/>
      <c r="E788" s="18"/>
      <c r="F788" s="17"/>
      <c r="G788" s="17"/>
      <c r="H788" s="17"/>
      <c r="I788" s="17"/>
      <c r="J788" s="17"/>
      <c r="K788" s="17"/>
      <c r="L788" s="17"/>
      <c r="M788" s="17"/>
    </row>
    <row r="789" spans="1:13" s="2" customFormat="1" x14ac:dyDescent="0.25">
      <c r="A789" s="6"/>
      <c r="D789" s="17"/>
      <c r="E789" s="18"/>
      <c r="F789" s="17"/>
      <c r="G789" s="17"/>
      <c r="H789" s="17"/>
      <c r="I789" s="17"/>
      <c r="J789" s="17"/>
      <c r="K789" s="17"/>
      <c r="L789" s="17"/>
      <c r="M789" s="17"/>
    </row>
    <row r="790" spans="1:13" s="2" customFormat="1" x14ac:dyDescent="0.25">
      <c r="A790" s="6"/>
      <c r="D790" s="17"/>
      <c r="E790" s="18"/>
      <c r="F790" s="17"/>
      <c r="G790" s="17"/>
      <c r="H790" s="17"/>
      <c r="I790" s="17"/>
      <c r="J790" s="17"/>
      <c r="K790" s="17"/>
      <c r="L790" s="17"/>
      <c r="M790" s="17"/>
    </row>
    <row r="791" spans="1:13" s="2" customFormat="1" x14ac:dyDescent="0.25">
      <c r="A791" s="6"/>
      <c r="D791" s="17"/>
      <c r="E791" s="18"/>
      <c r="F791" s="17"/>
      <c r="G791" s="17"/>
      <c r="H791" s="17"/>
      <c r="I791" s="17"/>
      <c r="J791" s="17"/>
      <c r="K791" s="17"/>
      <c r="L791" s="17"/>
      <c r="M791" s="17"/>
    </row>
    <row r="792" spans="1:13" s="2" customFormat="1" x14ac:dyDescent="0.25">
      <c r="A792" s="6"/>
      <c r="D792" s="17"/>
      <c r="E792" s="18"/>
      <c r="F792" s="17"/>
      <c r="G792" s="17"/>
      <c r="H792" s="17"/>
      <c r="I792" s="17"/>
      <c r="J792" s="17"/>
      <c r="K792" s="17"/>
      <c r="L792" s="17"/>
      <c r="M792" s="17"/>
    </row>
    <row r="793" spans="1:13" s="2" customFormat="1" x14ac:dyDescent="0.25">
      <c r="A793" s="6"/>
      <c r="D793" s="17"/>
      <c r="E793" s="18"/>
      <c r="F793" s="17"/>
      <c r="G793" s="17"/>
      <c r="H793" s="17"/>
      <c r="I793" s="17"/>
      <c r="J793" s="17"/>
      <c r="K793" s="17"/>
      <c r="L793" s="17"/>
      <c r="M793" s="17"/>
    </row>
    <row r="794" spans="1:13" s="2" customFormat="1" x14ac:dyDescent="0.25">
      <c r="A794" s="6"/>
      <c r="D794" s="17"/>
      <c r="E794" s="18"/>
      <c r="F794" s="17"/>
      <c r="G794" s="17"/>
      <c r="H794" s="17"/>
      <c r="I794" s="17"/>
      <c r="J794" s="17"/>
      <c r="K794" s="17"/>
      <c r="L794" s="17"/>
      <c r="M794" s="17"/>
    </row>
    <row r="795" spans="1:13" s="2" customFormat="1" x14ac:dyDescent="0.25">
      <c r="A795" s="6"/>
      <c r="D795" s="17"/>
      <c r="E795" s="18"/>
      <c r="F795" s="17"/>
      <c r="G795" s="17"/>
      <c r="H795" s="17"/>
      <c r="I795" s="17"/>
      <c r="J795" s="17"/>
      <c r="K795" s="17"/>
      <c r="L795" s="17"/>
      <c r="M795" s="17"/>
    </row>
    <row r="796" spans="1:13" s="2" customFormat="1" x14ac:dyDescent="0.25">
      <c r="A796" s="6"/>
      <c r="D796" s="17"/>
      <c r="E796" s="18"/>
      <c r="F796" s="17"/>
      <c r="G796" s="17"/>
      <c r="H796" s="17"/>
      <c r="I796" s="17"/>
      <c r="J796" s="17"/>
      <c r="K796" s="17"/>
      <c r="L796" s="17"/>
      <c r="M796" s="17"/>
    </row>
    <row r="797" spans="1:13" s="2" customFormat="1" x14ac:dyDescent="0.25">
      <c r="A797" s="6"/>
      <c r="D797" s="17"/>
      <c r="E797" s="18"/>
      <c r="F797" s="17"/>
      <c r="G797" s="17"/>
      <c r="H797" s="17"/>
      <c r="I797" s="17"/>
      <c r="J797" s="17"/>
      <c r="K797" s="17"/>
      <c r="L797" s="17"/>
      <c r="M797" s="17"/>
    </row>
    <row r="798" spans="1:13" s="2" customFormat="1" x14ac:dyDescent="0.25">
      <c r="A798" s="6"/>
      <c r="D798" s="17"/>
      <c r="E798" s="18"/>
      <c r="F798" s="17"/>
      <c r="G798" s="17"/>
      <c r="H798" s="17"/>
      <c r="I798" s="17"/>
      <c r="J798" s="17"/>
      <c r="K798" s="17"/>
      <c r="L798" s="17"/>
      <c r="M798" s="17"/>
    </row>
    <row r="799" spans="1:13" s="2" customFormat="1" x14ac:dyDescent="0.25">
      <c r="A799" s="6"/>
      <c r="D799" s="17"/>
      <c r="E799" s="18"/>
      <c r="F799" s="17"/>
      <c r="G799" s="17"/>
      <c r="H799" s="17"/>
      <c r="I799" s="17"/>
      <c r="J799" s="17"/>
      <c r="K799" s="17"/>
      <c r="L799" s="17"/>
      <c r="M799" s="17"/>
    </row>
    <row r="800" spans="1:13" s="2" customFormat="1" x14ac:dyDescent="0.25">
      <c r="A800" s="6"/>
      <c r="D800" s="17"/>
      <c r="E800" s="18"/>
      <c r="F800" s="17"/>
      <c r="G800" s="17"/>
      <c r="H800" s="17"/>
      <c r="I800" s="17"/>
      <c r="J800" s="17"/>
      <c r="K800" s="17"/>
      <c r="L800" s="17"/>
      <c r="M800" s="17"/>
    </row>
    <row r="801" spans="1:13" s="2" customFormat="1" x14ac:dyDescent="0.25">
      <c r="A801" s="6"/>
      <c r="D801" s="17"/>
      <c r="E801" s="18"/>
      <c r="F801" s="17"/>
      <c r="G801" s="17"/>
      <c r="H801" s="17"/>
      <c r="I801" s="17"/>
      <c r="J801" s="17"/>
      <c r="K801" s="17"/>
      <c r="L801" s="17"/>
      <c r="M801" s="17"/>
    </row>
    <row r="802" spans="1:13" s="2" customFormat="1" x14ac:dyDescent="0.25">
      <c r="A802" s="6"/>
      <c r="D802" s="17"/>
      <c r="E802" s="18"/>
      <c r="F802" s="17"/>
      <c r="G802" s="17"/>
      <c r="H802" s="17"/>
      <c r="I802" s="17"/>
      <c r="J802" s="17"/>
      <c r="K802" s="17"/>
      <c r="L802" s="17"/>
      <c r="M802" s="17"/>
    </row>
    <row r="803" spans="1:13" s="2" customFormat="1" x14ac:dyDescent="0.25">
      <c r="A803" s="6"/>
      <c r="D803" s="17"/>
      <c r="E803" s="18"/>
      <c r="F803" s="17"/>
      <c r="G803" s="17"/>
      <c r="H803" s="17"/>
      <c r="I803" s="17"/>
      <c r="J803" s="17"/>
      <c r="K803" s="17"/>
      <c r="L803" s="17"/>
      <c r="M803" s="17"/>
    </row>
    <row r="804" spans="1:13" s="2" customFormat="1" x14ac:dyDescent="0.25">
      <c r="A804" s="6"/>
      <c r="D804" s="17"/>
      <c r="E804" s="18"/>
      <c r="F804" s="17"/>
      <c r="G804" s="17"/>
      <c r="H804" s="17"/>
      <c r="I804" s="17"/>
      <c r="J804" s="17"/>
      <c r="K804" s="17"/>
      <c r="L804" s="17"/>
      <c r="M804" s="17"/>
    </row>
    <row r="805" spans="1:13" s="2" customFormat="1" x14ac:dyDescent="0.25">
      <c r="A805" s="6"/>
      <c r="D805" s="17"/>
      <c r="E805" s="18"/>
      <c r="F805" s="17"/>
      <c r="G805" s="17"/>
      <c r="H805" s="17"/>
      <c r="I805" s="17"/>
      <c r="J805" s="17"/>
      <c r="K805" s="17"/>
      <c r="L805" s="17"/>
      <c r="M805" s="17"/>
    </row>
    <row r="806" spans="1:13" s="2" customFormat="1" x14ac:dyDescent="0.25">
      <c r="A806" s="6"/>
      <c r="D806" s="17"/>
      <c r="E806" s="18"/>
      <c r="F806" s="17"/>
      <c r="G806" s="17"/>
      <c r="H806" s="17"/>
      <c r="I806" s="17"/>
      <c r="J806" s="17"/>
      <c r="K806" s="17"/>
      <c r="L806" s="17"/>
      <c r="M806" s="17"/>
    </row>
    <row r="807" spans="1:13" s="2" customFormat="1" x14ac:dyDescent="0.25">
      <c r="A807" s="6"/>
      <c r="D807" s="17"/>
      <c r="E807" s="18"/>
      <c r="F807" s="17"/>
      <c r="G807" s="17"/>
      <c r="H807" s="17"/>
      <c r="I807" s="17"/>
      <c r="J807" s="17"/>
      <c r="K807" s="17"/>
      <c r="L807" s="17"/>
      <c r="M807" s="17"/>
    </row>
    <row r="808" spans="1:13" s="2" customFormat="1" x14ac:dyDescent="0.25">
      <c r="A808" s="6"/>
      <c r="D808" s="17"/>
      <c r="E808" s="18"/>
      <c r="F808" s="17"/>
      <c r="G808" s="17"/>
      <c r="H808" s="17"/>
      <c r="I808" s="17"/>
      <c r="J808" s="17"/>
      <c r="K808" s="17"/>
      <c r="L808" s="17"/>
      <c r="M808" s="17"/>
    </row>
    <row r="809" spans="1:13" s="2" customFormat="1" x14ac:dyDescent="0.25">
      <c r="A809" s="6"/>
      <c r="D809" s="17"/>
      <c r="E809" s="18"/>
      <c r="F809" s="17"/>
      <c r="G809" s="17"/>
      <c r="H809" s="17"/>
      <c r="I809" s="17"/>
      <c r="J809" s="17"/>
      <c r="K809" s="17"/>
      <c r="L809" s="17"/>
      <c r="M809" s="17"/>
    </row>
    <row r="810" spans="1:13" s="2" customFormat="1" x14ac:dyDescent="0.25">
      <c r="A810" s="6"/>
      <c r="D810" s="17"/>
      <c r="E810" s="18"/>
      <c r="F810" s="17"/>
      <c r="G810" s="17"/>
      <c r="H810" s="17"/>
      <c r="I810" s="17"/>
      <c r="J810" s="17"/>
      <c r="K810" s="17"/>
      <c r="L810" s="17"/>
      <c r="M810" s="17"/>
    </row>
    <row r="811" spans="1:13" s="2" customFormat="1" x14ac:dyDescent="0.25">
      <c r="A811" s="6"/>
      <c r="D811" s="17"/>
      <c r="E811" s="18"/>
      <c r="F811" s="17"/>
      <c r="G811" s="17"/>
      <c r="H811" s="17"/>
      <c r="I811" s="17"/>
      <c r="J811" s="17"/>
      <c r="K811" s="17"/>
      <c r="L811" s="17"/>
      <c r="M811" s="17"/>
    </row>
    <row r="812" spans="1:13" s="2" customFormat="1" x14ac:dyDescent="0.25">
      <c r="A812" s="6"/>
      <c r="D812" s="17"/>
      <c r="E812" s="18"/>
      <c r="F812" s="17"/>
      <c r="G812" s="17"/>
      <c r="H812" s="17"/>
      <c r="I812" s="17"/>
      <c r="J812" s="17"/>
      <c r="K812" s="17"/>
      <c r="L812" s="17"/>
      <c r="M812" s="17"/>
    </row>
    <row r="813" spans="1:13" s="2" customFormat="1" x14ac:dyDescent="0.25">
      <c r="A813" s="6"/>
      <c r="D813" s="17"/>
      <c r="E813" s="18"/>
      <c r="F813" s="17"/>
      <c r="G813" s="17"/>
      <c r="H813" s="17"/>
      <c r="I813" s="17"/>
      <c r="J813" s="17"/>
      <c r="K813" s="17"/>
      <c r="L813" s="17"/>
      <c r="M813" s="17"/>
    </row>
    <row r="814" spans="1:13" s="2" customFormat="1" x14ac:dyDescent="0.25">
      <c r="A814" s="6"/>
      <c r="D814" s="17"/>
      <c r="E814" s="18"/>
      <c r="F814" s="17"/>
      <c r="G814" s="17"/>
      <c r="H814" s="17"/>
      <c r="I814" s="17"/>
      <c r="J814" s="17"/>
      <c r="K814" s="17"/>
      <c r="L814" s="17"/>
      <c r="M814" s="17"/>
    </row>
    <row r="815" spans="1:13" s="2" customFormat="1" x14ac:dyDescent="0.25">
      <c r="A815" s="6"/>
      <c r="D815" s="17"/>
      <c r="E815" s="18"/>
      <c r="F815" s="17"/>
      <c r="G815" s="17"/>
      <c r="H815" s="17"/>
      <c r="I815" s="17"/>
      <c r="J815" s="17"/>
      <c r="K815" s="17"/>
      <c r="L815" s="17"/>
      <c r="M815" s="17"/>
    </row>
    <row r="816" spans="1:13" s="2" customFormat="1" x14ac:dyDescent="0.25">
      <c r="A816" s="6"/>
      <c r="D816" s="17"/>
      <c r="E816" s="18"/>
      <c r="F816" s="17"/>
      <c r="G816" s="17"/>
      <c r="H816" s="17"/>
      <c r="I816" s="17"/>
      <c r="J816" s="17"/>
      <c r="K816" s="17"/>
      <c r="L816" s="17"/>
      <c r="M816" s="17"/>
    </row>
    <row r="817" spans="1:13" s="2" customFormat="1" x14ac:dyDescent="0.25">
      <c r="A817" s="6"/>
      <c r="D817" s="17"/>
      <c r="E817" s="18"/>
      <c r="F817" s="17"/>
      <c r="G817" s="17"/>
      <c r="H817" s="17"/>
      <c r="I817" s="17"/>
      <c r="J817" s="17"/>
      <c r="K817" s="17"/>
      <c r="L817" s="17"/>
      <c r="M817" s="17"/>
    </row>
    <row r="818" spans="1:13" s="2" customFormat="1" x14ac:dyDescent="0.25">
      <c r="A818" s="6"/>
      <c r="D818" s="17"/>
      <c r="E818" s="18"/>
      <c r="F818" s="17"/>
      <c r="G818" s="17"/>
      <c r="H818" s="17"/>
      <c r="I818" s="17"/>
      <c r="J818" s="17"/>
      <c r="K818" s="17"/>
      <c r="L818" s="17"/>
      <c r="M818" s="17"/>
    </row>
    <row r="819" spans="1:13" s="2" customFormat="1" x14ac:dyDescent="0.25">
      <c r="A819" s="6"/>
      <c r="D819" s="17"/>
      <c r="E819" s="18"/>
      <c r="F819" s="17"/>
      <c r="G819" s="17"/>
      <c r="H819" s="17"/>
      <c r="I819" s="17"/>
      <c r="J819" s="17"/>
      <c r="K819" s="17"/>
      <c r="L819" s="17"/>
      <c r="M819" s="17"/>
    </row>
    <row r="820" spans="1:13" s="2" customFormat="1" x14ac:dyDescent="0.25">
      <c r="A820" s="6"/>
      <c r="D820" s="17"/>
      <c r="E820" s="18"/>
      <c r="F820" s="17"/>
      <c r="G820" s="17"/>
      <c r="H820" s="17"/>
      <c r="I820" s="17"/>
      <c r="J820" s="17"/>
      <c r="K820" s="17"/>
      <c r="L820" s="17"/>
      <c r="M820" s="17"/>
    </row>
    <row r="821" spans="1:13" s="2" customFormat="1" x14ac:dyDescent="0.25">
      <c r="A821" s="6"/>
      <c r="D821" s="17"/>
      <c r="E821" s="18"/>
      <c r="F821" s="17"/>
      <c r="G821" s="17"/>
      <c r="H821" s="17"/>
      <c r="I821" s="17"/>
      <c r="J821" s="17"/>
      <c r="K821" s="17"/>
      <c r="L821" s="17"/>
      <c r="M821" s="17"/>
    </row>
    <row r="822" spans="1:13" s="2" customFormat="1" x14ac:dyDescent="0.25">
      <c r="A822" s="6"/>
      <c r="D822" s="17"/>
      <c r="E822" s="18"/>
      <c r="F822" s="17"/>
      <c r="G822" s="17"/>
      <c r="H822" s="17"/>
      <c r="I822" s="17"/>
      <c r="J822" s="17"/>
      <c r="K822" s="17"/>
      <c r="L822" s="17"/>
      <c r="M822" s="17"/>
    </row>
    <row r="823" spans="1:13" s="2" customFormat="1" x14ac:dyDescent="0.25">
      <c r="A823" s="6"/>
      <c r="D823" s="17"/>
      <c r="E823" s="18"/>
      <c r="F823" s="17"/>
      <c r="G823" s="17"/>
      <c r="H823" s="17"/>
      <c r="I823" s="17"/>
      <c r="J823" s="17"/>
      <c r="K823" s="17"/>
      <c r="L823" s="17"/>
      <c r="M823" s="17"/>
    </row>
    <row r="824" spans="1:13" s="2" customFormat="1" x14ac:dyDescent="0.25">
      <c r="A824" s="6"/>
      <c r="D824" s="17"/>
      <c r="E824" s="18"/>
      <c r="F824" s="17"/>
      <c r="G824" s="17"/>
      <c r="H824" s="17"/>
      <c r="I824" s="17"/>
      <c r="J824" s="17"/>
      <c r="K824" s="17"/>
      <c r="L824" s="17"/>
      <c r="M824" s="17"/>
    </row>
    <row r="825" spans="1:13" s="2" customFormat="1" x14ac:dyDescent="0.25">
      <c r="A825" s="6"/>
      <c r="D825" s="17"/>
      <c r="E825" s="18"/>
      <c r="F825" s="17"/>
      <c r="G825" s="17"/>
      <c r="H825" s="17"/>
      <c r="I825" s="17"/>
      <c r="J825" s="17"/>
      <c r="K825" s="17"/>
      <c r="L825" s="17"/>
      <c r="M825" s="17"/>
    </row>
    <row r="826" spans="1:13" s="2" customFormat="1" x14ac:dyDescent="0.25">
      <c r="A826" s="6"/>
      <c r="D826" s="17"/>
      <c r="E826" s="18"/>
      <c r="F826" s="17"/>
      <c r="G826" s="17"/>
      <c r="H826" s="17"/>
      <c r="I826" s="17"/>
      <c r="J826" s="17"/>
      <c r="K826" s="17"/>
      <c r="L826" s="17"/>
      <c r="M826" s="17"/>
    </row>
    <row r="827" spans="1:13" s="2" customFormat="1" x14ac:dyDescent="0.25">
      <c r="A827" s="6"/>
      <c r="D827" s="17"/>
      <c r="E827" s="18"/>
      <c r="F827" s="17"/>
      <c r="G827" s="17"/>
      <c r="H827" s="17"/>
      <c r="I827" s="17"/>
      <c r="J827" s="17"/>
      <c r="K827" s="17"/>
      <c r="L827" s="17"/>
      <c r="M827" s="17"/>
    </row>
    <row r="828" spans="1:13" s="2" customFormat="1" x14ac:dyDescent="0.25">
      <c r="A828" s="6"/>
      <c r="D828" s="17"/>
      <c r="E828" s="18"/>
      <c r="F828" s="17"/>
      <c r="G828" s="17"/>
      <c r="H828" s="17"/>
      <c r="I828" s="17"/>
      <c r="J828" s="17"/>
      <c r="K828" s="17"/>
      <c r="L828" s="17"/>
      <c r="M828" s="17"/>
    </row>
    <row r="829" spans="1:13" s="2" customFormat="1" x14ac:dyDescent="0.25">
      <c r="A829" s="6"/>
      <c r="D829" s="17"/>
      <c r="E829" s="18"/>
      <c r="F829" s="17"/>
      <c r="G829" s="17"/>
      <c r="H829" s="17"/>
      <c r="I829" s="17"/>
      <c r="J829" s="17"/>
      <c r="K829" s="17"/>
      <c r="L829" s="17"/>
      <c r="M829" s="17"/>
    </row>
    <row r="830" spans="1:13" s="2" customFormat="1" x14ac:dyDescent="0.25">
      <c r="A830" s="6"/>
      <c r="D830" s="17"/>
      <c r="E830" s="18"/>
      <c r="F830" s="17"/>
      <c r="G830" s="17"/>
      <c r="H830" s="17"/>
      <c r="I830" s="17"/>
      <c r="J830" s="17"/>
      <c r="K830" s="17"/>
      <c r="L830" s="17"/>
      <c r="M830" s="17"/>
    </row>
    <row r="831" spans="1:13" s="2" customFormat="1" x14ac:dyDescent="0.25">
      <c r="A831" s="6"/>
      <c r="D831" s="17"/>
      <c r="E831" s="18"/>
      <c r="F831" s="17"/>
      <c r="G831" s="17"/>
      <c r="H831" s="17"/>
      <c r="I831" s="17"/>
      <c r="J831" s="17"/>
      <c r="K831" s="17"/>
      <c r="L831" s="17"/>
      <c r="M831" s="17"/>
    </row>
    <row r="832" spans="1:13" s="2" customFormat="1" x14ac:dyDescent="0.25">
      <c r="A832" s="6"/>
      <c r="D832" s="17"/>
      <c r="E832" s="18"/>
      <c r="F832" s="17"/>
      <c r="G832" s="17"/>
      <c r="H832" s="17"/>
      <c r="I832" s="17"/>
      <c r="J832" s="17"/>
      <c r="K832" s="17"/>
      <c r="L832" s="17"/>
      <c r="M832" s="17"/>
    </row>
    <row r="833" spans="1:13" s="2" customFormat="1" x14ac:dyDescent="0.25">
      <c r="A833" s="6"/>
      <c r="D833" s="17"/>
      <c r="E833" s="18"/>
      <c r="F833" s="17"/>
      <c r="G833" s="17"/>
      <c r="H833" s="17"/>
      <c r="I833" s="17"/>
      <c r="J833" s="17"/>
      <c r="K833" s="17"/>
      <c r="L833" s="17"/>
      <c r="M833" s="17"/>
    </row>
    <row r="834" spans="1:13" s="2" customFormat="1" x14ac:dyDescent="0.25">
      <c r="A834" s="6"/>
      <c r="D834" s="17"/>
      <c r="E834" s="18"/>
      <c r="F834" s="17"/>
      <c r="G834" s="17"/>
      <c r="H834" s="17"/>
      <c r="I834" s="17"/>
      <c r="J834" s="17"/>
      <c r="K834" s="17"/>
      <c r="L834" s="17"/>
      <c r="M834" s="17"/>
    </row>
    <row r="835" spans="1:13" s="2" customFormat="1" x14ac:dyDescent="0.25">
      <c r="A835" s="6"/>
      <c r="D835" s="17"/>
      <c r="E835" s="18"/>
      <c r="F835" s="17"/>
      <c r="G835" s="17"/>
      <c r="H835" s="17"/>
      <c r="I835" s="17"/>
      <c r="J835" s="17"/>
      <c r="K835" s="17"/>
      <c r="L835" s="17"/>
      <c r="M835" s="17"/>
    </row>
    <row r="836" spans="1:13" s="2" customFormat="1" x14ac:dyDescent="0.25">
      <c r="A836" s="6"/>
      <c r="D836" s="17"/>
      <c r="E836" s="18"/>
      <c r="F836" s="17"/>
      <c r="G836" s="17"/>
      <c r="H836" s="17"/>
      <c r="I836" s="17"/>
      <c r="J836" s="17"/>
      <c r="K836" s="17"/>
      <c r="L836" s="17"/>
      <c r="M836" s="17"/>
    </row>
    <row r="837" spans="1:13" s="2" customFormat="1" x14ac:dyDescent="0.25">
      <c r="A837" s="6"/>
      <c r="D837" s="17"/>
      <c r="E837" s="18"/>
      <c r="F837" s="17"/>
      <c r="G837" s="17"/>
      <c r="H837" s="17"/>
      <c r="I837" s="17"/>
      <c r="J837" s="17"/>
      <c r="K837" s="17"/>
      <c r="L837" s="17"/>
      <c r="M837" s="17"/>
    </row>
    <row r="838" spans="1:13" s="2" customFormat="1" x14ac:dyDescent="0.25">
      <c r="A838" s="6"/>
      <c r="D838" s="17"/>
      <c r="E838" s="18"/>
      <c r="F838" s="17"/>
      <c r="G838" s="17"/>
      <c r="H838" s="17"/>
      <c r="I838" s="17"/>
      <c r="J838" s="17"/>
      <c r="K838" s="17"/>
      <c r="L838" s="17"/>
      <c r="M838" s="17"/>
    </row>
    <row r="839" spans="1:13" s="2" customFormat="1" x14ac:dyDescent="0.25">
      <c r="A839" s="6"/>
      <c r="D839" s="17"/>
      <c r="E839" s="18"/>
      <c r="F839" s="17"/>
      <c r="G839" s="17"/>
      <c r="H839" s="17"/>
      <c r="I839" s="17"/>
      <c r="J839" s="17"/>
      <c r="K839" s="17"/>
      <c r="L839" s="17"/>
      <c r="M839" s="17"/>
    </row>
    <row r="840" spans="1:13" s="2" customFormat="1" x14ac:dyDescent="0.25">
      <c r="A840" s="6"/>
      <c r="D840" s="17"/>
      <c r="E840" s="18"/>
      <c r="F840" s="17"/>
      <c r="G840" s="17"/>
      <c r="H840" s="17"/>
      <c r="I840" s="17"/>
      <c r="J840" s="17"/>
      <c r="K840" s="17"/>
      <c r="L840" s="17"/>
      <c r="M840" s="17"/>
    </row>
    <row r="841" spans="1:13" s="2" customFormat="1" x14ac:dyDescent="0.25">
      <c r="A841" s="6"/>
      <c r="D841" s="17"/>
      <c r="E841" s="18"/>
      <c r="F841" s="17"/>
      <c r="G841" s="17"/>
      <c r="H841" s="17"/>
      <c r="I841" s="17"/>
      <c r="J841" s="17"/>
      <c r="K841" s="17"/>
      <c r="L841" s="17"/>
      <c r="M841" s="17"/>
    </row>
    <row r="842" spans="1:13" s="2" customFormat="1" x14ac:dyDescent="0.25">
      <c r="A842" s="6"/>
      <c r="D842" s="17"/>
      <c r="E842" s="18"/>
      <c r="F842" s="17"/>
      <c r="G842" s="17"/>
      <c r="H842" s="17"/>
      <c r="I842" s="17"/>
      <c r="J842" s="17"/>
      <c r="K842" s="17"/>
      <c r="L842" s="17"/>
      <c r="M842" s="17"/>
    </row>
    <row r="843" spans="1:13" s="2" customFormat="1" x14ac:dyDescent="0.25">
      <c r="A843" s="6"/>
      <c r="D843" s="17"/>
      <c r="E843" s="18"/>
      <c r="F843" s="17"/>
      <c r="G843" s="17"/>
      <c r="H843" s="17"/>
      <c r="I843" s="17"/>
      <c r="J843" s="17"/>
      <c r="K843" s="17"/>
      <c r="L843" s="17"/>
      <c r="M843" s="17"/>
    </row>
    <row r="844" spans="1:13" s="2" customFormat="1" x14ac:dyDescent="0.25">
      <c r="A844" s="6"/>
      <c r="D844" s="17"/>
      <c r="E844" s="18"/>
      <c r="F844" s="17"/>
      <c r="G844" s="17"/>
      <c r="H844" s="17"/>
      <c r="I844" s="17"/>
      <c r="J844" s="17"/>
      <c r="K844" s="17"/>
      <c r="L844" s="17"/>
      <c r="M844" s="17"/>
    </row>
    <row r="845" spans="1:13" s="2" customFormat="1" x14ac:dyDescent="0.25">
      <c r="A845" s="6"/>
      <c r="D845" s="17"/>
      <c r="E845" s="18"/>
      <c r="F845" s="17"/>
      <c r="G845" s="17"/>
      <c r="H845" s="17"/>
      <c r="I845" s="17"/>
      <c r="J845" s="17"/>
      <c r="K845" s="17"/>
      <c r="L845" s="17"/>
      <c r="M845" s="17"/>
    </row>
    <row r="846" spans="1:13" s="2" customFormat="1" x14ac:dyDescent="0.25">
      <c r="A846" s="6"/>
      <c r="D846" s="17"/>
      <c r="E846" s="18"/>
      <c r="F846" s="17"/>
      <c r="G846" s="17"/>
      <c r="H846" s="17"/>
      <c r="I846" s="17"/>
      <c r="J846" s="17"/>
      <c r="K846" s="17"/>
      <c r="L846" s="17"/>
      <c r="M846" s="17"/>
    </row>
    <row r="847" spans="1:13" s="2" customFormat="1" x14ac:dyDescent="0.25">
      <c r="A847" s="6"/>
      <c r="D847" s="17"/>
      <c r="E847" s="18"/>
      <c r="F847" s="17"/>
      <c r="G847" s="17"/>
      <c r="H847" s="17"/>
      <c r="I847" s="17"/>
      <c r="J847" s="17"/>
      <c r="K847" s="17"/>
      <c r="L847" s="17"/>
      <c r="M847" s="17"/>
    </row>
    <row r="848" spans="1:13" s="2" customFormat="1" x14ac:dyDescent="0.25">
      <c r="A848" s="6"/>
      <c r="D848" s="17"/>
      <c r="E848" s="18"/>
      <c r="F848" s="17"/>
      <c r="G848" s="17"/>
      <c r="H848" s="17"/>
      <c r="I848" s="17"/>
      <c r="J848" s="17"/>
      <c r="K848" s="17"/>
      <c r="L848" s="17"/>
      <c r="M848" s="17"/>
    </row>
    <row r="849" spans="1:13" s="2" customFormat="1" x14ac:dyDescent="0.25">
      <c r="A849" s="6"/>
      <c r="D849" s="17"/>
      <c r="E849" s="18"/>
      <c r="F849" s="17"/>
      <c r="G849" s="17"/>
      <c r="H849" s="17"/>
      <c r="I849" s="17"/>
      <c r="J849" s="17"/>
      <c r="K849" s="17"/>
      <c r="L849" s="17"/>
      <c r="M849" s="17"/>
    </row>
    <row r="850" spans="1:13" s="2" customFormat="1" x14ac:dyDescent="0.25">
      <c r="A850" s="6"/>
      <c r="D850" s="17"/>
      <c r="E850" s="18"/>
      <c r="F850" s="17"/>
      <c r="G850" s="17"/>
      <c r="H850" s="17"/>
      <c r="I850" s="17"/>
      <c r="J850" s="17"/>
      <c r="K850" s="17"/>
      <c r="L850" s="17"/>
      <c r="M850" s="17"/>
    </row>
    <row r="851" spans="1:13" s="2" customFormat="1" x14ac:dyDescent="0.25">
      <c r="A851" s="6"/>
      <c r="D851" s="17"/>
      <c r="E851" s="18"/>
      <c r="F851" s="17"/>
      <c r="G851" s="17"/>
      <c r="H851" s="17"/>
      <c r="I851" s="17"/>
      <c r="J851" s="17"/>
      <c r="K851" s="17"/>
      <c r="L851" s="17"/>
      <c r="M851" s="17"/>
    </row>
    <row r="852" spans="1:13" s="2" customFormat="1" x14ac:dyDescent="0.25">
      <c r="A852" s="6"/>
      <c r="D852" s="17"/>
      <c r="E852" s="18"/>
      <c r="F852" s="17"/>
      <c r="G852" s="17"/>
      <c r="H852" s="17"/>
      <c r="I852" s="17"/>
      <c r="J852" s="17"/>
      <c r="K852" s="17"/>
      <c r="L852" s="17"/>
      <c r="M852" s="17"/>
    </row>
    <row r="853" spans="1:13" s="2" customFormat="1" x14ac:dyDescent="0.25">
      <c r="A853" s="6"/>
      <c r="D853" s="17"/>
      <c r="E853" s="18"/>
      <c r="F853" s="17"/>
      <c r="G853" s="17"/>
      <c r="H853" s="17"/>
      <c r="I853" s="17"/>
      <c r="J853" s="17"/>
      <c r="K853" s="17"/>
      <c r="L853" s="17"/>
      <c r="M853" s="17"/>
    </row>
    <row r="854" spans="1:13" s="2" customFormat="1" x14ac:dyDescent="0.25">
      <c r="A854" s="6"/>
      <c r="D854" s="17"/>
      <c r="E854" s="18"/>
      <c r="F854" s="17"/>
      <c r="G854" s="17"/>
      <c r="H854" s="17"/>
      <c r="I854" s="17"/>
      <c r="J854" s="17"/>
      <c r="K854" s="17"/>
      <c r="L854" s="17"/>
      <c r="M854" s="17"/>
    </row>
    <row r="855" spans="1:13" s="2" customFormat="1" x14ac:dyDescent="0.25">
      <c r="A855" s="6"/>
      <c r="D855" s="17"/>
      <c r="E855" s="18"/>
      <c r="F855" s="17"/>
      <c r="G855" s="17"/>
      <c r="H855" s="17"/>
      <c r="I855" s="17"/>
      <c r="J855" s="17"/>
      <c r="K855" s="17"/>
      <c r="L855" s="17"/>
      <c r="M855" s="17"/>
    </row>
    <row r="856" spans="1:13" s="2" customFormat="1" x14ac:dyDescent="0.25">
      <c r="A856" s="6"/>
      <c r="D856" s="17"/>
      <c r="E856" s="18"/>
      <c r="F856" s="17"/>
      <c r="G856" s="17"/>
      <c r="H856" s="17"/>
      <c r="I856" s="17"/>
      <c r="J856" s="17"/>
      <c r="K856" s="17"/>
      <c r="L856" s="17"/>
      <c r="M856" s="17"/>
    </row>
    <row r="857" spans="1:13" s="2" customFormat="1" x14ac:dyDescent="0.25">
      <c r="A857" s="6"/>
      <c r="D857" s="17"/>
      <c r="E857" s="18"/>
      <c r="F857" s="17"/>
      <c r="G857" s="17"/>
      <c r="H857" s="17"/>
      <c r="I857" s="17"/>
      <c r="J857" s="17"/>
      <c r="K857" s="17"/>
      <c r="L857" s="17"/>
      <c r="M857" s="17"/>
    </row>
    <row r="858" spans="1:13" s="2" customFormat="1" x14ac:dyDescent="0.25">
      <c r="A858" s="6"/>
      <c r="D858" s="17"/>
      <c r="E858" s="18"/>
      <c r="F858" s="17"/>
      <c r="G858" s="17"/>
      <c r="H858" s="17"/>
      <c r="I858" s="17"/>
      <c r="J858" s="17"/>
      <c r="K858" s="17"/>
      <c r="L858" s="17"/>
      <c r="M858" s="17"/>
    </row>
    <row r="859" spans="1:13" s="2" customFormat="1" x14ac:dyDescent="0.25">
      <c r="A859" s="6"/>
      <c r="D859" s="17"/>
      <c r="E859" s="18"/>
      <c r="F859" s="17"/>
      <c r="G859" s="17"/>
      <c r="H859" s="17"/>
      <c r="I859" s="17"/>
      <c r="J859" s="17"/>
      <c r="K859" s="17"/>
      <c r="L859" s="17"/>
      <c r="M859" s="17"/>
    </row>
    <row r="860" spans="1:13" s="2" customFormat="1" x14ac:dyDescent="0.25">
      <c r="A860" s="6"/>
      <c r="D860" s="17"/>
      <c r="E860" s="18"/>
      <c r="F860" s="17"/>
      <c r="G860" s="17"/>
      <c r="H860" s="17"/>
      <c r="I860" s="17"/>
      <c r="J860" s="17"/>
      <c r="K860" s="17"/>
      <c r="L860" s="17"/>
      <c r="M860" s="17"/>
    </row>
    <row r="861" spans="1:13" s="2" customFormat="1" x14ac:dyDescent="0.25">
      <c r="A861" s="6"/>
      <c r="D861" s="17"/>
      <c r="E861" s="18"/>
      <c r="F861" s="17"/>
      <c r="G861" s="17"/>
      <c r="H861" s="17"/>
      <c r="I861" s="17"/>
      <c r="J861" s="17"/>
      <c r="K861" s="17"/>
      <c r="L861" s="17"/>
      <c r="M861" s="17"/>
    </row>
    <row r="862" spans="1:13" s="2" customFormat="1" x14ac:dyDescent="0.25">
      <c r="A862" s="6"/>
      <c r="D862" s="17"/>
      <c r="E862" s="18"/>
      <c r="F862" s="17"/>
      <c r="G862" s="17"/>
      <c r="H862" s="17"/>
      <c r="I862" s="17"/>
      <c r="J862" s="17"/>
      <c r="K862" s="17"/>
      <c r="L862" s="17"/>
      <c r="M862" s="17"/>
    </row>
    <row r="863" spans="1:13" s="2" customFormat="1" x14ac:dyDescent="0.25">
      <c r="A863" s="6"/>
      <c r="D863" s="17"/>
      <c r="E863" s="18"/>
      <c r="F863" s="17"/>
      <c r="G863" s="17"/>
      <c r="H863" s="17"/>
      <c r="I863" s="17"/>
      <c r="J863" s="17"/>
      <c r="K863" s="17"/>
      <c r="L863" s="17"/>
      <c r="M863" s="17"/>
    </row>
    <row r="864" spans="1:13" s="2" customFormat="1" x14ac:dyDescent="0.25">
      <c r="A864" s="6"/>
      <c r="D864" s="17"/>
      <c r="E864" s="18"/>
      <c r="F864" s="17"/>
      <c r="G864" s="17"/>
      <c r="H864" s="17"/>
      <c r="I864" s="17"/>
      <c r="J864" s="17"/>
      <c r="K864" s="17"/>
      <c r="L864" s="17"/>
      <c r="M864" s="17"/>
    </row>
    <row r="865" spans="1:13" s="2" customFormat="1" x14ac:dyDescent="0.25">
      <c r="A865" s="6"/>
      <c r="D865" s="17"/>
      <c r="E865" s="18"/>
      <c r="F865" s="17"/>
      <c r="G865" s="17"/>
      <c r="H865" s="17"/>
      <c r="I865" s="17"/>
      <c r="J865" s="17"/>
      <c r="K865" s="17"/>
      <c r="L865" s="17"/>
      <c r="M865" s="17"/>
    </row>
    <row r="866" spans="1:13" s="2" customFormat="1" x14ac:dyDescent="0.25">
      <c r="A866" s="6"/>
      <c r="D866" s="17"/>
      <c r="E866" s="18"/>
      <c r="F866" s="17"/>
      <c r="G866" s="17"/>
      <c r="H866" s="17"/>
      <c r="I866" s="17"/>
      <c r="J866" s="17"/>
      <c r="K866" s="17"/>
      <c r="L866" s="17"/>
      <c r="M866" s="17"/>
    </row>
    <row r="867" spans="1:13" s="2" customFormat="1" x14ac:dyDescent="0.25">
      <c r="A867" s="6"/>
      <c r="D867" s="17"/>
      <c r="E867" s="18"/>
      <c r="F867" s="17"/>
      <c r="G867" s="17"/>
      <c r="H867" s="17"/>
      <c r="I867" s="17"/>
      <c r="J867" s="17"/>
      <c r="K867" s="17"/>
      <c r="L867" s="17"/>
      <c r="M867" s="17"/>
    </row>
    <row r="868" spans="1:13" s="2" customFormat="1" x14ac:dyDescent="0.25">
      <c r="A868" s="6"/>
      <c r="D868" s="17"/>
      <c r="E868" s="18"/>
      <c r="F868" s="17"/>
      <c r="G868" s="17"/>
      <c r="H868" s="17"/>
      <c r="I868" s="17"/>
      <c r="J868" s="17"/>
      <c r="K868" s="17"/>
      <c r="L868" s="17"/>
      <c r="M868" s="17"/>
    </row>
    <row r="869" spans="1:13" s="2" customFormat="1" x14ac:dyDescent="0.25">
      <c r="A869" s="6"/>
      <c r="D869" s="17"/>
      <c r="E869" s="18"/>
      <c r="F869" s="17"/>
      <c r="G869" s="17"/>
      <c r="H869" s="17"/>
      <c r="I869" s="17"/>
      <c r="J869" s="17"/>
      <c r="K869" s="17"/>
      <c r="L869" s="17"/>
      <c r="M869" s="17"/>
    </row>
    <row r="870" spans="1:13" s="2" customFormat="1" x14ac:dyDescent="0.25">
      <c r="A870" s="6"/>
      <c r="D870" s="17"/>
      <c r="E870" s="18"/>
      <c r="F870" s="17"/>
      <c r="G870" s="17"/>
      <c r="H870" s="17"/>
      <c r="I870" s="17"/>
      <c r="J870" s="17"/>
      <c r="K870" s="17"/>
      <c r="L870" s="17"/>
      <c r="M870" s="17"/>
    </row>
    <row r="871" spans="1:13" s="2" customFormat="1" x14ac:dyDescent="0.25">
      <c r="A871" s="6"/>
      <c r="D871" s="17"/>
      <c r="E871" s="18"/>
      <c r="F871" s="17"/>
      <c r="G871" s="17"/>
      <c r="H871" s="17"/>
      <c r="I871" s="17"/>
      <c r="J871" s="17"/>
      <c r="K871" s="17"/>
      <c r="L871" s="17"/>
      <c r="M871" s="17"/>
    </row>
    <row r="872" spans="1:13" s="2" customFormat="1" x14ac:dyDescent="0.25">
      <c r="A872" s="6"/>
      <c r="D872" s="17"/>
      <c r="E872" s="18"/>
      <c r="F872" s="17"/>
      <c r="G872" s="17"/>
      <c r="H872" s="17"/>
      <c r="I872" s="17"/>
      <c r="J872" s="17"/>
      <c r="K872" s="17"/>
      <c r="L872" s="17"/>
      <c r="M872" s="17"/>
    </row>
    <row r="873" spans="1:13" s="2" customFormat="1" x14ac:dyDescent="0.25">
      <c r="A873" s="6"/>
      <c r="D873" s="17"/>
      <c r="E873" s="18"/>
      <c r="F873" s="17"/>
      <c r="G873" s="17"/>
      <c r="H873" s="17"/>
      <c r="I873" s="17"/>
      <c r="J873" s="17"/>
      <c r="K873" s="17"/>
      <c r="L873" s="17"/>
      <c r="M873" s="17"/>
    </row>
    <row r="874" spans="1:13" s="2" customFormat="1" x14ac:dyDescent="0.25">
      <c r="A874" s="6"/>
      <c r="D874" s="17"/>
      <c r="E874" s="18"/>
      <c r="F874" s="17"/>
      <c r="G874" s="17"/>
      <c r="H874" s="17"/>
      <c r="I874" s="17"/>
      <c r="J874" s="17"/>
      <c r="K874" s="17"/>
      <c r="L874" s="17"/>
      <c r="M874" s="17"/>
    </row>
    <row r="875" spans="1:13" s="2" customFormat="1" x14ac:dyDescent="0.25">
      <c r="A875" s="6"/>
      <c r="D875" s="17"/>
      <c r="E875" s="18"/>
      <c r="F875" s="17"/>
      <c r="G875" s="17"/>
      <c r="H875" s="17"/>
      <c r="I875" s="17"/>
      <c r="J875" s="17"/>
      <c r="K875" s="17"/>
      <c r="L875" s="17"/>
      <c r="M875" s="17"/>
    </row>
    <row r="876" spans="1:13" s="2" customFormat="1" x14ac:dyDescent="0.25">
      <c r="A876" s="6"/>
      <c r="D876" s="17"/>
      <c r="E876" s="18"/>
      <c r="F876" s="17"/>
      <c r="G876" s="17"/>
      <c r="H876" s="17"/>
      <c r="I876" s="17"/>
      <c r="J876" s="17"/>
      <c r="K876" s="17"/>
      <c r="L876" s="17"/>
      <c r="M876" s="17"/>
    </row>
    <row r="877" spans="1:13" s="2" customFormat="1" x14ac:dyDescent="0.25">
      <c r="A877" s="6"/>
      <c r="D877" s="17"/>
      <c r="E877" s="18"/>
      <c r="F877" s="17"/>
      <c r="G877" s="17"/>
      <c r="H877" s="17"/>
      <c r="I877" s="17"/>
      <c r="J877" s="17"/>
      <c r="K877" s="17"/>
      <c r="L877" s="17"/>
      <c r="M877" s="17"/>
    </row>
    <row r="878" spans="1:13" s="2" customFormat="1" x14ac:dyDescent="0.25">
      <c r="A878" s="6"/>
      <c r="D878" s="17"/>
      <c r="E878" s="18"/>
      <c r="F878" s="17"/>
      <c r="G878" s="17"/>
      <c r="H878" s="17"/>
      <c r="I878" s="17"/>
      <c r="J878" s="17"/>
      <c r="K878" s="17"/>
      <c r="L878" s="17"/>
      <c r="M878" s="17"/>
    </row>
    <row r="879" spans="1:13" s="2" customFormat="1" x14ac:dyDescent="0.25">
      <c r="A879" s="6"/>
      <c r="D879" s="17"/>
      <c r="E879" s="18"/>
      <c r="F879" s="17"/>
      <c r="G879" s="17"/>
      <c r="H879" s="17"/>
      <c r="I879" s="17"/>
      <c r="J879" s="17"/>
      <c r="K879" s="17"/>
      <c r="L879" s="17"/>
      <c r="M879" s="17"/>
    </row>
    <row r="880" spans="1:13" s="2" customFormat="1" x14ac:dyDescent="0.25">
      <c r="A880" s="6"/>
      <c r="D880" s="17"/>
      <c r="E880" s="18"/>
      <c r="F880" s="17"/>
      <c r="G880" s="17"/>
      <c r="H880" s="17"/>
      <c r="I880" s="17"/>
      <c r="J880" s="17"/>
      <c r="K880" s="17"/>
      <c r="L880" s="17"/>
      <c r="M880" s="17"/>
    </row>
    <row r="881" spans="1:13" s="2" customFormat="1" x14ac:dyDescent="0.25">
      <c r="A881" s="6"/>
      <c r="D881" s="17"/>
      <c r="E881" s="18"/>
      <c r="F881" s="17"/>
      <c r="G881" s="17"/>
      <c r="H881" s="17"/>
      <c r="I881" s="17"/>
      <c r="J881" s="17"/>
      <c r="K881" s="17"/>
      <c r="L881" s="17"/>
      <c r="M881" s="17"/>
    </row>
    <row r="882" spans="1:13" s="2" customFormat="1" x14ac:dyDescent="0.25">
      <c r="A882" s="6"/>
      <c r="D882" s="17"/>
      <c r="E882" s="18"/>
      <c r="F882" s="17"/>
      <c r="G882" s="17"/>
      <c r="H882" s="17"/>
      <c r="I882" s="17"/>
      <c r="J882" s="17"/>
      <c r="K882" s="17"/>
      <c r="L882" s="17"/>
      <c r="M882" s="17"/>
    </row>
    <row r="883" spans="1:13" s="2" customFormat="1" x14ac:dyDescent="0.25">
      <c r="A883" s="6"/>
      <c r="D883" s="17"/>
      <c r="E883" s="18"/>
      <c r="F883" s="17"/>
      <c r="G883" s="17"/>
      <c r="H883" s="17"/>
      <c r="I883" s="17"/>
      <c r="J883" s="17"/>
      <c r="K883" s="17"/>
      <c r="L883" s="17"/>
      <c r="M883" s="17"/>
    </row>
    <row r="884" spans="1:13" s="2" customFormat="1" x14ac:dyDescent="0.25">
      <c r="A884" s="6"/>
      <c r="D884" s="17"/>
      <c r="E884" s="18"/>
      <c r="F884" s="17"/>
      <c r="G884" s="17"/>
      <c r="H884" s="17"/>
      <c r="I884" s="17"/>
      <c r="J884" s="17"/>
      <c r="K884" s="17"/>
      <c r="L884" s="17"/>
      <c r="M884" s="17"/>
    </row>
    <row r="885" spans="1:13" s="2" customFormat="1" x14ac:dyDescent="0.25">
      <c r="A885" s="6"/>
      <c r="D885" s="17"/>
      <c r="E885" s="18"/>
      <c r="F885" s="17"/>
      <c r="G885" s="17"/>
      <c r="H885" s="17"/>
      <c r="I885" s="17"/>
      <c r="J885" s="17"/>
      <c r="K885" s="17"/>
      <c r="L885" s="17"/>
      <c r="M885" s="17"/>
    </row>
    <row r="886" spans="1:13" s="2" customFormat="1" x14ac:dyDescent="0.25">
      <c r="A886" s="6"/>
      <c r="D886" s="17"/>
      <c r="E886" s="18"/>
      <c r="F886" s="17"/>
      <c r="G886" s="17"/>
      <c r="H886" s="17"/>
      <c r="I886" s="17"/>
      <c r="J886" s="17"/>
      <c r="K886" s="17"/>
      <c r="L886" s="17"/>
      <c r="M886" s="17"/>
    </row>
    <row r="887" spans="1:13" s="2" customFormat="1" x14ac:dyDescent="0.25">
      <c r="A887" s="6"/>
      <c r="D887" s="17"/>
      <c r="E887" s="18"/>
      <c r="F887" s="17"/>
      <c r="G887" s="17"/>
      <c r="H887" s="17"/>
      <c r="I887" s="17"/>
      <c r="J887" s="17"/>
      <c r="K887" s="17"/>
      <c r="L887" s="17"/>
      <c r="M887" s="17"/>
    </row>
    <row r="888" spans="1:13" s="2" customFormat="1" x14ac:dyDescent="0.25">
      <c r="A888" s="6"/>
      <c r="D888" s="17"/>
      <c r="E888" s="18"/>
      <c r="F888" s="17"/>
      <c r="G888" s="17"/>
      <c r="H888" s="17"/>
      <c r="I888" s="17"/>
      <c r="J888" s="17"/>
      <c r="K888" s="17"/>
      <c r="L888" s="17"/>
      <c r="M888" s="17"/>
    </row>
    <row r="889" spans="1:13" s="2" customFormat="1" x14ac:dyDescent="0.25">
      <c r="A889" s="6"/>
      <c r="D889" s="17"/>
      <c r="E889" s="18"/>
      <c r="F889" s="17"/>
      <c r="G889" s="17"/>
      <c r="H889" s="17"/>
      <c r="I889" s="17"/>
      <c r="J889" s="17"/>
      <c r="K889" s="17"/>
      <c r="L889" s="17"/>
      <c r="M889" s="17"/>
    </row>
    <row r="890" spans="1:13" s="2" customFormat="1" x14ac:dyDescent="0.25">
      <c r="A890" s="6"/>
      <c r="D890" s="17"/>
      <c r="E890" s="18"/>
      <c r="F890" s="17"/>
      <c r="G890" s="17"/>
      <c r="H890" s="17"/>
      <c r="I890" s="17"/>
      <c r="J890" s="17"/>
      <c r="K890" s="17"/>
      <c r="L890" s="17"/>
      <c r="M890" s="17"/>
    </row>
    <row r="891" spans="1:13" s="2" customFormat="1" x14ac:dyDescent="0.25">
      <c r="A891" s="6"/>
      <c r="D891" s="17"/>
      <c r="E891" s="18"/>
      <c r="F891" s="17"/>
      <c r="G891" s="17"/>
      <c r="H891" s="17"/>
      <c r="I891" s="17"/>
      <c r="J891" s="17"/>
      <c r="K891" s="17"/>
      <c r="L891" s="17"/>
      <c r="M891" s="17"/>
    </row>
    <row r="892" spans="1:13" s="2" customFormat="1" x14ac:dyDescent="0.25">
      <c r="A892" s="6"/>
      <c r="D892" s="17"/>
      <c r="E892" s="18"/>
      <c r="F892" s="17"/>
      <c r="G892" s="17"/>
      <c r="H892" s="17"/>
      <c r="I892" s="17"/>
      <c r="J892" s="17"/>
      <c r="K892" s="17"/>
      <c r="L892" s="17"/>
      <c r="M892" s="17"/>
    </row>
    <row r="893" spans="1:13" s="2" customFormat="1" x14ac:dyDescent="0.25">
      <c r="A893" s="6"/>
      <c r="D893" s="17"/>
      <c r="E893" s="18"/>
      <c r="F893" s="17"/>
      <c r="G893" s="17"/>
      <c r="H893" s="17"/>
      <c r="I893" s="17"/>
      <c r="J893" s="17"/>
      <c r="K893" s="17"/>
      <c r="L893" s="17"/>
      <c r="M893" s="17"/>
    </row>
    <row r="894" spans="1:13" s="2" customFormat="1" x14ac:dyDescent="0.25">
      <c r="A894" s="6"/>
      <c r="D894" s="17"/>
      <c r="E894" s="18"/>
      <c r="F894" s="17"/>
      <c r="G894" s="17"/>
      <c r="H894" s="17"/>
      <c r="I894" s="17"/>
      <c r="J894" s="17"/>
      <c r="K894" s="17"/>
      <c r="L894" s="17"/>
      <c r="M894" s="17"/>
    </row>
    <row r="895" spans="1:13" s="2" customFormat="1" x14ac:dyDescent="0.25">
      <c r="A895" s="6"/>
      <c r="D895" s="17"/>
      <c r="E895" s="18"/>
      <c r="F895" s="17"/>
      <c r="G895" s="17"/>
      <c r="H895" s="17"/>
      <c r="I895" s="17"/>
      <c r="J895" s="17"/>
      <c r="K895" s="17"/>
      <c r="L895" s="17"/>
      <c r="M895" s="17"/>
    </row>
    <row r="896" spans="1:13" s="2" customFormat="1" x14ac:dyDescent="0.25">
      <c r="A896" s="6"/>
      <c r="D896" s="17"/>
      <c r="E896" s="18"/>
      <c r="F896" s="17"/>
      <c r="G896" s="17"/>
      <c r="H896" s="17"/>
      <c r="I896" s="17"/>
      <c r="J896" s="17"/>
      <c r="K896" s="17"/>
      <c r="L896" s="17"/>
      <c r="M896" s="17"/>
    </row>
    <row r="897" spans="1:13" s="2" customFormat="1" x14ac:dyDescent="0.25">
      <c r="A897" s="6"/>
      <c r="D897" s="17"/>
      <c r="E897" s="18"/>
      <c r="F897" s="17"/>
      <c r="G897" s="17"/>
      <c r="H897" s="17"/>
      <c r="I897" s="17"/>
      <c r="J897" s="17"/>
      <c r="K897" s="17"/>
      <c r="L897" s="17"/>
      <c r="M897" s="17"/>
    </row>
    <row r="898" spans="1:13" s="2" customFormat="1" x14ac:dyDescent="0.25">
      <c r="A898" s="6"/>
      <c r="D898" s="17"/>
      <c r="E898" s="18"/>
      <c r="F898" s="17"/>
      <c r="G898" s="17"/>
      <c r="H898" s="17"/>
      <c r="I898" s="17"/>
      <c r="J898" s="17"/>
      <c r="K898" s="17"/>
      <c r="L898" s="17"/>
      <c r="M898" s="17"/>
    </row>
    <row r="899" spans="1:13" s="2" customFormat="1" x14ac:dyDescent="0.25">
      <c r="A899" s="6"/>
      <c r="D899" s="17"/>
      <c r="E899" s="18"/>
      <c r="F899" s="17"/>
      <c r="G899" s="17"/>
      <c r="H899" s="17"/>
      <c r="I899" s="17"/>
      <c r="J899" s="17"/>
      <c r="K899" s="17"/>
      <c r="L899" s="17"/>
      <c r="M899" s="17"/>
    </row>
    <row r="900" spans="1:13" s="2" customFormat="1" x14ac:dyDescent="0.25">
      <c r="A900" s="6"/>
      <c r="D900" s="17"/>
      <c r="E900" s="18"/>
      <c r="F900" s="17"/>
      <c r="G900" s="17"/>
      <c r="H900" s="17"/>
      <c r="I900" s="17"/>
      <c r="J900" s="17"/>
      <c r="K900" s="17"/>
      <c r="L900" s="17"/>
      <c r="M900" s="17"/>
    </row>
    <row r="901" spans="1:13" s="2" customFormat="1" x14ac:dyDescent="0.25">
      <c r="A901" s="6"/>
      <c r="D901" s="17"/>
      <c r="E901" s="18"/>
      <c r="F901" s="17"/>
      <c r="G901" s="17"/>
      <c r="H901" s="17"/>
      <c r="I901" s="17"/>
      <c r="J901" s="17"/>
      <c r="K901" s="17"/>
      <c r="L901" s="17"/>
      <c r="M901" s="17"/>
    </row>
    <row r="902" spans="1:13" s="2" customFormat="1" x14ac:dyDescent="0.25">
      <c r="A902" s="6"/>
      <c r="D902" s="17"/>
      <c r="E902" s="18"/>
      <c r="F902" s="17"/>
      <c r="G902" s="17"/>
      <c r="H902" s="17"/>
      <c r="I902" s="17"/>
      <c r="J902" s="17"/>
      <c r="K902" s="17"/>
      <c r="L902" s="17"/>
      <c r="M902" s="17"/>
    </row>
    <row r="903" spans="1:13" s="2" customFormat="1" x14ac:dyDescent="0.25">
      <c r="A903" s="6"/>
      <c r="D903" s="17"/>
      <c r="E903" s="18"/>
      <c r="F903" s="17"/>
      <c r="G903" s="17"/>
      <c r="H903" s="17"/>
      <c r="I903" s="17"/>
      <c r="J903" s="17"/>
      <c r="K903" s="17"/>
      <c r="L903" s="17"/>
      <c r="M903" s="17"/>
    </row>
    <row r="904" spans="1:13" s="2" customFormat="1" x14ac:dyDescent="0.25">
      <c r="A904" s="6"/>
      <c r="D904" s="17"/>
      <c r="E904" s="18"/>
      <c r="F904" s="17"/>
      <c r="G904" s="17"/>
      <c r="H904" s="17"/>
      <c r="I904" s="17"/>
      <c r="J904" s="17"/>
      <c r="K904" s="17"/>
      <c r="L904" s="17"/>
      <c r="M904" s="17"/>
    </row>
    <row r="905" spans="1:13" s="2" customFormat="1" x14ac:dyDescent="0.25">
      <c r="A905" s="6"/>
      <c r="D905" s="17"/>
      <c r="E905" s="18"/>
      <c r="F905" s="17"/>
      <c r="G905" s="17"/>
      <c r="H905" s="17"/>
      <c r="I905" s="17"/>
      <c r="J905" s="17"/>
      <c r="K905" s="17"/>
      <c r="L905" s="17"/>
      <c r="M905" s="17"/>
    </row>
    <row r="906" spans="1:13" s="2" customFormat="1" x14ac:dyDescent="0.25">
      <c r="A906" s="6"/>
      <c r="D906" s="17"/>
      <c r="E906" s="18"/>
      <c r="F906" s="17"/>
      <c r="G906" s="17"/>
      <c r="H906" s="17"/>
      <c r="I906" s="17"/>
      <c r="J906" s="17"/>
      <c r="K906" s="17"/>
      <c r="L906" s="17"/>
      <c r="M906" s="17"/>
    </row>
    <row r="907" spans="1:13" s="2" customFormat="1" x14ac:dyDescent="0.25">
      <c r="A907" s="6"/>
      <c r="D907" s="17"/>
      <c r="E907" s="18"/>
      <c r="F907" s="17"/>
      <c r="G907" s="17"/>
      <c r="H907" s="17"/>
      <c r="I907" s="17"/>
      <c r="J907" s="17"/>
      <c r="K907" s="17"/>
      <c r="L907" s="17"/>
      <c r="M907" s="17"/>
    </row>
    <row r="908" spans="1:13" s="2" customFormat="1" x14ac:dyDescent="0.25">
      <c r="A908" s="6"/>
      <c r="D908" s="17"/>
      <c r="E908" s="18"/>
      <c r="F908" s="17"/>
      <c r="G908" s="17"/>
      <c r="H908" s="17"/>
      <c r="I908" s="17"/>
      <c r="J908" s="17"/>
      <c r="K908" s="17"/>
      <c r="L908" s="17"/>
      <c r="M908" s="17"/>
    </row>
    <row r="909" spans="1:13" s="2" customFormat="1" x14ac:dyDescent="0.25">
      <c r="A909" s="6"/>
      <c r="D909" s="17"/>
      <c r="E909" s="18"/>
      <c r="F909" s="17"/>
      <c r="G909" s="17"/>
      <c r="H909" s="17"/>
      <c r="I909" s="17"/>
      <c r="J909" s="17"/>
      <c r="K909" s="17"/>
      <c r="L909" s="17"/>
      <c r="M909" s="17"/>
    </row>
    <row r="910" spans="1:13" s="2" customFormat="1" x14ac:dyDescent="0.25">
      <c r="A910" s="6"/>
      <c r="D910" s="17"/>
      <c r="E910" s="18"/>
      <c r="F910" s="17"/>
      <c r="G910" s="17"/>
      <c r="H910" s="17"/>
      <c r="I910" s="17"/>
      <c r="J910" s="17"/>
      <c r="K910" s="17"/>
      <c r="L910" s="17"/>
      <c r="M910" s="17"/>
    </row>
    <row r="911" spans="1:13" s="2" customFormat="1" x14ac:dyDescent="0.25">
      <c r="A911" s="6"/>
      <c r="D911" s="17"/>
      <c r="E911" s="18"/>
      <c r="F911" s="17"/>
      <c r="G911" s="17"/>
      <c r="H911" s="17"/>
      <c r="I911" s="17"/>
      <c r="J911" s="17"/>
      <c r="K911" s="17"/>
      <c r="L911" s="17"/>
      <c r="M911" s="17"/>
    </row>
    <row r="912" spans="1:13" s="2" customFormat="1" x14ac:dyDescent="0.25">
      <c r="A912" s="6"/>
      <c r="D912" s="17"/>
      <c r="E912" s="18"/>
      <c r="F912" s="17"/>
      <c r="G912" s="17"/>
      <c r="H912" s="17"/>
      <c r="I912" s="17"/>
      <c r="J912" s="17"/>
      <c r="K912" s="17"/>
      <c r="L912" s="17"/>
      <c r="M912" s="17"/>
    </row>
    <row r="913" spans="1:13" s="2" customFormat="1" x14ac:dyDescent="0.25">
      <c r="A913" s="6"/>
      <c r="D913" s="17"/>
      <c r="E913" s="18"/>
      <c r="F913" s="17"/>
      <c r="G913" s="17"/>
      <c r="H913" s="17"/>
      <c r="I913" s="17"/>
      <c r="J913" s="17"/>
      <c r="K913" s="17"/>
      <c r="L913" s="17"/>
      <c r="M913" s="17"/>
    </row>
    <row r="914" spans="1:13" s="2" customFormat="1" x14ac:dyDescent="0.25">
      <c r="A914" s="6"/>
      <c r="D914" s="17"/>
      <c r="E914" s="18"/>
      <c r="F914" s="17"/>
      <c r="G914" s="17"/>
      <c r="H914" s="17"/>
      <c r="I914" s="17"/>
      <c r="J914" s="17"/>
      <c r="K914" s="17"/>
      <c r="L914" s="17"/>
      <c r="M914" s="17"/>
    </row>
    <row r="915" spans="1:13" s="2" customFormat="1" x14ac:dyDescent="0.25">
      <c r="A915" s="6"/>
      <c r="D915" s="17"/>
      <c r="E915" s="18"/>
      <c r="F915" s="17"/>
      <c r="G915" s="17"/>
      <c r="H915" s="17"/>
      <c r="I915" s="17"/>
      <c r="J915" s="17"/>
      <c r="K915" s="17"/>
      <c r="L915" s="17"/>
      <c r="M915" s="17"/>
    </row>
    <row r="916" spans="1:13" s="2" customFormat="1" x14ac:dyDescent="0.25">
      <c r="A916" s="6"/>
      <c r="D916" s="17"/>
      <c r="E916" s="18"/>
      <c r="F916" s="17"/>
      <c r="G916" s="17"/>
      <c r="H916" s="17"/>
      <c r="I916" s="17"/>
      <c r="J916" s="17"/>
      <c r="K916" s="17"/>
      <c r="L916" s="17"/>
      <c r="M916" s="17"/>
    </row>
    <row r="917" spans="1:13" s="2" customFormat="1" x14ac:dyDescent="0.25">
      <c r="A917" s="6"/>
      <c r="D917" s="17"/>
      <c r="E917" s="18"/>
      <c r="F917" s="17"/>
      <c r="G917" s="17"/>
      <c r="H917" s="17"/>
      <c r="I917" s="17"/>
      <c r="J917" s="17"/>
      <c r="K917" s="17"/>
      <c r="L917" s="17"/>
      <c r="M917" s="17"/>
    </row>
    <row r="918" spans="1:13" s="2" customFormat="1" x14ac:dyDescent="0.25">
      <c r="A918" s="6"/>
      <c r="D918" s="17"/>
      <c r="E918" s="18"/>
      <c r="F918" s="17"/>
      <c r="G918" s="17"/>
      <c r="H918" s="17"/>
      <c r="I918" s="17"/>
      <c r="J918" s="17"/>
      <c r="K918" s="17"/>
      <c r="L918" s="17"/>
      <c r="M918" s="17"/>
    </row>
    <row r="919" spans="1:13" s="2" customFormat="1" x14ac:dyDescent="0.25">
      <c r="A919" s="6"/>
      <c r="D919" s="17"/>
      <c r="E919" s="18"/>
      <c r="F919" s="17"/>
      <c r="G919" s="17"/>
      <c r="H919" s="17"/>
      <c r="I919" s="17"/>
      <c r="J919" s="17"/>
      <c r="K919" s="17"/>
      <c r="L919" s="17"/>
      <c r="M919" s="17"/>
    </row>
    <row r="920" spans="1:13" s="2" customFormat="1" x14ac:dyDescent="0.25">
      <c r="A920" s="6"/>
      <c r="D920" s="17"/>
      <c r="E920" s="18"/>
      <c r="F920" s="17"/>
      <c r="G920" s="17"/>
      <c r="H920" s="17"/>
      <c r="I920" s="17"/>
      <c r="J920" s="17"/>
      <c r="K920" s="17"/>
      <c r="L920" s="17"/>
      <c r="M920" s="17"/>
    </row>
    <row r="921" spans="1:13" s="2" customFormat="1" x14ac:dyDescent="0.25">
      <c r="A921" s="6"/>
      <c r="D921" s="17"/>
      <c r="E921" s="18"/>
      <c r="F921" s="17"/>
      <c r="G921" s="17"/>
      <c r="H921" s="17"/>
      <c r="I921" s="17"/>
      <c r="J921" s="17"/>
      <c r="K921" s="17"/>
      <c r="L921" s="17"/>
      <c r="M921" s="17"/>
    </row>
    <row r="922" spans="1:13" s="2" customFormat="1" x14ac:dyDescent="0.25">
      <c r="A922" s="6"/>
      <c r="D922" s="17"/>
      <c r="E922" s="18"/>
      <c r="F922" s="17"/>
      <c r="G922" s="17"/>
      <c r="H922" s="17"/>
      <c r="I922" s="17"/>
      <c r="J922" s="17"/>
      <c r="K922" s="17"/>
      <c r="L922" s="17"/>
      <c r="M922" s="17"/>
    </row>
    <row r="923" spans="1:13" s="2" customFormat="1" x14ac:dyDescent="0.25">
      <c r="A923" s="6"/>
      <c r="D923" s="17"/>
      <c r="E923" s="18"/>
      <c r="F923" s="17"/>
      <c r="G923" s="17"/>
      <c r="H923" s="17"/>
      <c r="I923" s="17"/>
      <c r="J923" s="17"/>
      <c r="K923" s="17"/>
      <c r="L923" s="17"/>
      <c r="M923" s="17"/>
    </row>
    <row r="924" spans="1:13" s="2" customFormat="1" x14ac:dyDescent="0.25">
      <c r="A924" s="6"/>
      <c r="D924" s="17"/>
      <c r="E924" s="18"/>
      <c r="F924" s="17"/>
      <c r="G924" s="17"/>
      <c r="H924" s="17"/>
      <c r="I924" s="17"/>
      <c r="J924" s="17"/>
      <c r="K924" s="17"/>
      <c r="L924" s="17"/>
      <c r="M924" s="17"/>
    </row>
    <row r="925" spans="1:13" s="2" customFormat="1" x14ac:dyDescent="0.25">
      <c r="A925" s="6"/>
      <c r="D925" s="17"/>
      <c r="E925" s="18"/>
      <c r="F925" s="17"/>
      <c r="G925" s="17"/>
      <c r="H925" s="17"/>
      <c r="I925" s="17"/>
      <c r="J925" s="17"/>
      <c r="K925" s="17"/>
      <c r="L925" s="17"/>
      <c r="M925" s="17"/>
    </row>
    <row r="926" spans="1:13" s="2" customFormat="1" x14ac:dyDescent="0.25">
      <c r="A926" s="6"/>
      <c r="D926" s="17"/>
      <c r="E926" s="18"/>
      <c r="F926" s="17"/>
      <c r="G926" s="17"/>
      <c r="H926" s="17"/>
      <c r="I926" s="17"/>
      <c r="J926" s="17"/>
      <c r="K926" s="17"/>
      <c r="L926" s="17"/>
      <c r="M926" s="17"/>
    </row>
    <row r="927" spans="1:13" s="2" customFormat="1" x14ac:dyDescent="0.25">
      <c r="A927" s="6"/>
      <c r="D927" s="17"/>
      <c r="E927" s="18"/>
      <c r="F927" s="17"/>
      <c r="G927" s="17"/>
      <c r="H927" s="17"/>
      <c r="I927" s="17"/>
      <c r="J927" s="17"/>
      <c r="K927" s="17"/>
      <c r="L927" s="17"/>
      <c r="M927" s="17"/>
    </row>
    <row r="928" spans="1:13" s="2" customFormat="1" x14ac:dyDescent="0.25">
      <c r="A928" s="6"/>
      <c r="D928" s="17"/>
      <c r="E928" s="18"/>
      <c r="F928" s="17"/>
      <c r="G928" s="17"/>
      <c r="H928" s="17"/>
      <c r="I928" s="17"/>
      <c r="J928" s="17"/>
      <c r="K928" s="17"/>
      <c r="L928" s="17"/>
      <c r="M928" s="17"/>
    </row>
    <row r="929" spans="1:13" s="2" customFormat="1" x14ac:dyDescent="0.25">
      <c r="A929" s="6"/>
      <c r="D929" s="17"/>
      <c r="E929" s="18"/>
      <c r="F929" s="17"/>
      <c r="G929" s="17"/>
      <c r="H929" s="17"/>
      <c r="I929" s="17"/>
      <c r="J929" s="17"/>
      <c r="K929" s="17"/>
      <c r="L929" s="17"/>
      <c r="M929" s="17"/>
    </row>
    <row r="930" spans="1:13" s="2" customFormat="1" x14ac:dyDescent="0.25">
      <c r="A930" s="6"/>
      <c r="D930" s="17"/>
      <c r="E930" s="18"/>
      <c r="F930" s="17"/>
      <c r="G930" s="17"/>
      <c r="H930" s="17"/>
      <c r="I930" s="17"/>
      <c r="J930" s="17"/>
      <c r="K930" s="17"/>
      <c r="L930" s="17"/>
      <c r="M930" s="17"/>
    </row>
    <row r="931" spans="1:13" s="2" customFormat="1" x14ac:dyDescent="0.25">
      <c r="A931" s="6"/>
      <c r="D931" s="17"/>
      <c r="E931" s="18"/>
      <c r="F931" s="17"/>
      <c r="G931" s="17"/>
      <c r="H931" s="17"/>
      <c r="I931" s="17"/>
      <c r="J931" s="17"/>
      <c r="K931" s="17"/>
      <c r="L931" s="17"/>
      <c r="M931" s="17"/>
    </row>
    <row r="932" spans="1:13" s="2" customFormat="1" x14ac:dyDescent="0.25">
      <c r="A932" s="6"/>
      <c r="D932" s="17"/>
      <c r="E932" s="18"/>
      <c r="F932" s="17"/>
      <c r="G932" s="17"/>
      <c r="H932" s="17"/>
      <c r="I932" s="17"/>
      <c r="J932" s="17"/>
      <c r="K932" s="17"/>
      <c r="L932" s="17"/>
      <c r="M932" s="17"/>
    </row>
    <row r="933" spans="1:13" s="2" customFormat="1" x14ac:dyDescent="0.25">
      <c r="A933" s="6"/>
      <c r="D933" s="17"/>
      <c r="E933" s="18"/>
      <c r="F933" s="17"/>
      <c r="G933" s="17"/>
      <c r="H933" s="17"/>
      <c r="I933" s="17"/>
      <c r="J933" s="17"/>
      <c r="K933" s="17"/>
      <c r="L933" s="17"/>
      <c r="M933" s="17"/>
    </row>
    <row r="934" spans="1:13" s="2" customFormat="1" x14ac:dyDescent="0.25">
      <c r="A934" s="6"/>
      <c r="D934" s="17"/>
      <c r="E934" s="18"/>
      <c r="F934" s="17"/>
      <c r="G934" s="17"/>
      <c r="H934" s="17"/>
      <c r="I934" s="17"/>
      <c r="J934" s="17"/>
      <c r="K934" s="17"/>
      <c r="L934" s="17"/>
      <c r="M934" s="17"/>
    </row>
    <row r="935" spans="1:13" s="2" customFormat="1" x14ac:dyDescent="0.25">
      <c r="A935" s="6"/>
      <c r="D935" s="17"/>
      <c r="E935" s="18"/>
      <c r="F935" s="17"/>
      <c r="G935" s="17"/>
      <c r="H935" s="17"/>
      <c r="I935" s="17"/>
      <c r="J935" s="17"/>
      <c r="K935" s="17"/>
      <c r="L935" s="17"/>
      <c r="M935" s="17"/>
    </row>
    <row r="936" spans="1:13" s="2" customFormat="1" x14ac:dyDescent="0.25">
      <c r="A936" s="6"/>
      <c r="D936" s="17"/>
      <c r="E936" s="18"/>
      <c r="F936" s="17"/>
      <c r="G936" s="17"/>
      <c r="H936" s="17"/>
      <c r="I936" s="17"/>
      <c r="J936" s="17"/>
      <c r="K936" s="17"/>
      <c r="L936" s="17"/>
      <c r="M936" s="17"/>
    </row>
    <row r="937" spans="1:13" s="2" customFormat="1" x14ac:dyDescent="0.25">
      <c r="A937" s="6"/>
      <c r="D937" s="17"/>
      <c r="E937" s="18"/>
      <c r="F937" s="17"/>
      <c r="G937" s="17"/>
      <c r="H937" s="17"/>
      <c r="I937" s="17"/>
      <c r="J937" s="17"/>
      <c r="K937" s="17"/>
      <c r="L937" s="17"/>
      <c r="M937" s="17"/>
    </row>
    <row r="938" spans="1:13" s="2" customFormat="1" x14ac:dyDescent="0.25">
      <c r="A938" s="6"/>
      <c r="D938" s="17"/>
      <c r="E938" s="18"/>
      <c r="F938" s="17"/>
      <c r="G938" s="17"/>
      <c r="H938" s="17"/>
      <c r="I938" s="17"/>
      <c r="J938" s="17"/>
      <c r="K938" s="17"/>
      <c r="L938" s="17"/>
      <c r="M938" s="17"/>
    </row>
    <row r="939" spans="1:13" s="2" customFormat="1" x14ac:dyDescent="0.25">
      <c r="A939" s="6"/>
      <c r="D939" s="17"/>
      <c r="E939" s="18"/>
      <c r="F939" s="17"/>
      <c r="G939" s="17"/>
      <c r="H939" s="17"/>
      <c r="I939" s="17"/>
      <c r="J939" s="17"/>
      <c r="K939" s="17"/>
      <c r="L939" s="17"/>
      <c r="M939" s="17"/>
    </row>
    <row r="940" spans="1:13" s="2" customFormat="1" x14ac:dyDescent="0.25">
      <c r="A940" s="6"/>
      <c r="D940" s="17"/>
      <c r="E940" s="18"/>
      <c r="F940" s="17"/>
      <c r="G940" s="17"/>
      <c r="H940" s="17"/>
      <c r="I940" s="17"/>
      <c r="J940" s="17"/>
      <c r="K940" s="17"/>
      <c r="L940" s="17"/>
      <c r="M940" s="17"/>
    </row>
    <row r="941" spans="1:13" s="2" customFormat="1" x14ac:dyDescent="0.25">
      <c r="A941" s="6"/>
      <c r="D941" s="17"/>
      <c r="E941" s="18"/>
      <c r="F941" s="17"/>
      <c r="G941" s="17"/>
      <c r="H941" s="17"/>
      <c r="I941" s="17"/>
      <c r="J941" s="17"/>
      <c r="K941" s="17"/>
      <c r="L941" s="17"/>
      <c r="M941" s="17"/>
    </row>
    <row r="942" spans="1:13" s="2" customFormat="1" x14ac:dyDescent="0.25">
      <c r="A942" s="6"/>
      <c r="D942" s="17"/>
      <c r="E942" s="18"/>
      <c r="F942" s="17"/>
      <c r="G942" s="17"/>
      <c r="H942" s="17"/>
      <c r="I942" s="17"/>
      <c r="J942" s="17"/>
      <c r="K942" s="17"/>
      <c r="L942" s="17"/>
      <c r="M942" s="17"/>
    </row>
    <row r="943" spans="1:13" s="2" customFormat="1" x14ac:dyDescent="0.25">
      <c r="A943" s="6"/>
      <c r="D943" s="17"/>
      <c r="E943" s="18"/>
      <c r="F943" s="17"/>
      <c r="G943" s="17"/>
      <c r="H943" s="17"/>
      <c r="I943" s="17"/>
      <c r="J943" s="17"/>
      <c r="K943" s="17"/>
      <c r="L943" s="17"/>
      <c r="M943" s="17"/>
    </row>
    <row r="944" spans="1:13" s="2" customFormat="1" x14ac:dyDescent="0.25">
      <c r="A944" s="6"/>
      <c r="D944" s="17"/>
      <c r="E944" s="18"/>
      <c r="F944" s="17"/>
      <c r="G944" s="17"/>
      <c r="H944" s="17"/>
      <c r="I944" s="17"/>
      <c r="J944" s="17"/>
      <c r="K944" s="17"/>
      <c r="L944" s="17"/>
      <c r="M944" s="17"/>
    </row>
    <row r="945" spans="1:13" s="2" customFormat="1" x14ac:dyDescent="0.25">
      <c r="A945" s="6"/>
      <c r="D945" s="17"/>
      <c r="E945" s="18"/>
      <c r="F945" s="17"/>
      <c r="G945" s="17"/>
      <c r="H945" s="17"/>
      <c r="I945" s="17"/>
      <c r="J945" s="17"/>
      <c r="K945" s="17"/>
      <c r="L945" s="17"/>
      <c r="M945" s="17"/>
    </row>
    <row r="946" spans="1:13" s="2" customFormat="1" x14ac:dyDescent="0.25">
      <c r="A946" s="6"/>
      <c r="D946" s="17"/>
      <c r="E946" s="18"/>
      <c r="F946" s="17"/>
      <c r="G946" s="17"/>
      <c r="H946" s="17"/>
      <c r="I946" s="17"/>
      <c r="J946" s="17"/>
      <c r="K946" s="17"/>
      <c r="L946" s="17"/>
      <c r="M946" s="17"/>
    </row>
    <row r="947" spans="1:13" s="2" customFormat="1" x14ac:dyDescent="0.25">
      <c r="A947" s="6"/>
      <c r="D947" s="17"/>
      <c r="E947" s="18"/>
      <c r="F947" s="17"/>
      <c r="G947" s="17"/>
      <c r="H947" s="17"/>
      <c r="I947" s="17"/>
      <c r="J947" s="17"/>
      <c r="K947" s="17"/>
      <c r="L947" s="17"/>
      <c r="M947" s="17"/>
    </row>
    <row r="948" spans="1:13" s="2" customFormat="1" x14ac:dyDescent="0.25">
      <c r="A948" s="6"/>
      <c r="D948" s="17"/>
      <c r="E948" s="18"/>
      <c r="F948" s="17"/>
      <c r="G948" s="17"/>
      <c r="H948" s="17"/>
      <c r="I948" s="17"/>
      <c r="J948" s="17"/>
      <c r="K948" s="17"/>
      <c r="L948" s="17"/>
      <c r="M948" s="17"/>
    </row>
    <row r="949" spans="1:13" s="2" customFormat="1" x14ac:dyDescent="0.25">
      <c r="A949" s="6"/>
      <c r="D949" s="17"/>
      <c r="E949" s="18"/>
      <c r="F949" s="17"/>
      <c r="G949" s="17"/>
      <c r="H949" s="17"/>
      <c r="I949" s="17"/>
      <c r="J949" s="17"/>
      <c r="K949" s="17"/>
      <c r="L949" s="17"/>
      <c r="M949" s="17"/>
    </row>
    <row r="950" spans="1:13" s="2" customFormat="1" x14ac:dyDescent="0.25">
      <c r="A950" s="6"/>
      <c r="D950" s="17"/>
      <c r="E950" s="18"/>
      <c r="F950" s="17"/>
      <c r="G950" s="17"/>
      <c r="H950" s="17"/>
      <c r="I950" s="17"/>
      <c r="J950" s="17"/>
      <c r="K950" s="17"/>
      <c r="L950" s="17"/>
      <c r="M950" s="17"/>
    </row>
    <row r="951" spans="1:13" s="2" customFormat="1" x14ac:dyDescent="0.25">
      <c r="A951" s="6"/>
      <c r="D951" s="17"/>
      <c r="E951" s="18"/>
      <c r="F951" s="17"/>
      <c r="G951" s="17"/>
      <c r="H951" s="17"/>
      <c r="I951" s="17"/>
      <c r="J951" s="17"/>
      <c r="K951" s="17"/>
      <c r="L951" s="17"/>
      <c r="M951" s="17"/>
    </row>
    <row r="952" spans="1:13" s="2" customFormat="1" x14ac:dyDescent="0.25">
      <c r="A952" s="6"/>
      <c r="D952" s="17"/>
      <c r="E952" s="18"/>
      <c r="F952" s="17"/>
      <c r="G952" s="17"/>
      <c r="H952" s="17"/>
      <c r="I952" s="17"/>
      <c r="J952" s="17"/>
      <c r="K952" s="17"/>
      <c r="L952" s="17"/>
      <c r="M952" s="17"/>
    </row>
    <row r="953" spans="1:13" s="2" customFormat="1" x14ac:dyDescent="0.25">
      <c r="A953" s="6"/>
      <c r="D953" s="17"/>
      <c r="E953" s="18"/>
      <c r="F953" s="17"/>
      <c r="G953" s="17"/>
      <c r="H953" s="17"/>
      <c r="I953" s="17"/>
      <c r="J953" s="17"/>
      <c r="K953" s="17"/>
      <c r="L953" s="17"/>
      <c r="M953" s="17"/>
    </row>
    <row r="954" spans="1:13" s="2" customFormat="1" x14ac:dyDescent="0.25">
      <c r="A954" s="6"/>
      <c r="D954" s="17"/>
      <c r="E954" s="18"/>
      <c r="F954" s="17"/>
      <c r="G954" s="17"/>
      <c r="H954" s="17"/>
      <c r="I954" s="17"/>
      <c r="J954" s="17"/>
      <c r="K954" s="17"/>
      <c r="L954" s="17"/>
      <c r="M954" s="17"/>
    </row>
    <row r="955" spans="1:13" s="2" customFormat="1" x14ac:dyDescent="0.25">
      <c r="A955" s="6"/>
      <c r="D955" s="17"/>
      <c r="E955" s="18"/>
      <c r="F955" s="17"/>
      <c r="G955" s="17"/>
      <c r="H955" s="17"/>
      <c r="I955" s="17"/>
      <c r="J955" s="17"/>
      <c r="K955" s="17"/>
      <c r="L955" s="17"/>
      <c r="M955" s="17"/>
    </row>
    <row r="956" spans="1:13" s="2" customFormat="1" x14ac:dyDescent="0.25">
      <c r="A956" s="6"/>
      <c r="D956" s="17"/>
      <c r="E956" s="18"/>
      <c r="F956" s="17"/>
      <c r="G956" s="17"/>
      <c r="H956" s="17"/>
      <c r="I956" s="17"/>
      <c r="J956" s="17"/>
      <c r="K956" s="17"/>
      <c r="L956" s="17"/>
      <c r="M956" s="17"/>
    </row>
    <row r="957" spans="1:13" s="2" customFormat="1" x14ac:dyDescent="0.25">
      <c r="A957" s="6"/>
      <c r="D957" s="17"/>
      <c r="E957" s="18"/>
      <c r="F957" s="17"/>
      <c r="G957" s="17"/>
      <c r="H957" s="17"/>
      <c r="I957" s="17"/>
      <c r="J957" s="17"/>
      <c r="K957" s="17"/>
      <c r="L957" s="17"/>
      <c r="M957" s="17"/>
    </row>
    <row r="958" spans="1:13" s="2" customFormat="1" x14ac:dyDescent="0.25">
      <c r="A958" s="6"/>
      <c r="D958" s="17"/>
      <c r="E958" s="18"/>
      <c r="F958" s="17"/>
      <c r="G958" s="17"/>
      <c r="H958" s="17"/>
      <c r="I958" s="17"/>
      <c r="J958" s="17"/>
      <c r="K958" s="17"/>
      <c r="L958" s="17"/>
      <c r="M958" s="17"/>
    </row>
    <row r="959" spans="1:13" s="2" customFormat="1" x14ac:dyDescent="0.25">
      <c r="A959" s="6"/>
      <c r="D959" s="17"/>
      <c r="E959" s="18"/>
      <c r="F959" s="17"/>
      <c r="G959" s="17"/>
      <c r="H959" s="17"/>
      <c r="I959" s="17"/>
      <c r="J959" s="17"/>
      <c r="K959" s="17"/>
      <c r="L959" s="17"/>
      <c r="M959" s="17"/>
    </row>
    <row r="960" spans="1:13" s="2" customFormat="1" x14ac:dyDescent="0.25">
      <c r="A960" s="6"/>
      <c r="D960" s="17"/>
      <c r="E960" s="18"/>
      <c r="F960" s="17"/>
      <c r="G960" s="17"/>
      <c r="H960" s="17"/>
      <c r="I960" s="17"/>
      <c r="J960" s="17"/>
      <c r="K960" s="17"/>
      <c r="L960" s="17"/>
      <c r="M960" s="17"/>
    </row>
    <row r="961" spans="1:13" s="2" customFormat="1" x14ac:dyDescent="0.25">
      <c r="A961" s="6"/>
      <c r="D961" s="17"/>
      <c r="E961" s="18"/>
      <c r="F961" s="17"/>
      <c r="G961" s="17"/>
      <c r="H961" s="17"/>
      <c r="I961" s="17"/>
      <c r="J961" s="17"/>
      <c r="K961" s="17"/>
      <c r="L961" s="17"/>
      <c r="M961" s="17"/>
    </row>
    <row r="962" spans="1:13" s="2" customFormat="1" x14ac:dyDescent="0.25">
      <c r="A962" s="6"/>
      <c r="D962" s="17"/>
      <c r="E962" s="18"/>
      <c r="F962" s="17"/>
      <c r="G962" s="17"/>
      <c r="H962" s="17"/>
      <c r="I962" s="17"/>
      <c r="J962" s="17"/>
      <c r="K962" s="17"/>
      <c r="L962" s="17"/>
      <c r="M962" s="17"/>
    </row>
    <row r="963" spans="1:13" s="2" customFormat="1" x14ac:dyDescent="0.25">
      <c r="A963" s="6"/>
      <c r="D963" s="17"/>
      <c r="E963" s="18"/>
      <c r="F963" s="17"/>
      <c r="G963" s="17"/>
      <c r="H963" s="17"/>
      <c r="I963" s="17"/>
      <c r="J963" s="17"/>
      <c r="K963" s="17"/>
      <c r="L963" s="17"/>
      <c r="M963" s="17"/>
    </row>
    <row r="964" spans="1:13" s="2" customFormat="1" x14ac:dyDescent="0.25">
      <c r="A964" s="6"/>
      <c r="D964" s="17"/>
      <c r="E964" s="18"/>
      <c r="F964" s="17"/>
      <c r="G964" s="17"/>
      <c r="H964" s="17"/>
      <c r="I964" s="17"/>
      <c r="J964" s="17"/>
      <c r="K964" s="17"/>
      <c r="L964" s="17"/>
      <c r="M964" s="17"/>
    </row>
    <row r="965" spans="1:13" s="2" customFormat="1" x14ac:dyDescent="0.25">
      <c r="A965" s="6"/>
      <c r="D965" s="17"/>
      <c r="E965" s="18"/>
      <c r="F965" s="17"/>
      <c r="G965" s="17"/>
      <c r="H965" s="17"/>
      <c r="I965" s="17"/>
      <c r="J965" s="17"/>
      <c r="K965" s="17"/>
      <c r="L965" s="17"/>
      <c r="M965" s="17"/>
    </row>
    <row r="966" spans="1:13" s="2" customFormat="1" x14ac:dyDescent="0.25">
      <c r="A966" s="6"/>
      <c r="D966" s="17"/>
      <c r="E966" s="18"/>
      <c r="F966" s="17"/>
      <c r="G966" s="17"/>
      <c r="H966" s="17"/>
      <c r="I966" s="17"/>
      <c r="J966" s="17"/>
      <c r="K966" s="17"/>
      <c r="L966" s="17"/>
      <c r="M966" s="17"/>
    </row>
    <row r="967" spans="1:13" s="2" customFormat="1" x14ac:dyDescent="0.25">
      <c r="A967" s="6"/>
      <c r="D967" s="17"/>
      <c r="E967" s="18"/>
      <c r="F967" s="17"/>
      <c r="G967" s="17"/>
      <c r="H967" s="17"/>
      <c r="I967" s="17"/>
      <c r="J967" s="17"/>
      <c r="K967" s="17"/>
      <c r="L967" s="17"/>
      <c r="M967" s="17"/>
    </row>
    <row r="968" spans="1:13" s="2" customFormat="1" x14ac:dyDescent="0.25">
      <c r="A968" s="6"/>
      <c r="D968" s="17"/>
      <c r="E968" s="18"/>
      <c r="F968" s="17"/>
      <c r="G968" s="17"/>
      <c r="H968" s="17"/>
      <c r="I968" s="17"/>
      <c r="J968" s="17"/>
      <c r="K968" s="17"/>
      <c r="L968" s="17"/>
      <c r="M968" s="17"/>
    </row>
    <row r="969" spans="1:13" s="2" customFormat="1" x14ac:dyDescent="0.25">
      <c r="A969" s="6"/>
      <c r="D969" s="17"/>
      <c r="E969" s="18"/>
      <c r="F969" s="17"/>
      <c r="G969" s="17"/>
      <c r="H969" s="17"/>
      <c r="I969" s="17"/>
      <c r="J969" s="17"/>
      <c r="K969" s="17"/>
      <c r="L969" s="17"/>
      <c r="M969" s="17"/>
    </row>
    <row r="970" spans="1:13" s="2" customFormat="1" x14ac:dyDescent="0.25">
      <c r="A970" s="6"/>
      <c r="D970" s="17"/>
      <c r="E970" s="18"/>
      <c r="F970" s="17"/>
      <c r="G970" s="17"/>
      <c r="H970" s="17"/>
      <c r="I970" s="17"/>
      <c r="J970" s="17"/>
      <c r="K970" s="17"/>
      <c r="L970" s="17"/>
      <c r="M970" s="17"/>
    </row>
    <row r="971" spans="1:13" s="2" customFormat="1" x14ac:dyDescent="0.25">
      <c r="A971" s="6"/>
      <c r="D971" s="17"/>
      <c r="E971" s="18"/>
      <c r="F971" s="17"/>
      <c r="G971" s="17"/>
      <c r="H971" s="17"/>
      <c r="I971" s="17"/>
      <c r="J971" s="17"/>
      <c r="K971" s="17"/>
      <c r="L971" s="17"/>
      <c r="M971" s="17"/>
    </row>
    <row r="972" spans="1:13" s="2" customFormat="1" x14ac:dyDescent="0.25">
      <c r="A972" s="6"/>
      <c r="D972" s="17"/>
      <c r="E972" s="18"/>
      <c r="F972" s="17"/>
      <c r="G972" s="17"/>
      <c r="H972" s="17"/>
      <c r="I972" s="17"/>
      <c r="J972" s="17"/>
      <c r="K972" s="17"/>
      <c r="L972" s="17"/>
      <c r="M972" s="17"/>
    </row>
    <row r="973" spans="1:13" s="2" customFormat="1" x14ac:dyDescent="0.25">
      <c r="A973" s="6"/>
      <c r="D973" s="17"/>
      <c r="E973" s="18"/>
      <c r="F973" s="17"/>
      <c r="G973" s="17"/>
      <c r="H973" s="17"/>
      <c r="I973" s="17"/>
      <c r="J973" s="17"/>
      <c r="K973" s="17"/>
      <c r="L973" s="17"/>
      <c r="M973" s="17"/>
    </row>
    <row r="974" spans="1:13" s="2" customFormat="1" x14ac:dyDescent="0.25">
      <c r="A974" s="6"/>
      <c r="D974" s="17"/>
      <c r="E974" s="18"/>
      <c r="F974" s="17"/>
      <c r="G974" s="17"/>
      <c r="H974" s="17"/>
      <c r="I974" s="17"/>
      <c r="J974" s="17"/>
      <c r="K974" s="17"/>
      <c r="L974" s="17"/>
      <c r="M974" s="17"/>
    </row>
    <row r="975" spans="1:13" s="2" customFormat="1" x14ac:dyDescent="0.25">
      <c r="A975" s="6"/>
      <c r="D975" s="17"/>
      <c r="E975" s="18"/>
      <c r="F975" s="17"/>
      <c r="G975" s="17"/>
      <c r="H975" s="17"/>
      <c r="I975" s="17"/>
      <c r="J975" s="17"/>
      <c r="K975" s="17"/>
      <c r="L975" s="17"/>
      <c r="M975" s="17"/>
    </row>
    <row r="976" spans="1:13" s="2" customFormat="1" x14ac:dyDescent="0.25">
      <c r="A976" s="6"/>
      <c r="D976" s="17"/>
      <c r="E976" s="18"/>
      <c r="F976" s="17"/>
      <c r="G976" s="17"/>
      <c r="H976" s="17"/>
      <c r="I976" s="17"/>
      <c r="J976" s="17"/>
      <c r="K976" s="17"/>
      <c r="L976" s="17"/>
      <c r="M976" s="17"/>
    </row>
    <row r="977" spans="1:13" s="2" customFormat="1" x14ac:dyDescent="0.25">
      <c r="A977" s="6"/>
      <c r="D977" s="17"/>
      <c r="E977" s="18"/>
      <c r="F977" s="17"/>
      <c r="G977" s="17"/>
      <c r="H977" s="17"/>
      <c r="I977" s="17"/>
      <c r="J977" s="17"/>
      <c r="K977" s="17"/>
      <c r="L977" s="17"/>
      <c r="M977" s="17"/>
    </row>
    <row r="978" spans="1:13" s="2" customFormat="1" x14ac:dyDescent="0.25">
      <c r="A978" s="6"/>
      <c r="D978" s="17"/>
      <c r="E978" s="18"/>
      <c r="F978" s="17"/>
      <c r="G978" s="17"/>
      <c r="H978" s="17"/>
      <c r="I978" s="17"/>
      <c r="J978" s="17"/>
      <c r="K978" s="17"/>
      <c r="L978" s="17"/>
      <c r="M978" s="17"/>
    </row>
    <row r="979" spans="1:13" s="2" customFormat="1" x14ac:dyDescent="0.25">
      <c r="A979" s="6"/>
      <c r="D979" s="17"/>
      <c r="E979" s="18"/>
      <c r="F979" s="17"/>
      <c r="G979" s="17"/>
      <c r="H979" s="17"/>
      <c r="I979" s="17"/>
      <c r="J979" s="17"/>
      <c r="K979" s="17"/>
      <c r="L979" s="17"/>
      <c r="M979" s="17"/>
    </row>
    <row r="980" spans="1:13" s="2" customFormat="1" x14ac:dyDescent="0.25">
      <c r="A980" s="6"/>
      <c r="D980" s="17"/>
      <c r="E980" s="18"/>
      <c r="F980" s="17"/>
      <c r="G980" s="17"/>
      <c r="H980" s="17"/>
      <c r="I980" s="17"/>
      <c r="J980" s="17"/>
      <c r="K980" s="17"/>
      <c r="L980" s="17"/>
      <c r="M980" s="17"/>
    </row>
    <row r="981" spans="1:13" s="2" customFormat="1" x14ac:dyDescent="0.25">
      <c r="A981" s="6"/>
      <c r="D981" s="17"/>
      <c r="E981" s="18"/>
      <c r="F981" s="17"/>
      <c r="G981" s="17"/>
      <c r="H981" s="17"/>
      <c r="I981" s="17"/>
      <c r="J981" s="17"/>
      <c r="K981" s="17"/>
      <c r="L981" s="17"/>
      <c r="M981" s="17"/>
    </row>
    <row r="982" spans="1:13" s="2" customFormat="1" x14ac:dyDescent="0.25">
      <c r="A982" s="6"/>
      <c r="D982" s="17"/>
      <c r="E982" s="18"/>
      <c r="F982" s="17"/>
      <c r="G982" s="17"/>
      <c r="H982" s="17"/>
      <c r="I982" s="17"/>
      <c r="J982" s="17"/>
      <c r="K982" s="17"/>
      <c r="L982" s="17"/>
      <c r="M982" s="17"/>
    </row>
    <row r="983" spans="1:13" s="2" customFormat="1" x14ac:dyDescent="0.25">
      <c r="A983" s="6"/>
      <c r="D983" s="17"/>
      <c r="E983" s="18"/>
      <c r="F983" s="17"/>
      <c r="G983" s="17"/>
      <c r="H983" s="17"/>
      <c r="I983" s="17"/>
      <c r="J983" s="17"/>
      <c r="K983" s="17"/>
      <c r="L983" s="17"/>
      <c r="M983" s="17"/>
    </row>
    <row r="984" spans="1:13" s="2" customFormat="1" x14ac:dyDescent="0.25">
      <c r="A984" s="6"/>
      <c r="D984" s="17"/>
      <c r="E984" s="18"/>
      <c r="F984" s="17"/>
      <c r="G984" s="17"/>
      <c r="H984" s="17"/>
      <c r="I984" s="17"/>
      <c r="J984" s="17"/>
      <c r="K984" s="17"/>
      <c r="L984" s="17"/>
      <c r="M984" s="17"/>
    </row>
    <row r="985" spans="1:13" s="2" customFormat="1" x14ac:dyDescent="0.25">
      <c r="A985" s="6"/>
      <c r="D985" s="17"/>
      <c r="E985" s="18"/>
      <c r="F985" s="17"/>
      <c r="G985" s="17"/>
      <c r="H985" s="17"/>
      <c r="I985" s="17"/>
      <c r="J985" s="17"/>
      <c r="K985" s="17"/>
      <c r="L985" s="17"/>
      <c r="M985" s="17"/>
    </row>
    <row r="986" spans="1:13" s="2" customFormat="1" x14ac:dyDescent="0.25">
      <c r="A986" s="6"/>
      <c r="D986" s="17"/>
      <c r="E986" s="18"/>
      <c r="F986" s="17"/>
      <c r="G986" s="17"/>
      <c r="H986" s="17"/>
      <c r="I986" s="17"/>
      <c r="J986" s="17"/>
      <c r="K986" s="17"/>
      <c r="L986" s="17"/>
      <c r="M986" s="17"/>
    </row>
    <row r="987" spans="1:13" s="2" customFormat="1" x14ac:dyDescent="0.25">
      <c r="A987" s="6"/>
      <c r="D987" s="17"/>
      <c r="E987" s="18"/>
      <c r="F987" s="17"/>
      <c r="G987" s="17"/>
      <c r="H987" s="17"/>
      <c r="I987" s="17"/>
      <c r="J987" s="17"/>
      <c r="K987" s="17"/>
      <c r="L987" s="17"/>
      <c r="M987" s="17"/>
    </row>
    <row r="988" spans="1:13" s="2" customFormat="1" x14ac:dyDescent="0.25">
      <c r="A988" s="6"/>
      <c r="D988" s="17"/>
      <c r="E988" s="18"/>
      <c r="F988" s="17"/>
      <c r="G988" s="17"/>
      <c r="H988" s="17"/>
      <c r="I988" s="17"/>
      <c r="J988" s="17"/>
      <c r="K988" s="17"/>
      <c r="L988" s="17"/>
      <c r="M988" s="17"/>
    </row>
    <row r="989" spans="1:13" s="2" customFormat="1" x14ac:dyDescent="0.25">
      <c r="A989" s="6"/>
      <c r="D989" s="17"/>
      <c r="E989" s="18"/>
      <c r="F989" s="17"/>
      <c r="G989" s="17"/>
      <c r="H989" s="17"/>
      <c r="I989" s="17"/>
      <c r="J989" s="17"/>
      <c r="K989" s="17"/>
      <c r="L989" s="17"/>
      <c r="M989" s="17"/>
    </row>
    <row r="990" spans="1:13" s="2" customFormat="1" x14ac:dyDescent="0.25">
      <c r="A990" s="6"/>
      <c r="D990" s="17"/>
      <c r="E990" s="18"/>
      <c r="F990" s="17"/>
      <c r="G990" s="17"/>
      <c r="H990" s="17"/>
      <c r="I990" s="17"/>
      <c r="J990" s="17"/>
      <c r="K990" s="17"/>
      <c r="L990" s="17"/>
      <c r="M990" s="17"/>
    </row>
    <row r="991" spans="1:13" s="2" customFormat="1" x14ac:dyDescent="0.25">
      <c r="A991" s="6"/>
      <c r="D991" s="17"/>
      <c r="E991" s="18"/>
      <c r="F991" s="17"/>
      <c r="G991" s="17"/>
      <c r="H991" s="17"/>
      <c r="I991" s="17"/>
      <c r="J991" s="17"/>
      <c r="K991" s="17"/>
      <c r="L991" s="17"/>
      <c r="M991" s="17"/>
    </row>
    <row r="992" spans="1:13" s="2" customFormat="1" x14ac:dyDescent="0.25">
      <c r="A992" s="6"/>
      <c r="D992" s="17"/>
      <c r="E992" s="18"/>
      <c r="F992" s="17"/>
      <c r="G992" s="17"/>
      <c r="H992" s="17"/>
      <c r="I992" s="17"/>
      <c r="J992" s="17"/>
      <c r="K992" s="17"/>
      <c r="L992" s="17"/>
      <c r="M992" s="17"/>
    </row>
    <row r="993" spans="1:13" s="2" customFormat="1" x14ac:dyDescent="0.25">
      <c r="A993" s="6"/>
      <c r="D993" s="17"/>
      <c r="E993" s="18"/>
      <c r="F993" s="17"/>
      <c r="G993" s="17"/>
      <c r="H993" s="17"/>
      <c r="I993" s="17"/>
      <c r="J993" s="17"/>
      <c r="K993" s="17"/>
      <c r="L993" s="17"/>
      <c r="M993" s="17"/>
    </row>
    <row r="994" spans="1:13" s="2" customFormat="1" x14ac:dyDescent="0.25">
      <c r="A994" s="6"/>
      <c r="D994" s="17"/>
      <c r="E994" s="18"/>
      <c r="F994" s="17"/>
      <c r="G994" s="17"/>
      <c r="H994" s="17"/>
      <c r="I994" s="17"/>
      <c r="J994" s="17"/>
      <c r="K994" s="17"/>
      <c r="L994" s="17"/>
      <c r="M994" s="17"/>
    </row>
    <row r="995" spans="1:13" s="2" customFormat="1" x14ac:dyDescent="0.25">
      <c r="A995" s="6"/>
      <c r="D995" s="17"/>
      <c r="E995" s="18"/>
      <c r="F995" s="17"/>
      <c r="G995" s="17"/>
      <c r="H995" s="17"/>
      <c r="I995" s="17"/>
      <c r="J995" s="17"/>
      <c r="K995" s="17"/>
      <c r="L995" s="17"/>
      <c r="M995" s="17"/>
    </row>
    <row r="996" spans="1:13" s="2" customFormat="1" x14ac:dyDescent="0.25">
      <c r="A996" s="6"/>
      <c r="D996" s="17"/>
      <c r="E996" s="18"/>
      <c r="F996" s="17"/>
      <c r="G996" s="17"/>
      <c r="H996" s="17"/>
      <c r="I996" s="17"/>
      <c r="J996" s="17"/>
      <c r="K996" s="17"/>
      <c r="L996" s="17"/>
      <c r="M996" s="17"/>
    </row>
    <row r="997" spans="1:13" s="2" customFormat="1" x14ac:dyDescent="0.25">
      <c r="A997" s="6"/>
      <c r="D997" s="17"/>
      <c r="E997" s="18"/>
      <c r="F997" s="17"/>
      <c r="G997" s="17"/>
      <c r="H997" s="17"/>
      <c r="I997" s="17"/>
      <c r="J997" s="17"/>
      <c r="K997" s="17"/>
      <c r="L997" s="17"/>
      <c r="M997" s="17"/>
    </row>
    <row r="998" spans="1:13" s="2" customFormat="1" x14ac:dyDescent="0.25">
      <c r="A998" s="6"/>
      <c r="D998" s="17"/>
      <c r="E998" s="18"/>
      <c r="F998" s="17"/>
      <c r="G998" s="17"/>
      <c r="H998" s="17"/>
      <c r="I998" s="17"/>
      <c r="J998" s="17"/>
      <c r="K998" s="17"/>
      <c r="L998" s="17"/>
      <c r="M998" s="17"/>
    </row>
    <row r="999" spans="1:13" s="2" customFormat="1" x14ac:dyDescent="0.25">
      <c r="A999" s="6"/>
      <c r="D999" s="17"/>
      <c r="E999" s="18"/>
      <c r="F999" s="17"/>
      <c r="G999" s="17"/>
      <c r="H999" s="17"/>
      <c r="I999" s="17"/>
      <c r="J999" s="17"/>
      <c r="K999" s="17"/>
      <c r="L999" s="17"/>
      <c r="M999" s="17"/>
    </row>
    <row r="1000" spans="1:13" s="2" customFormat="1" x14ac:dyDescent="0.25">
      <c r="A1000" s="6"/>
      <c r="D1000" s="17"/>
      <c r="E1000" s="18"/>
      <c r="F1000" s="17"/>
      <c r="G1000" s="17"/>
      <c r="H1000" s="17"/>
      <c r="I1000" s="17"/>
      <c r="J1000" s="17"/>
      <c r="K1000" s="17"/>
      <c r="L1000" s="17"/>
      <c r="M1000" s="17"/>
    </row>
    <row r="1001" spans="1:13" s="2" customFormat="1" x14ac:dyDescent="0.25">
      <c r="A1001" s="6"/>
      <c r="D1001" s="17"/>
      <c r="E1001" s="18"/>
      <c r="F1001" s="17"/>
      <c r="G1001" s="17"/>
      <c r="H1001" s="17"/>
      <c r="I1001" s="17"/>
      <c r="J1001" s="17"/>
      <c r="K1001" s="17"/>
      <c r="L1001" s="17"/>
      <c r="M1001" s="17"/>
    </row>
    <row r="1002" spans="1:13" s="2" customFormat="1" x14ac:dyDescent="0.25">
      <c r="A1002" s="6"/>
      <c r="D1002" s="17"/>
      <c r="E1002" s="18"/>
      <c r="F1002" s="17"/>
      <c r="G1002" s="17"/>
      <c r="H1002" s="17"/>
      <c r="I1002" s="17"/>
      <c r="J1002" s="17"/>
      <c r="K1002" s="17"/>
      <c r="L1002" s="17"/>
      <c r="M1002" s="17"/>
    </row>
    <row r="1003" spans="1:13" s="2" customFormat="1" x14ac:dyDescent="0.25">
      <c r="A1003" s="6"/>
      <c r="D1003" s="17"/>
      <c r="E1003" s="18"/>
      <c r="F1003" s="17"/>
      <c r="G1003" s="17"/>
      <c r="H1003" s="17"/>
      <c r="I1003" s="17"/>
      <c r="J1003" s="17"/>
      <c r="K1003" s="17"/>
      <c r="L1003" s="17"/>
      <c r="M1003" s="17"/>
    </row>
    <row r="1004" spans="1:13" s="2" customFormat="1" x14ac:dyDescent="0.25">
      <c r="A1004" s="6"/>
      <c r="D1004" s="17"/>
      <c r="E1004" s="18"/>
      <c r="F1004" s="17"/>
      <c r="G1004" s="17"/>
      <c r="H1004" s="17"/>
      <c r="I1004" s="17"/>
      <c r="J1004" s="17"/>
      <c r="K1004" s="17"/>
      <c r="L1004" s="17"/>
      <c r="M1004" s="17"/>
    </row>
    <row r="1005" spans="1:13" s="2" customFormat="1" x14ac:dyDescent="0.25">
      <c r="A1005" s="6"/>
      <c r="D1005" s="17"/>
      <c r="E1005" s="18"/>
      <c r="F1005" s="17"/>
      <c r="G1005" s="17"/>
      <c r="H1005" s="17"/>
      <c r="I1005" s="17"/>
      <c r="J1005" s="17"/>
      <c r="K1005" s="17"/>
      <c r="L1005" s="17"/>
      <c r="M1005" s="17"/>
    </row>
    <row r="1006" spans="1:13" s="2" customFormat="1" x14ac:dyDescent="0.25">
      <c r="A1006" s="6"/>
      <c r="D1006" s="17"/>
      <c r="E1006" s="18"/>
      <c r="F1006" s="17"/>
      <c r="G1006" s="17"/>
      <c r="H1006" s="17"/>
      <c r="I1006" s="17"/>
      <c r="J1006" s="17"/>
      <c r="K1006" s="17"/>
      <c r="L1006" s="17"/>
      <c r="M1006" s="17"/>
    </row>
    <row r="1007" spans="1:13" s="2" customFormat="1" x14ac:dyDescent="0.25">
      <c r="A1007" s="6"/>
      <c r="D1007" s="17"/>
      <c r="E1007" s="18"/>
      <c r="F1007" s="17"/>
      <c r="G1007" s="17"/>
      <c r="H1007" s="17"/>
      <c r="I1007" s="17"/>
      <c r="J1007" s="17"/>
      <c r="K1007" s="17"/>
      <c r="L1007" s="17"/>
      <c r="M1007" s="17"/>
    </row>
    <row r="1008" spans="1:13" s="2" customFormat="1" x14ac:dyDescent="0.25">
      <c r="A1008" s="6"/>
      <c r="D1008" s="17"/>
      <c r="E1008" s="18"/>
      <c r="F1008" s="17"/>
      <c r="G1008" s="17"/>
      <c r="H1008" s="17"/>
      <c r="I1008" s="17"/>
      <c r="J1008" s="17"/>
      <c r="K1008" s="17"/>
      <c r="L1008" s="17"/>
      <c r="M1008" s="17"/>
    </row>
    <row r="1009" spans="1:13" s="2" customFormat="1" x14ac:dyDescent="0.25">
      <c r="A1009" s="6"/>
      <c r="D1009" s="17"/>
      <c r="E1009" s="18"/>
      <c r="F1009" s="17"/>
      <c r="G1009" s="17"/>
      <c r="H1009" s="17"/>
      <c r="I1009" s="17"/>
      <c r="J1009" s="17"/>
      <c r="K1009" s="17"/>
      <c r="L1009" s="17"/>
      <c r="M1009" s="17"/>
    </row>
    <row r="1010" spans="1:13" s="2" customFormat="1" x14ac:dyDescent="0.25">
      <c r="A1010" s="6"/>
      <c r="D1010" s="17"/>
      <c r="E1010" s="18"/>
      <c r="F1010" s="17"/>
      <c r="G1010" s="17"/>
      <c r="H1010" s="17"/>
      <c r="I1010" s="17"/>
      <c r="J1010" s="17"/>
      <c r="K1010" s="17"/>
      <c r="L1010" s="17"/>
      <c r="M1010" s="17"/>
    </row>
    <row r="1011" spans="1:13" s="2" customFormat="1" x14ac:dyDescent="0.25">
      <c r="A1011" s="6"/>
      <c r="D1011" s="17"/>
      <c r="E1011" s="18"/>
      <c r="F1011" s="17"/>
      <c r="G1011" s="17"/>
      <c r="H1011" s="17"/>
      <c r="I1011" s="17"/>
      <c r="J1011" s="17"/>
      <c r="K1011" s="17"/>
      <c r="L1011" s="17"/>
      <c r="M1011" s="17"/>
    </row>
    <row r="1012" spans="1:13" s="2" customFormat="1" x14ac:dyDescent="0.25">
      <c r="A1012" s="6"/>
      <c r="D1012" s="17"/>
      <c r="E1012" s="18"/>
      <c r="F1012" s="17"/>
      <c r="G1012" s="17"/>
      <c r="H1012" s="17"/>
      <c r="I1012" s="17"/>
      <c r="J1012" s="17"/>
      <c r="K1012" s="17"/>
      <c r="L1012" s="17"/>
      <c r="M1012" s="17"/>
    </row>
    <row r="1013" spans="1:13" s="2" customFormat="1" x14ac:dyDescent="0.25">
      <c r="A1013" s="6"/>
      <c r="D1013" s="17"/>
      <c r="E1013" s="18"/>
      <c r="F1013" s="17"/>
      <c r="G1013" s="17"/>
      <c r="H1013" s="17"/>
      <c r="I1013" s="17"/>
      <c r="J1013" s="17"/>
      <c r="K1013" s="17"/>
      <c r="L1013" s="17"/>
      <c r="M1013" s="17"/>
    </row>
    <row r="1014" spans="1:13" s="2" customFormat="1" x14ac:dyDescent="0.25">
      <c r="A1014" s="6"/>
      <c r="D1014" s="17"/>
      <c r="E1014" s="18"/>
      <c r="F1014" s="17"/>
      <c r="G1014" s="17"/>
      <c r="H1014" s="17"/>
      <c r="I1014" s="17"/>
      <c r="J1014" s="17"/>
      <c r="K1014" s="17"/>
      <c r="L1014" s="17"/>
      <c r="M1014" s="17"/>
    </row>
    <row r="1015" spans="1:13" s="2" customFormat="1" x14ac:dyDescent="0.25">
      <c r="A1015" s="6"/>
      <c r="D1015" s="17"/>
      <c r="E1015" s="18"/>
      <c r="F1015" s="17"/>
      <c r="G1015" s="17"/>
      <c r="H1015" s="17"/>
      <c r="I1015" s="17"/>
      <c r="J1015" s="17"/>
      <c r="K1015" s="17"/>
      <c r="L1015" s="17"/>
      <c r="M1015" s="17"/>
    </row>
    <row r="1016" spans="1:13" s="2" customFormat="1" x14ac:dyDescent="0.25">
      <c r="A1016" s="6"/>
      <c r="D1016" s="17"/>
      <c r="E1016" s="18"/>
      <c r="F1016" s="17"/>
      <c r="G1016" s="17"/>
      <c r="H1016" s="17"/>
      <c r="I1016" s="17"/>
      <c r="J1016" s="17"/>
      <c r="K1016" s="17"/>
      <c r="L1016" s="17"/>
      <c r="M1016" s="17"/>
    </row>
    <row r="1017" spans="1:13" s="2" customFormat="1" x14ac:dyDescent="0.25">
      <c r="A1017" s="6"/>
      <c r="D1017" s="17"/>
      <c r="E1017" s="18"/>
      <c r="F1017" s="17"/>
      <c r="G1017" s="17"/>
      <c r="H1017" s="17"/>
      <c r="I1017" s="17"/>
      <c r="J1017" s="17"/>
      <c r="K1017" s="17"/>
      <c r="L1017" s="17"/>
      <c r="M1017" s="17"/>
    </row>
    <row r="1018" spans="1:13" s="2" customFormat="1" x14ac:dyDescent="0.25">
      <c r="A1018" s="6"/>
      <c r="D1018" s="17"/>
      <c r="E1018" s="18"/>
      <c r="F1018" s="17"/>
      <c r="G1018" s="17"/>
      <c r="H1018" s="17"/>
      <c r="I1018" s="17"/>
      <c r="J1018" s="17"/>
      <c r="K1018" s="17"/>
      <c r="L1018" s="17"/>
      <c r="M1018" s="17"/>
    </row>
    <row r="1019" spans="1:13" s="2" customFormat="1" x14ac:dyDescent="0.25">
      <c r="A1019" s="6"/>
      <c r="D1019" s="17"/>
      <c r="E1019" s="18"/>
      <c r="F1019" s="17"/>
      <c r="G1019" s="17"/>
      <c r="H1019" s="17"/>
      <c r="I1019" s="17"/>
      <c r="J1019" s="17"/>
      <c r="K1019" s="17"/>
      <c r="L1019" s="17"/>
      <c r="M1019" s="17"/>
    </row>
    <row r="1020" spans="1:13" s="2" customFormat="1" x14ac:dyDescent="0.25">
      <c r="A1020" s="6"/>
      <c r="D1020" s="17"/>
      <c r="E1020" s="18"/>
      <c r="F1020" s="17"/>
      <c r="G1020" s="17"/>
      <c r="H1020" s="17"/>
      <c r="I1020" s="17"/>
      <c r="J1020" s="17"/>
      <c r="K1020" s="17"/>
      <c r="L1020" s="17"/>
      <c r="M1020" s="17"/>
    </row>
    <row r="1021" spans="1:13" s="2" customFormat="1" x14ac:dyDescent="0.25">
      <c r="A1021" s="6"/>
      <c r="D1021" s="17"/>
      <c r="E1021" s="18"/>
      <c r="F1021" s="17"/>
      <c r="G1021" s="17"/>
      <c r="H1021" s="17"/>
      <c r="I1021" s="17"/>
      <c r="J1021" s="17"/>
      <c r="K1021" s="17"/>
      <c r="L1021" s="17"/>
      <c r="M1021" s="17"/>
    </row>
    <row r="1022" spans="1:13" s="2" customFormat="1" x14ac:dyDescent="0.25">
      <c r="A1022" s="6"/>
      <c r="D1022" s="17"/>
      <c r="E1022" s="18"/>
      <c r="F1022" s="17"/>
      <c r="G1022" s="17"/>
      <c r="H1022" s="17"/>
      <c r="I1022" s="17"/>
      <c r="J1022" s="17"/>
      <c r="K1022" s="17"/>
      <c r="L1022" s="17"/>
      <c r="M1022" s="17"/>
    </row>
    <row r="1023" spans="1:13" s="2" customFormat="1" x14ac:dyDescent="0.25">
      <c r="A1023" s="6"/>
      <c r="D1023" s="17"/>
      <c r="E1023" s="18"/>
      <c r="F1023" s="17"/>
      <c r="G1023" s="17"/>
      <c r="H1023" s="17"/>
      <c r="I1023" s="17"/>
      <c r="J1023" s="17"/>
      <c r="K1023" s="17"/>
      <c r="L1023" s="17"/>
      <c r="M1023" s="17"/>
    </row>
    <row r="1024" spans="1:13" s="2" customFormat="1" x14ac:dyDescent="0.25">
      <c r="A1024" s="6"/>
      <c r="D1024" s="17"/>
      <c r="E1024" s="18"/>
      <c r="F1024" s="17"/>
      <c r="G1024" s="17"/>
      <c r="H1024" s="17"/>
      <c r="I1024" s="17"/>
      <c r="J1024" s="17"/>
      <c r="K1024" s="17"/>
      <c r="L1024" s="17"/>
      <c r="M1024" s="17"/>
    </row>
    <row r="1025" spans="1:13" s="2" customFormat="1" x14ac:dyDescent="0.25">
      <c r="A1025" s="6"/>
      <c r="D1025" s="17"/>
      <c r="E1025" s="18"/>
      <c r="F1025" s="17"/>
      <c r="G1025" s="17"/>
      <c r="H1025" s="17"/>
      <c r="I1025" s="17"/>
      <c r="J1025" s="17"/>
      <c r="K1025" s="17"/>
      <c r="L1025" s="17"/>
      <c r="M1025" s="17"/>
    </row>
    <row r="1026" spans="1:13" s="2" customFormat="1" x14ac:dyDescent="0.25">
      <c r="A1026" s="6"/>
      <c r="D1026" s="17"/>
      <c r="E1026" s="18"/>
      <c r="F1026" s="17"/>
      <c r="G1026" s="17"/>
      <c r="H1026" s="17"/>
      <c r="I1026" s="17"/>
      <c r="J1026" s="17"/>
      <c r="K1026" s="17"/>
      <c r="L1026" s="17"/>
      <c r="M1026" s="17"/>
    </row>
    <row r="1027" spans="1:13" s="2" customFormat="1" x14ac:dyDescent="0.25">
      <c r="A1027" s="6"/>
      <c r="D1027" s="17"/>
      <c r="E1027" s="18"/>
      <c r="F1027" s="17"/>
      <c r="G1027" s="17"/>
      <c r="H1027" s="17"/>
      <c r="I1027" s="17"/>
      <c r="J1027" s="17"/>
      <c r="K1027" s="17"/>
      <c r="L1027" s="17"/>
      <c r="M1027" s="17"/>
    </row>
    <row r="1028" spans="1:13" s="2" customFormat="1" x14ac:dyDescent="0.25">
      <c r="A1028" s="6"/>
      <c r="D1028" s="17"/>
      <c r="E1028" s="18"/>
      <c r="F1028" s="17"/>
      <c r="G1028" s="17"/>
      <c r="H1028" s="17"/>
      <c r="I1028" s="17"/>
      <c r="J1028" s="17"/>
      <c r="K1028" s="17"/>
      <c r="L1028" s="17"/>
      <c r="M1028" s="17"/>
    </row>
    <row r="1029" spans="1:13" s="2" customFormat="1" x14ac:dyDescent="0.25">
      <c r="A1029" s="6"/>
      <c r="D1029" s="17"/>
      <c r="E1029" s="18"/>
      <c r="F1029" s="17"/>
      <c r="G1029" s="17"/>
      <c r="H1029" s="17"/>
      <c r="I1029" s="17"/>
      <c r="J1029" s="17"/>
      <c r="K1029" s="17"/>
      <c r="L1029" s="17"/>
      <c r="M1029" s="17"/>
    </row>
    <row r="1030" spans="1:13" s="2" customFormat="1" x14ac:dyDescent="0.25">
      <c r="A1030" s="6"/>
      <c r="D1030" s="17"/>
      <c r="E1030" s="18"/>
      <c r="F1030" s="17"/>
      <c r="G1030" s="17"/>
      <c r="H1030" s="17"/>
      <c r="I1030" s="17"/>
      <c r="J1030" s="17"/>
      <c r="K1030" s="17"/>
      <c r="L1030" s="17"/>
      <c r="M1030" s="17"/>
    </row>
    <row r="1031" spans="1:13" s="2" customFormat="1" x14ac:dyDescent="0.25">
      <c r="A1031" s="6"/>
      <c r="D1031" s="17"/>
      <c r="E1031" s="18"/>
      <c r="F1031" s="17"/>
      <c r="G1031" s="17"/>
      <c r="H1031" s="17"/>
      <c r="I1031" s="17"/>
      <c r="J1031" s="17"/>
      <c r="K1031" s="17"/>
      <c r="L1031" s="17"/>
      <c r="M1031" s="17"/>
    </row>
    <row r="1032" spans="1:13" s="2" customFormat="1" x14ac:dyDescent="0.25">
      <c r="A1032" s="6"/>
      <c r="D1032" s="17"/>
      <c r="E1032" s="18"/>
      <c r="F1032" s="17"/>
      <c r="G1032" s="17"/>
      <c r="H1032" s="17"/>
      <c r="I1032" s="17"/>
      <c r="J1032" s="17"/>
      <c r="K1032" s="17"/>
      <c r="L1032" s="17"/>
      <c r="M1032" s="17"/>
    </row>
    <row r="1033" spans="1:13" s="2" customFormat="1" x14ac:dyDescent="0.25">
      <c r="A1033" s="6"/>
      <c r="D1033" s="17"/>
      <c r="E1033" s="18"/>
      <c r="F1033" s="17"/>
      <c r="G1033" s="17"/>
      <c r="H1033" s="17"/>
      <c r="I1033" s="17"/>
      <c r="J1033" s="17"/>
      <c r="K1033" s="17"/>
      <c r="L1033" s="17"/>
      <c r="M1033" s="17"/>
    </row>
    <row r="1034" spans="1:13" s="2" customFormat="1" x14ac:dyDescent="0.25">
      <c r="A1034" s="6"/>
      <c r="D1034" s="17"/>
      <c r="E1034" s="18"/>
      <c r="F1034" s="17"/>
      <c r="G1034" s="17"/>
      <c r="H1034" s="17"/>
      <c r="I1034" s="17"/>
      <c r="J1034" s="17"/>
      <c r="K1034" s="17"/>
      <c r="L1034" s="17"/>
      <c r="M1034" s="17"/>
    </row>
    <row r="1035" spans="1:13" s="2" customFormat="1" x14ac:dyDescent="0.25">
      <c r="A1035" s="6"/>
      <c r="D1035" s="17"/>
      <c r="E1035" s="18"/>
      <c r="F1035" s="17"/>
      <c r="G1035" s="17"/>
      <c r="H1035" s="17"/>
      <c r="I1035" s="17"/>
      <c r="J1035" s="17"/>
      <c r="K1035" s="17"/>
      <c r="L1035" s="17"/>
      <c r="M1035" s="17"/>
    </row>
    <row r="1036" spans="1:13" s="2" customFormat="1" x14ac:dyDescent="0.25">
      <c r="A1036" s="6"/>
      <c r="D1036" s="17"/>
      <c r="E1036" s="18"/>
      <c r="F1036" s="17"/>
      <c r="G1036" s="17"/>
      <c r="H1036" s="17"/>
      <c r="I1036" s="17"/>
      <c r="J1036" s="17"/>
      <c r="K1036" s="17"/>
      <c r="L1036" s="17"/>
      <c r="M1036" s="17"/>
    </row>
    <row r="1037" spans="1:13" s="2" customFormat="1" x14ac:dyDescent="0.25">
      <c r="A1037" s="6"/>
      <c r="D1037" s="17"/>
      <c r="E1037" s="18"/>
      <c r="F1037" s="17"/>
      <c r="G1037" s="17"/>
      <c r="H1037" s="17"/>
      <c r="I1037" s="17"/>
      <c r="J1037" s="17"/>
      <c r="K1037" s="17"/>
      <c r="L1037" s="17"/>
      <c r="M1037" s="17"/>
    </row>
    <row r="1038" spans="1:13" s="2" customFormat="1" x14ac:dyDescent="0.25">
      <c r="A1038" s="6"/>
      <c r="D1038" s="17"/>
      <c r="E1038" s="18"/>
      <c r="F1038" s="17"/>
      <c r="G1038" s="17"/>
      <c r="H1038" s="17"/>
      <c r="I1038" s="17"/>
      <c r="J1038" s="17"/>
      <c r="K1038" s="17"/>
      <c r="L1038" s="17"/>
      <c r="M1038" s="17"/>
    </row>
    <row r="1039" spans="1:13" s="2" customFormat="1" x14ac:dyDescent="0.25">
      <c r="A1039" s="6"/>
      <c r="D1039" s="17"/>
      <c r="E1039" s="18"/>
      <c r="F1039" s="17"/>
      <c r="G1039" s="17"/>
      <c r="H1039" s="17"/>
      <c r="I1039" s="17"/>
      <c r="J1039" s="17"/>
      <c r="K1039" s="17"/>
      <c r="L1039" s="17"/>
      <c r="M1039" s="17"/>
    </row>
    <row r="1040" spans="1:13" s="2" customFormat="1" x14ac:dyDescent="0.25">
      <c r="A1040" s="6"/>
      <c r="D1040" s="17"/>
      <c r="E1040" s="18"/>
      <c r="F1040" s="17"/>
      <c r="G1040" s="17"/>
      <c r="H1040" s="17"/>
      <c r="I1040" s="17"/>
      <c r="J1040" s="17"/>
      <c r="K1040" s="17"/>
      <c r="L1040" s="17"/>
      <c r="M1040" s="17"/>
    </row>
    <row r="1041" spans="1:13" s="2" customFormat="1" x14ac:dyDescent="0.25">
      <c r="A1041" s="6"/>
      <c r="D1041" s="17"/>
      <c r="E1041" s="18"/>
      <c r="F1041" s="17"/>
      <c r="G1041" s="17"/>
      <c r="H1041" s="17"/>
      <c r="I1041" s="17"/>
      <c r="J1041" s="17"/>
      <c r="K1041" s="17"/>
      <c r="L1041" s="17"/>
      <c r="M1041" s="17"/>
    </row>
    <row r="1042" spans="1:13" s="2" customFormat="1" x14ac:dyDescent="0.25">
      <c r="A1042" s="6"/>
      <c r="D1042" s="17"/>
      <c r="E1042" s="18"/>
      <c r="F1042" s="17"/>
      <c r="G1042" s="17"/>
      <c r="H1042" s="17"/>
      <c r="I1042" s="17"/>
      <c r="J1042" s="17"/>
      <c r="K1042" s="17"/>
      <c r="L1042" s="17"/>
      <c r="M1042" s="17"/>
    </row>
    <row r="1043" spans="1:13" s="2" customFormat="1" x14ac:dyDescent="0.25">
      <c r="A1043" s="6"/>
      <c r="D1043" s="17"/>
      <c r="E1043" s="18"/>
      <c r="F1043" s="17"/>
      <c r="G1043" s="17"/>
      <c r="H1043" s="17"/>
      <c r="I1043" s="17"/>
      <c r="J1043" s="17"/>
      <c r="K1043" s="17"/>
      <c r="L1043" s="17"/>
      <c r="M1043" s="17"/>
    </row>
    <row r="1044" spans="1:13" s="2" customFormat="1" x14ac:dyDescent="0.25">
      <c r="A1044" s="6"/>
      <c r="D1044" s="17"/>
      <c r="E1044" s="18"/>
      <c r="F1044" s="17"/>
      <c r="G1044" s="17"/>
      <c r="H1044" s="17"/>
      <c r="I1044" s="17"/>
      <c r="J1044" s="17"/>
      <c r="K1044" s="17"/>
      <c r="L1044" s="17"/>
      <c r="M1044" s="17"/>
    </row>
    <row r="1045" spans="1:13" s="2" customFormat="1" x14ac:dyDescent="0.25">
      <c r="A1045" s="6"/>
      <c r="D1045" s="17"/>
      <c r="E1045" s="18"/>
      <c r="F1045" s="17"/>
      <c r="G1045" s="17"/>
      <c r="H1045" s="17"/>
      <c r="I1045" s="17"/>
      <c r="J1045" s="17"/>
      <c r="K1045" s="17"/>
      <c r="L1045" s="17"/>
      <c r="M1045" s="17"/>
    </row>
    <row r="1046" spans="1:13" s="2" customFormat="1" x14ac:dyDescent="0.25">
      <c r="A1046" s="6"/>
      <c r="D1046" s="17"/>
      <c r="E1046" s="18"/>
      <c r="F1046" s="17"/>
      <c r="G1046" s="17"/>
      <c r="H1046" s="17"/>
      <c r="I1046" s="17"/>
      <c r="J1046" s="17"/>
      <c r="K1046" s="17"/>
      <c r="L1046" s="17"/>
      <c r="M1046" s="17"/>
    </row>
    <row r="1047" spans="1:13" s="2" customFormat="1" x14ac:dyDescent="0.25">
      <c r="A1047" s="6"/>
      <c r="D1047" s="17"/>
      <c r="E1047" s="18"/>
      <c r="F1047" s="17"/>
      <c r="G1047" s="17"/>
      <c r="H1047" s="17"/>
      <c r="I1047" s="17"/>
      <c r="J1047" s="17"/>
      <c r="K1047" s="17"/>
      <c r="L1047" s="17"/>
      <c r="M1047" s="17"/>
    </row>
    <row r="1048" spans="1:13" s="2" customFormat="1" x14ac:dyDescent="0.25">
      <c r="A1048" s="6"/>
      <c r="D1048" s="17"/>
      <c r="E1048" s="18"/>
      <c r="F1048" s="17"/>
      <c r="G1048" s="17"/>
      <c r="H1048" s="17"/>
      <c r="I1048" s="17"/>
      <c r="J1048" s="17"/>
      <c r="K1048" s="17"/>
      <c r="L1048" s="17"/>
      <c r="M1048" s="17"/>
    </row>
    <row r="1049" spans="1:13" s="2" customFormat="1" x14ac:dyDescent="0.25">
      <c r="A1049" s="6"/>
      <c r="D1049" s="17"/>
      <c r="E1049" s="18"/>
      <c r="F1049" s="17"/>
      <c r="G1049" s="17"/>
      <c r="H1049" s="17"/>
      <c r="I1049" s="17"/>
      <c r="J1049" s="17"/>
      <c r="K1049" s="17"/>
      <c r="L1049" s="17"/>
      <c r="M1049" s="17"/>
    </row>
    <row r="1050" spans="1:13" s="2" customFormat="1" x14ac:dyDescent="0.25">
      <c r="A1050" s="6"/>
      <c r="D1050" s="17"/>
      <c r="E1050" s="18"/>
      <c r="F1050" s="17"/>
      <c r="G1050" s="17"/>
      <c r="H1050" s="17"/>
      <c r="I1050" s="17"/>
      <c r="J1050" s="17"/>
      <c r="K1050" s="17"/>
      <c r="L1050" s="17"/>
      <c r="M1050" s="17"/>
    </row>
    <row r="1051" spans="1:13" s="2" customFormat="1" x14ac:dyDescent="0.25">
      <c r="A1051" s="6"/>
      <c r="D1051" s="17"/>
      <c r="E1051" s="18"/>
      <c r="F1051" s="17"/>
      <c r="G1051" s="17"/>
      <c r="H1051" s="17"/>
      <c r="I1051" s="17"/>
      <c r="J1051" s="17"/>
      <c r="K1051" s="17"/>
      <c r="L1051" s="17"/>
      <c r="M1051" s="17"/>
    </row>
    <row r="1052" spans="1:13" s="2" customFormat="1" x14ac:dyDescent="0.25">
      <c r="A1052" s="6"/>
      <c r="D1052" s="17"/>
      <c r="E1052" s="18"/>
      <c r="F1052" s="17"/>
      <c r="G1052" s="17"/>
      <c r="H1052" s="17"/>
      <c r="I1052" s="17"/>
      <c r="J1052" s="17"/>
      <c r="K1052" s="17"/>
      <c r="L1052" s="17"/>
      <c r="M1052" s="17"/>
    </row>
    <row r="1053" spans="1:13" s="2" customFormat="1" x14ac:dyDescent="0.25">
      <c r="A1053" s="6"/>
      <c r="D1053" s="17"/>
      <c r="E1053" s="18"/>
      <c r="F1053" s="17"/>
      <c r="G1053" s="17"/>
      <c r="H1053" s="17"/>
      <c r="I1053" s="17"/>
      <c r="J1053" s="17"/>
      <c r="K1053" s="17"/>
      <c r="L1053" s="17"/>
      <c r="M1053" s="17"/>
    </row>
    <row r="1054" spans="1:13" s="2" customFormat="1" x14ac:dyDescent="0.25">
      <c r="A1054" s="6"/>
      <c r="D1054" s="17"/>
      <c r="E1054" s="18"/>
      <c r="F1054" s="17"/>
      <c r="G1054" s="17"/>
      <c r="H1054" s="17"/>
      <c r="I1054" s="17"/>
      <c r="J1054" s="17"/>
      <c r="K1054" s="17"/>
      <c r="L1054" s="17"/>
      <c r="M1054" s="17"/>
    </row>
    <row r="1055" spans="1:13" s="2" customFormat="1" x14ac:dyDescent="0.25">
      <c r="A1055" s="6"/>
      <c r="D1055" s="17"/>
      <c r="E1055" s="18"/>
      <c r="F1055" s="17"/>
      <c r="G1055" s="17"/>
      <c r="H1055" s="17"/>
      <c r="I1055" s="17"/>
      <c r="J1055" s="17"/>
      <c r="K1055" s="17"/>
      <c r="L1055" s="17"/>
      <c r="M1055" s="17"/>
    </row>
    <row r="1056" spans="1:13" s="2" customFormat="1" x14ac:dyDescent="0.25">
      <c r="A1056" s="6"/>
      <c r="D1056" s="17"/>
      <c r="E1056" s="18"/>
      <c r="F1056" s="17"/>
      <c r="G1056" s="17"/>
      <c r="H1056" s="17"/>
      <c r="I1056" s="17"/>
      <c r="J1056" s="17"/>
      <c r="K1056" s="17"/>
      <c r="L1056" s="17"/>
      <c r="M1056" s="17"/>
    </row>
    <row r="1057" spans="1:13" s="2" customFormat="1" x14ac:dyDescent="0.25">
      <c r="A1057" s="6"/>
      <c r="D1057" s="17"/>
      <c r="E1057" s="18"/>
      <c r="F1057" s="17"/>
      <c r="G1057" s="17"/>
      <c r="H1057" s="17"/>
      <c r="I1057" s="17"/>
      <c r="J1057" s="17"/>
      <c r="K1057" s="17"/>
      <c r="L1057" s="17"/>
      <c r="M1057" s="17"/>
    </row>
    <row r="1058" spans="1:13" s="2" customFormat="1" x14ac:dyDescent="0.25">
      <c r="A1058" s="6"/>
      <c r="D1058" s="17"/>
      <c r="E1058" s="18"/>
      <c r="F1058" s="17"/>
      <c r="G1058" s="17"/>
      <c r="H1058" s="17"/>
      <c r="I1058" s="17"/>
      <c r="J1058" s="17"/>
      <c r="K1058" s="17"/>
      <c r="L1058" s="17"/>
      <c r="M1058" s="17"/>
    </row>
    <row r="1059" spans="1:13" s="2" customFormat="1" x14ac:dyDescent="0.25">
      <c r="A1059" s="6"/>
      <c r="D1059" s="17"/>
      <c r="E1059" s="18"/>
      <c r="F1059" s="17"/>
      <c r="G1059" s="17"/>
      <c r="H1059" s="17"/>
      <c r="I1059" s="17"/>
      <c r="J1059" s="17"/>
      <c r="K1059" s="17"/>
      <c r="L1059" s="17"/>
      <c r="M1059" s="17"/>
    </row>
    <row r="1060" spans="1:13" s="2" customFormat="1" x14ac:dyDescent="0.25">
      <c r="A1060" s="6"/>
      <c r="D1060" s="17"/>
      <c r="E1060" s="18"/>
      <c r="F1060" s="17"/>
      <c r="G1060" s="17"/>
      <c r="H1060" s="17"/>
      <c r="I1060" s="17"/>
      <c r="J1060" s="17"/>
      <c r="K1060" s="17"/>
      <c r="L1060" s="17"/>
      <c r="M1060" s="17"/>
    </row>
    <row r="1061" spans="1:13" s="2" customFormat="1" x14ac:dyDescent="0.25">
      <c r="A1061" s="6"/>
      <c r="D1061" s="17"/>
      <c r="E1061" s="18"/>
      <c r="F1061" s="17"/>
      <c r="G1061" s="17"/>
      <c r="H1061" s="17"/>
      <c r="I1061" s="17"/>
      <c r="J1061" s="17"/>
      <c r="K1061" s="17"/>
      <c r="L1061" s="17"/>
      <c r="M1061" s="17"/>
    </row>
    <row r="1062" spans="1:13" s="2" customFormat="1" x14ac:dyDescent="0.25">
      <c r="A1062" s="6"/>
      <c r="D1062" s="17"/>
      <c r="E1062" s="18"/>
      <c r="F1062" s="17"/>
      <c r="G1062" s="17"/>
      <c r="H1062" s="17"/>
      <c r="I1062" s="17"/>
      <c r="J1062" s="17"/>
      <c r="K1062" s="17"/>
      <c r="L1062" s="17"/>
      <c r="M1062" s="17"/>
    </row>
    <row r="1063" spans="1:13" s="2" customFormat="1" x14ac:dyDescent="0.25">
      <c r="A1063" s="6"/>
      <c r="D1063" s="17"/>
      <c r="E1063" s="18"/>
      <c r="F1063" s="17"/>
      <c r="G1063" s="17"/>
      <c r="H1063" s="17"/>
      <c r="I1063" s="17"/>
      <c r="J1063" s="17"/>
      <c r="K1063" s="17"/>
      <c r="L1063" s="17"/>
      <c r="M1063" s="17"/>
    </row>
    <row r="1064" spans="1:13" s="2" customFormat="1" x14ac:dyDescent="0.25">
      <c r="A1064" s="6"/>
      <c r="D1064" s="17"/>
      <c r="E1064" s="18"/>
      <c r="F1064" s="17"/>
      <c r="G1064" s="17"/>
      <c r="H1064" s="17"/>
      <c r="I1064" s="17"/>
      <c r="J1064" s="17"/>
      <c r="K1064" s="17"/>
      <c r="L1064" s="17"/>
      <c r="M1064" s="17"/>
    </row>
    <row r="1065" spans="1:13" s="2" customFormat="1" x14ac:dyDescent="0.25">
      <c r="A1065" s="6"/>
      <c r="D1065" s="17"/>
      <c r="E1065" s="18"/>
      <c r="F1065" s="17"/>
      <c r="G1065" s="17"/>
      <c r="H1065" s="17"/>
      <c r="I1065" s="17"/>
      <c r="J1065" s="17"/>
      <c r="K1065" s="17"/>
      <c r="L1065" s="17"/>
      <c r="M1065" s="17"/>
    </row>
    <row r="1066" spans="1:13" s="2" customFormat="1" x14ac:dyDescent="0.25">
      <c r="A1066" s="6"/>
      <c r="D1066" s="17"/>
      <c r="E1066" s="18"/>
      <c r="F1066" s="17"/>
      <c r="G1066" s="17"/>
      <c r="H1066" s="17"/>
      <c r="I1066" s="17"/>
      <c r="J1066" s="17"/>
      <c r="K1066" s="17"/>
      <c r="L1066" s="17"/>
      <c r="M1066" s="17"/>
    </row>
    <row r="1067" spans="1:13" s="2" customFormat="1" x14ac:dyDescent="0.25">
      <c r="A1067" s="6"/>
      <c r="D1067" s="17"/>
      <c r="E1067" s="18"/>
      <c r="F1067" s="17"/>
      <c r="G1067" s="17"/>
      <c r="H1067" s="17"/>
      <c r="I1067" s="17"/>
      <c r="J1067" s="17"/>
      <c r="K1067" s="17"/>
      <c r="L1067" s="17"/>
      <c r="M1067" s="17"/>
    </row>
    <row r="1068" spans="1:13" s="2" customFormat="1" x14ac:dyDescent="0.25">
      <c r="A1068" s="6"/>
      <c r="D1068" s="17"/>
      <c r="E1068" s="18"/>
      <c r="F1068" s="17"/>
      <c r="G1068" s="17"/>
      <c r="H1068" s="17"/>
      <c r="I1068" s="17"/>
      <c r="J1068" s="17"/>
      <c r="K1068" s="17"/>
      <c r="L1068" s="17"/>
      <c r="M1068" s="17"/>
    </row>
    <row r="1069" spans="1:13" s="2" customFormat="1" x14ac:dyDescent="0.25">
      <c r="A1069" s="6"/>
      <c r="D1069" s="17"/>
      <c r="E1069" s="18"/>
      <c r="F1069" s="17"/>
      <c r="G1069" s="17"/>
      <c r="H1069" s="17"/>
      <c r="I1069" s="17"/>
      <c r="J1069" s="17"/>
      <c r="K1069" s="17"/>
      <c r="L1069" s="17"/>
      <c r="M1069" s="17"/>
    </row>
    <row r="1070" spans="1:13" s="2" customFormat="1" x14ac:dyDescent="0.25">
      <c r="A1070" s="6"/>
      <c r="D1070" s="17"/>
      <c r="E1070" s="18"/>
      <c r="F1070" s="17"/>
      <c r="G1070" s="17"/>
      <c r="H1070" s="17"/>
      <c r="I1070" s="17"/>
      <c r="J1070" s="17"/>
      <c r="K1070" s="17"/>
      <c r="L1070" s="17"/>
      <c r="M1070" s="17"/>
    </row>
    <row r="1071" spans="1:13" s="2" customFormat="1" x14ac:dyDescent="0.25">
      <c r="A1071" s="6"/>
      <c r="D1071" s="17"/>
      <c r="E1071" s="18"/>
      <c r="F1071" s="17"/>
      <c r="G1071" s="17"/>
      <c r="H1071" s="17"/>
      <c r="I1071" s="17"/>
      <c r="J1071" s="17"/>
      <c r="K1071" s="17"/>
      <c r="L1071" s="17"/>
      <c r="M1071" s="17"/>
    </row>
    <row r="1072" spans="1:13" s="2" customFormat="1" x14ac:dyDescent="0.25">
      <c r="A1072" s="6"/>
      <c r="D1072" s="17"/>
      <c r="E1072" s="18"/>
      <c r="F1072" s="17"/>
      <c r="G1072" s="17"/>
      <c r="H1072" s="17"/>
      <c r="I1072" s="17"/>
      <c r="J1072" s="17"/>
      <c r="K1072" s="17"/>
      <c r="L1072" s="17"/>
      <c r="M1072" s="17"/>
    </row>
    <row r="1073" spans="1:13" s="2" customFormat="1" x14ac:dyDescent="0.25">
      <c r="A1073" s="6"/>
      <c r="D1073" s="17"/>
      <c r="E1073" s="18"/>
      <c r="F1073" s="17"/>
      <c r="G1073" s="17"/>
      <c r="H1073" s="17"/>
      <c r="I1073" s="17"/>
      <c r="J1073" s="17"/>
      <c r="K1073" s="17"/>
      <c r="L1073" s="17"/>
      <c r="M1073" s="17"/>
    </row>
    <row r="1074" spans="1:13" s="2" customFormat="1" x14ac:dyDescent="0.25">
      <c r="A1074" s="6"/>
      <c r="D1074" s="17"/>
      <c r="E1074" s="18"/>
      <c r="F1074" s="17"/>
      <c r="G1074" s="17"/>
      <c r="H1074" s="17"/>
      <c r="I1074" s="17"/>
      <c r="J1074" s="17"/>
      <c r="K1074" s="17"/>
      <c r="L1074" s="17"/>
      <c r="M1074" s="17"/>
    </row>
    <row r="1075" spans="1:13" s="2" customFormat="1" x14ac:dyDescent="0.25">
      <c r="A1075" s="6"/>
      <c r="D1075" s="17"/>
      <c r="E1075" s="18"/>
      <c r="F1075" s="17"/>
      <c r="G1075" s="17"/>
      <c r="H1075" s="17"/>
      <c r="I1075" s="17"/>
      <c r="J1075" s="17"/>
      <c r="K1075" s="17"/>
      <c r="L1075" s="17"/>
      <c r="M1075" s="17"/>
    </row>
    <row r="1076" spans="1:13" s="2" customFormat="1" x14ac:dyDescent="0.25">
      <c r="A1076" s="6"/>
      <c r="D1076" s="17"/>
      <c r="E1076" s="18"/>
      <c r="F1076" s="17"/>
      <c r="G1076" s="17"/>
      <c r="H1076" s="17"/>
      <c r="I1076" s="17"/>
      <c r="J1076" s="17"/>
      <c r="K1076" s="17"/>
      <c r="L1076" s="17"/>
      <c r="M1076" s="17"/>
    </row>
    <row r="1077" spans="1:13" s="2" customFormat="1" x14ac:dyDescent="0.25">
      <c r="A1077" s="6"/>
      <c r="D1077" s="17"/>
      <c r="E1077" s="18"/>
      <c r="F1077" s="17"/>
      <c r="G1077" s="17"/>
      <c r="H1077" s="17"/>
      <c r="I1077" s="17"/>
      <c r="J1077" s="17"/>
      <c r="K1077" s="17"/>
      <c r="L1077" s="17"/>
      <c r="M1077" s="17"/>
    </row>
    <row r="1078" spans="1:13" s="2" customFormat="1" x14ac:dyDescent="0.25">
      <c r="A1078" s="6"/>
      <c r="D1078" s="17"/>
      <c r="E1078" s="18"/>
      <c r="F1078" s="17"/>
      <c r="G1078" s="17"/>
      <c r="H1078" s="17"/>
      <c r="I1078" s="17"/>
      <c r="J1078" s="17"/>
      <c r="K1078" s="17"/>
      <c r="L1078" s="17"/>
      <c r="M1078" s="17"/>
    </row>
    <row r="1079" spans="1:13" s="2" customFormat="1" x14ac:dyDescent="0.25">
      <c r="A1079" s="6"/>
      <c r="D1079" s="17"/>
      <c r="E1079" s="18"/>
      <c r="F1079" s="17"/>
      <c r="G1079" s="17"/>
      <c r="H1079" s="17"/>
      <c r="I1079" s="17"/>
      <c r="J1079" s="17"/>
      <c r="K1079" s="17"/>
      <c r="L1079" s="17"/>
      <c r="M1079" s="17"/>
    </row>
    <row r="1080" spans="1:13" s="2" customFormat="1" x14ac:dyDescent="0.25">
      <c r="A1080" s="6"/>
      <c r="D1080" s="17"/>
      <c r="E1080" s="18"/>
      <c r="F1080" s="17"/>
      <c r="G1080" s="17"/>
      <c r="H1080" s="17"/>
      <c r="I1080" s="17"/>
      <c r="J1080" s="17"/>
      <c r="K1080" s="17"/>
      <c r="L1080" s="17"/>
      <c r="M1080" s="17"/>
    </row>
    <row r="1081" spans="1:13" s="2" customFormat="1" x14ac:dyDescent="0.25">
      <c r="A1081" s="6"/>
      <c r="D1081" s="17"/>
      <c r="E1081" s="18"/>
      <c r="F1081" s="17"/>
      <c r="G1081" s="17"/>
      <c r="H1081" s="17"/>
      <c r="I1081" s="17"/>
      <c r="J1081" s="17"/>
      <c r="K1081" s="17"/>
      <c r="L1081" s="17"/>
      <c r="M1081" s="17"/>
    </row>
    <row r="1082" spans="1:13" s="2" customFormat="1" x14ac:dyDescent="0.25">
      <c r="A1082" s="6"/>
      <c r="D1082" s="17"/>
      <c r="E1082" s="18"/>
      <c r="F1082" s="17"/>
      <c r="G1082" s="17"/>
      <c r="H1082" s="17"/>
      <c r="I1082" s="17"/>
      <c r="J1082" s="17"/>
      <c r="K1082" s="17"/>
      <c r="L1082" s="17"/>
      <c r="M1082" s="17"/>
    </row>
    <row r="1083" spans="1:13" s="2" customFormat="1" x14ac:dyDescent="0.25">
      <c r="A1083" s="6"/>
      <c r="D1083" s="17"/>
      <c r="E1083" s="18"/>
      <c r="F1083" s="17"/>
      <c r="G1083" s="17"/>
      <c r="H1083" s="17"/>
      <c r="I1083" s="17"/>
      <c r="J1083" s="17"/>
      <c r="K1083" s="17"/>
      <c r="L1083" s="17"/>
      <c r="M1083" s="17"/>
    </row>
    <row r="1084" spans="1:13" s="2" customFormat="1" x14ac:dyDescent="0.25">
      <c r="A1084" s="6"/>
      <c r="D1084" s="17"/>
      <c r="E1084" s="18"/>
      <c r="F1084" s="17"/>
      <c r="G1084" s="17"/>
      <c r="H1084" s="17"/>
      <c r="I1084" s="17"/>
      <c r="J1084" s="17"/>
      <c r="K1084" s="17"/>
      <c r="L1084" s="17"/>
      <c r="M1084" s="17"/>
    </row>
    <row r="1085" spans="1:13" s="2" customFormat="1" x14ac:dyDescent="0.25">
      <c r="A1085" s="6"/>
      <c r="D1085" s="17"/>
      <c r="E1085" s="18"/>
      <c r="F1085" s="17"/>
      <c r="G1085" s="17"/>
      <c r="H1085" s="17"/>
      <c r="I1085" s="17"/>
      <c r="J1085" s="17"/>
      <c r="K1085" s="17"/>
      <c r="L1085" s="17"/>
      <c r="M1085" s="17"/>
    </row>
    <row r="1086" spans="1:13" s="2" customFormat="1" x14ac:dyDescent="0.25">
      <c r="A1086" s="6"/>
      <c r="D1086" s="17"/>
      <c r="E1086" s="18"/>
      <c r="F1086" s="17"/>
      <c r="G1086" s="17"/>
      <c r="H1086" s="17"/>
      <c r="I1086" s="17"/>
      <c r="J1086" s="17"/>
      <c r="K1086" s="17"/>
      <c r="L1086" s="17"/>
      <c r="M1086" s="17"/>
    </row>
    <row r="1087" spans="1:13" s="2" customFormat="1" x14ac:dyDescent="0.25">
      <c r="A1087" s="6"/>
      <c r="D1087" s="17"/>
      <c r="E1087" s="18"/>
      <c r="F1087" s="17"/>
      <c r="G1087" s="17"/>
      <c r="H1087" s="17"/>
      <c r="I1087" s="17"/>
      <c r="J1087" s="17"/>
      <c r="K1087" s="17"/>
      <c r="L1087" s="17"/>
      <c r="M1087" s="17"/>
    </row>
    <row r="1088" spans="1:13" s="2" customFormat="1" x14ac:dyDescent="0.25">
      <c r="A1088" s="6"/>
      <c r="D1088" s="17"/>
      <c r="E1088" s="18"/>
      <c r="F1088" s="17"/>
      <c r="G1088" s="17"/>
      <c r="H1088" s="17"/>
      <c r="I1088" s="17"/>
      <c r="J1088" s="17"/>
      <c r="K1088" s="17"/>
      <c r="L1088" s="17"/>
      <c r="M1088" s="17"/>
    </row>
    <row r="1089" spans="1:13" s="2" customFormat="1" x14ac:dyDescent="0.25">
      <c r="A1089" s="6"/>
      <c r="D1089" s="17"/>
      <c r="E1089" s="18"/>
      <c r="F1089" s="17"/>
      <c r="G1089" s="17"/>
      <c r="H1089" s="17"/>
      <c r="I1089" s="17"/>
      <c r="J1089" s="17"/>
      <c r="K1089" s="17"/>
      <c r="L1089" s="17"/>
      <c r="M1089" s="17"/>
    </row>
    <row r="1090" spans="1:13" s="2" customFormat="1" x14ac:dyDescent="0.25">
      <c r="A1090" s="6"/>
      <c r="D1090" s="17"/>
      <c r="E1090" s="18"/>
      <c r="F1090" s="17"/>
      <c r="G1090" s="17"/>
      <c r="H1090" s="17"/>
      <c r="I1090" s="17"/>
      <c r="J1090" s="17"/>
      <c r="K1090" s="17"/>
      <c r="L1090" s="17"/>
      <c r="M1090" s="17"/>
    </row>
    <row r="1091" spans="1:13" s="2" customFormat="1" x14ac:dyDescent="0.25">
      <c r="A1091" s="6"/>
      <c r="D1091" s="17"/>
      <c r="E1091" s="18"/>
      <c r="F1091" s="17"/>
      <c r="G1091" s="17"/>
      <c r="H1091" s="17"/>
      <c r="I1091" s="17"/>
      <c r="J1091" s="17"/>
      <c r="K1091" s="17"/>
      <c r="L1091" s="17"/>
      <c r="M1091" s="17"/>
    </row>
    <row r="1092" spans="1:13" s="2" customFormat="1" x14ac:dyDescent="0.25">
      <c r="A1092" s="6"/>
      <c r="D1092" s="17"/>
      <c r="E1092" s="18"/>
      <c r="F1092" s="17"/>
      <c r="G1092" s="17"/>
      <c r="H1092" s="17"/>
      <c r="I1092" s="17"/>
      <c r="J1092" s="17"/>
      <c r="K1092" s="17"/>
      <c r="L1092" s="17"/>
      <c r="M1092" s="17"/>
    </row>
    <row r="1093" spans="1:13" s="2" customFormat="1" x14ac:dyDescent="0.25">
      <c r="A1093" s="6"/>
      <c r="D1093" s="17"/>
      <c r="E1093" s="18"/>
      <c r="F1093" s="17"/>
      <c r="G1093" s="17"/>
      <c r="H1093" s="17"/>
      <c r="I1093" s="17"/>
      <c r="J1093" s="17"/>
      <c r="K1093" s="17"/>
      <c r="L1093" s="17"/>
      <c r="M1093" s="17"/>
    </row>
    <row r="1094" spans="1:13" s="2" customFormat="1" x14ac:dyDescent="0.25">
      <c r="A1094" s="6"/>
      <c r="D1094" s="17"/>
      <c r="E1094" s="18"/>
      <c r="F1094" s="17"/>
      <c r="G1094" s="17"/>
      <c r="H1094" s="17"/>
      <c r="I1094" s="17"/>
      <c r="J1094" s="17"/>
      <c r="K1094" s="17"/>
      <c r="L1094" s="17"/>
      <c r="M1094" s="17"/>
    </row>
  </sheetData>
  <sortState xmlns:xlrd2="http://schemas.microsoft.com/office/spreadsheetml/2017/richdata2" columnSort="1" ref="B5:N73">
    <sortCondition ref="B5:N5"/>
  </sortState>
  <phoneticPr fontId="0" type="noConversion"/>
  <pageMargins left="0.75" right="0.75" top="1" bottom="1" header="0.5" footer="0.5"/>
  <pageSetup scale="68" orientation="landscape" horizontalDpi="300" verticalDpi="300"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2F7B9-AEE2-423E-BBDE-A980D9E2CC98}">
  <sheetPr>
    <tabColor rgb="FF0070C0"/>
    <pageSetUpPr fitToPage="1"/>
  </sheetPr>
  <dimension ref="A1:BF1055"/>
  <sheetViews>
    <sheetView workbookViewId="0"/>
  </sheetViews>
  <sheetFormatPr defaultColWidth="9.140625" defaultRowHeight="15" x14ac:dyDescent="0.25"/>
  <cols>
    <col min="1" max="1" width="49.28515625" style="6" customWidth="1"/>
    <col min="2" max="3" width="10.7109375" style="7" hidden="1" customWidth="1"/>
    <col min="4" max="4" width="10.7109375" style="17" hidden="1" customWidth="1"/>
    <col min="5" max="5" width="10.7109375" style="18" hidden="1" customWidth="1"/>
    <col min="6" max="9" width="10.7109375" style="17" hidden="1" customWidth="1"/>
    <col min="10" max="13" width="10.7109375" style="17" customWidth="1"/>
    <col min="14" max="26" width="10.7109375" style="7" customWidth="1"/>
    <col min="27" max="58" width="9.140625" style="7"/>
    <col min="59" max="16384" width="9.140625" style="2"/>
  </cols>
  <sheetData>
    <row r="1" spans="1:58" x14ac:dyDescent="0.25">
      <c r="A1" s="4" t="str">
        <f>Inputs!A1</f>
        <v>Pfizer</v>
      </c>
      <c r="B1" s="2"/>
      <c r="C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row>
    <row r="2" spans="1:58" x14ac:dyDescent="0.25">
      <c r="A2" s="5" t="s">
        <v>128</v>
      </c>
      <c r="B2" s="2"/>
      <c r="C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row>
    <row r="3" spans="1:58" x14ac:dyDescent="0.25">
      <c r="A3" s="254"/>
    </row>
    <row r="4" spans="1:58" s="81" customFormat="1" x14ac:dyDescent="0.25">
      <c r="A4" s="80" t="str">
        <f>CONCATENATE("Fiscal Years Ending ",Inputs!B7)</f>
        <v>Fiscal Years Ending Dec. 31</v>
      </c>
      <c r="B4" s="81">
        <v>2012</v>
      </c>
      <c r="C4" s="81">
        <v>2013</v>
      </c>
      <c r="D4" s="81">
        <v>2014</v>
      </c>
      <c r="E4" s="81">
        <v>2015</v>
      </c>
      <c r="F4" s="81">
        <v>2016</v>
      </c>
      <c r="G4" s="81">
        <v>2017</v>
      </c>
      <c r="H4" s="81">
        <v>2018</v>
      </c>
      <c r="I4" s="81">
        <v>2019</v>
      </c>
      <c r="J4" s="81">
        <v>2020</v>
      </c>
      <c r="K4" s="81">
        <v>2021</v>
      </c>
      <c r="L4" s="81">
        <v>2022</v>
      </c>
      <c r="M4" s="81" t="s">
        <v>28</v>
      </c>
      <c r="N4" s="81" t="s">
        <v>29</v>
      </c>
      <c r="O4" s="81" t="s">
        <v>30</v>
      </c>
      <c r="P4" s="81" t="s">
        <v>31</v>
      </c>
      <c r="Q4" s="81" t="s">
        <v>32</v>
      </c>
      <c r="R4" s="81" t="s">
        <v>33</v>
      </c>
      <c r="S4" s="81" t="s">
        <v>34</v>
      </c>
      <c r="T4" s="81" t="s">
        <v>35</v>
      </c>
    </row>
    <row r="5" spans="1:58" s="9" customFormat="1" x14ac:dyDescent="0.25">
      <c r="A5" s="429" t="s">
        <v>153</v>
      </c>
      <c r="B5" s="430" t="s">
        <v>216</v>
      </c>
      <c r="C5" s="430" t="s">
        <v>216</v>
      </c>
      <c r="D5" s="430" t="s">
        <v>216</v>
      </c>
      <c r="E5" s="430" t="s">
        <v>216</v>
      </c>
      <c r="F5" s="472">
        <v>52824</v>
      </c>
      <c r="G5" s="472">
        <v>52546</v>
      </c>
      <c r="H5" s="472">
        <v>53647</v>
      </c>
      <c r="I5" s="472">
        <v>51750</v>
      </c>
      <c r="J5" s="472">
        <v>41908</v>
      </c>
      <c r="K5" s="472">
        <v>81288</v>
      </c>
      <c r="L5" s="472">
        <v>100330</v>
      </c>
      <c r="M5" s="461">
        <f>Rev!N5</f>
        <v>56395</v>
      </c>
      <c r="N5" s="461">
        <f>Rev!O5</f>
        <v>51560</v>
      </c>
      <c r="O5" s="461">
        <f>Rev!P5</f>
        <v>47910</v>
      </c>
      <c r="P5" s="461">
        <f>Rev!Q5</f>
        <v>46500</v>
      </c>
      <c r="Q5" s="461">
        <f>Rev!R5</f>
        <v>46100</v>
      </c>
      <c r="R5" s="461">
        <f>Rev!S5</f>
        <v>44380</v>
      </c>
      <c r="S5" s="461">
        <f>Rev!T5</f>
        <v>42875</v>
      </c>
      <c r="T5" s="461">
        <f>Rev!U5</f>
        <v>43070</v>
      </c>
    </row>
    <row r="6" spans="1:58" s="9" customFormat="1" x14ac:dyDescent="0.25">
      <c r="A6" s="186" t="s">
        <v>217</v>
      </c>
      <c r="B6" s="398"/>
      <c r="C6" s="398"/>
      <c r="D6" s="398"/>
      <c r="E6" s="398"/>
      <c r="F6" s="354"/>
      <c r="G6" s="354"/>
      <c r="H6" s="354"/>
      <c r="I6" s="354"/>
      <c r="J6" s="354"/>
      <c r="K6" s="354"/>
      <c r="L6" s="354"/>
      <c r="M6" s="461"/>
      <c r="N6" s="190"/>
      <c r="O6" s="190"/>
      <c r="P6" s="190"/>
      <c r="Q6" s="190"/>
      <c r="R6" s="190"/>
      <c r="S6" s="190"/>
      <c r="T6" s="190"/>
    </row>
    <row r="7" spans="1:58" s="9" customFormat="1" x14ac:dyDescent="0.25">
      <c r="A7" s="219" t="s">
        <v>154</v>
      </c>
      <c r="B7" s="181"/>
      <c r="C7" s="181"/>
      <c r="D7" s="182"/>
      <c r="E7" s="182"/>
      <c r="F7" s="354">
        <f>IS!F11-(IS_Sorted!F9+F10)</f>
        <v>6572</v>
      </c>
      <c r="G7" s="354">
        <f>IS!G11-(IS_Sorted!G9+G10)</f>
        <v>4971</v>
      </c>
      <c r="H7" s="354">
        <f>IS!H11-(IS_Sorted!H9+H10)</f>
        <v>4864</v>
      </c>
      <c r="I7" s="354">
        <f>IS!I11-(IS_Sorted!I9+I10)</f>
        <v>4209</v>
      </c>
      <c r="J7" s="354">
        <f>IS!J11-(IS_Sorted!J9+J10)</f>
        <v>3915</v>
      </c>
      <c r="K7" s="354">
        <f>IS!K11-(IS_Sorted!K9+K10)</f>
        <v>25630</v>
      </c>
      <c r="L7" s="354">
        <f>IS!L11-(IS_Sorted!L9+L10)</f>
        <v>29280</v>
      </c>
      <c r="M7" s="461">
        <f>M$5*Inputs!$N$89+11500</f>
        <v>20294.160698107054</v>
      </c>
      <c r="N7" s="461">
        <f>N$5*Inputs!$N$89</f>
        <v>8040.1972798013967</v>
      </c>
      <c r="O7" s="461">
        <f>O$5*Inputs!$N$89</f>
        <v>7471.0211729108787</v>
      </c>
      <c r="P7" s="461">
        <f>P$5*Inputs!$N$89</f>
        <v>7251.1476631257747</v>
      </c>
      <c r="Q7" s="461">
        <f>Q$5*Inputs!$N$89</f>
        <v>7188.7721993569512</v>
      </c>
      <c r="R7" s="461">
        <f>R$5*Inputs!$N$89</f>
        <v>6920.5577051510081</v>
      </c>
      <c r="S7" s="461">
        <f>S$5*Inputs!$N$89</f>
        <v>6685.8700227208083</v>
      </c>
      <c r="T7" s="461">
        <f>T$5*Inputs!$N$89</f>
        <v>6716.2780613081104</v>
      </c>
      <c r="U7" s="6"/>
      <c r="X7" s="190"/>
    </row>
    <row r="8" spans="1:58" s="9" customFormat="1" x14ac:dyDescent="0.25">
      <c r="A8" s="308" t="s">
        <v>615</v>
      </c>
      <c r="B8" s="309"/>
      <c r="C8" s="309"/>
      <c r="D8" s="310"/>
      <c r="E8" s="310"/>
      <c r="F8" s="311">
        <f>(F5-F7)/F5</f>
        <v>0.87558685446009388</v>
      </c>
      <c r="G8" s="311">
        <f t="shared" ref="G8:T8" si="0">(G5-G7)/G5</f>
        <v>0.90539717580786361</v>
      </c>
      <c r="H8" s="311">
        <f t="shared" si="0"/>
        <v>0.90933323391801968</v>
      </c>
      <c r="I8" s="311">
        <f t="shared" si="0"/>
        <v>0.91866666666666663</v>
      </c>
      <c r="J8" s="311">
        <f t="shared" si="0"/>
        <v>0.90658108237090773</v>
      </c>
      <c r="K8" s="311">
        <f t="shared" si="0"/>
        <v>0.68470130892628678</v>
      </c>
      <c r="L8" s="311">
        <f t="shared" si="0"/>
        <v>0.70816306189574407</v>
      </c>
      <c r="M8" s="462">
        <f t="shared" si="0"/>
        <v>0.64014255345142212</v>
      </c>
      <c r="N8" s="462">
        <f t="shared" si="0"/>
        <v>0.84406134057794036</v>
      </c>
      <c r="O8" s="462">
        <f t="shared" si="0"/>
        <v>0.84406134057794036</v>
      </c>
      <c r="P8" s="462">
        <f t="shared" si="0"/>
        <v>0.84406134057794036</v>
      </c>
      <c r="Q8" s="462">
        <f t="shared" si="0"/>
        <v>0.84406134057794036</v>
      </c>
      <c r="R8" s="462">
        <f t="shared" si="0"/>
        <v>0.84406134057794047</v>
      </c>
      <c r="S8" s="462">
        <f t="shared" si="0"/>
        <v>0.84406134057794024</v>
      </c>
      <c r="T8" s="462">
        <f t="shared" si="0"/>
        <v>0.84406134057794024</v>
      </c>
      <c r="X8" s="190"/>
    </row>
    <row r="9" spans="1:58" s="9" customFormat="1" x14ac:dyDescent="0.25">
      <c r="A9" s="219" t="s">
        <v>658</v>
      </c>
      <c r="B9" s="181"/>
      <c r="C9" s="181"/>
      <c r="D9" s="182"/>
      <c r="E9" s="182"/>
      <c r="F9" s="354">
        <f>CF_H!F8-F10</f>
        <v>1701</v>
      </c>
      <c r="G9" s="354">
        <f>CF_H!G8-G10</f>
        <v>1511</v>
      </c>
      <c r="H9" s="354">
        <f>CF_H!H8-H10</f>
        <v>1491</v>
      </c>
      <c r="I9" s="354">
        <f>CF_H!I8-I10</f>
        <v>1400</v>
      </c>
      <c r="J9" s="354">
        <f>CF_H!J8-J10</f>
        <v>1341</v>
      </c>
      <c r="K9" s="354">
        <f>CF_H!K8-K10</f>
        <v>1491</v>
      </c>
      <c r="L9" s="354">
        <f>CF_H!L8-L10</f>
        <v>1455</v>
      </c>
      <c r="M9" s="461">
        <f>BS_Sorted!L19*Inputs!$N$56</f>
        <v>1699.6415482765549</v>
      </c>
      <c r="N9" s="461">
        <f>BS_Sorted!M19*Inputs!$N$56</f>
        <v>1623.0207017119258</v>
      </c>
      <c r="O9" s="461">
        <f>BS_Sorted!N19*Inputs!$N$56</f>
        <v>1557.9331508971184</v>
      </c>
      <c r="P9" s="461">
        <f>BS_Sorted!O19*Inputs!$N$56</f>
        <v>1503.2979570451837</v>
      </c>
      <c r="Q9" s="461">
        <f>BS_Sorted!P19*Inputs!$N$56</f>
        <v>1458.1513991983707</v>
      </c>
      <c r="R9" s="461">
        <f>BS_Sorted!Q19*Inputs!$N$56</f>
        <v>1421.6348835014476</v>
      </c>
      <c r="S9" s="461">
        <f>BS_Sorted!R19*Inputs!$N$56</f>
        <v>1392.9841205182029</v>
      </c>
      <c r="T9" s="461">
        <f>BS_Sorted!S19*Inputs!$N$56</f>
        <v>1371.5194383433188</v>
      </c>
      <c r="U9" s="254"/>
    </row>
    <row r="10" spans="1:58" s="9" customFormat="1" x14ac:dyDescent="0.25">
      <c r="A10" s="219" t="s">
        <v>158</v>
      </c>
      <c r="B10" s="183"/>
      <c r="C10" s="183"/>
      <c r="D10" s="183"/>
      <c r="E10" s="183"/>
      <c r="F10" s="354">
        <v>4056</v>
      </c>
      <c r="G10" s="354">
        <v>4758</v>
      </c>
      <c r="H10" s="354">
        <v>4893</v>
      </c>
      <c r="I10" s="354">
        <v>4610</v>
      </c>
      <c r="J10" s="354">
        <v>3436</v>
      </c>
      <c r="K10" s="354">
        <v>3700</v>
      </c>
      <c r="L10" s="354">
        <v>3609</v>
      </c>
      <c r="M10" s="461">
        <v>4223</v>
      </c>
      <c r="N10" s="190">
        <v>3981</v>
      </c>
      <c r="O10" s="190">
        <v>3780</v>
      </c>
      <c r="P10" s="190">
        <v>3714</v>
      </c>
      <c r="Q10" s="190">
        <v>3503</v>
      </c>
      <c r="R10" s="190">
        <f>BS_Sorted!Q22*Inputs!$N$85</f>
        <v>2744.8933261026673</v>
      </c>
      <c r="S10" s="190">
        <f>BS_Sorted!R22*Inputs!$N$85</f>
        <v>2433.1535200832636</v>
      </c>
      <c r="T10" s="190">
        <f>BS_Sorted!S22*Inputs!$N$85</f>
        <v>2156.8182617498715</v>
      </c>
      <c r="U10" s="6"/>
    </row>
    <row r="11" spans="1:58" s="9" customFormat="1" x14ac:dyDescent="0.25">
      <c r="A11" s="219" t="s">
        <v>155</v>
      </c>
      <c r="B11" s="181"/>
      <c r="C11" s="181"/>
      <c r="D11" s="182"/>
      <c r="E11" s="182"/>
      <c r="F11" s="354">
        <v>14837</v>
      </c>
      <c r="G11" s="354">
        <v>14784</v>
      </c>
      <c r="H11" s="354">
        <v>14455</v>
      </c>
      <c r="I11" s="354">
        <v>14350</v>
      </c>
      <c r="J11" s="354">
        <v>11615</v>
      </c>
      <c r="K11" s="354">
        <v>12703</v>
      </c>
      <c r="L11" s="354">
        <v>13677</v>
      </c>
      <c r="M11" s="461">
        <f>M$5*Inputs!$N$91</f>
        <v>13524.465558437252</v>
      </c>
      <c r="N11" s="461">
        <f>N$5*Inputs!$N$91</f>
        <v>12364.951577143802</v>
      </c>
      <c r="O11" s="461">
        <f>O$5*Inputs!$N$91</f>
        <v>11489.62044338556</v>
      </c>
      <c r="P11" s="461">
        <f>P$5*Inputs!$N$91</f>
        <v>11151.478827331008</v>
      </c>
      <c r="Q11" s="461">
        <f>Q$5*Inputs!$N$91</f>
        <v>11055.552127741064</v>
      </c>
      <c r="R11" s="461">
        <f>R$5*Inputs!$N$91</f>
        <v>10643.067319504304</v>
      </c>
      <c r="S11" s="461">
        <f>S$5*Inputs!$N$91</f>
        <v>10282.143112297139</v>
      </c>
      <c r="T11" s="461">
        <f>T$5*Inputs!$N$91</f>
        <v>10328.907378347236</v>
      </c>
    </row>
    <row r="12" spans="1:58" s="9" customFormat="1" x14ac:dyDescent="0.25">
      <c r="A12" s="219" t="s">
        <v>156</v>
      </c>
      <c r="B12" s="183"/>
      <c r="C12" s="183"/>
      <c r="D12" s="183"/>
      <c r="E12" s="183"/>
      <c r="F12" s="354">
        <v>7872</v>
      </c>
      <c r="G12" s="354">
        <v>7657</v>
      </c>
      <c r="H12" s="354">
        <v>8006</v>
      </c>
      <c r="I12" s="354">
        <v>8650</v>
      </c>
      <c r="J12" s="354">
        <v>9405</v>
      </c>
      <c r="K12" s="354">
        <v>13829</v>
      </c>
      <c r="L12" s="354">
        <v>11428</v>
      </c>
      <c r="M12" s="461">
        <f>M$5*Inputs!$N$87</f>
        <v>9019.7797999019858</v>
      </c>
      <c r="N12" s="461">
        <f>N$5*Inputs!$N$87</f>
        <v>8246.473029221499</v>
      </c>
      <c r="O12" s="461">
        <f>O$5*Inputs!$N$87</f>
        <v>7662.6943915826614</v>
      </c>
      <c r="P12" s="461">
        <f>P$5*Inputs!$N$87</f>
        <v>7437.1799041660142</v>
      </c>
      <c r="Q12" s="461">
        <f>Q$5*Inputs!$N$87</f>
        <v>7373.2041630549093</v>
      </c>
      <c r="R12" s="461">
        <f>R$5*Inputs!$N$87</f>
        <v>7098.1084762771552</v>
      </c>
      <c r="S12" s="461">
        <f>S$5*Inputs!$N$87</f>
        <v>6857.3997503466207</v>
      </c>
      <c r="T12" s="461">
        <f>T$5*Inputs!$N$87</f>
        <v>6888.5879241382845</v>
      </c>
    </row>
    <row r="13" spans="1:58" s="9" customFormat="1" x14ac:dyDescent="0.25">
      <c r="A13" s="219" t="s">
        <v>157</v>
      </c>
      <c r="B13" s="183"/>
      <c r="C13" s="183"/>
      <c r="D13" s="183"/>
      <c r="E13" s="183"/>
      <c r="F13" s="240" t="s">
        <v>54</v>
      </c>
      <c r="G13" s="240" t="s">
        <v>54</v>
      </c>
      <c r="H13" s="240" t="s">
        <v>54</v>
      </c>
      <c r="I13" s="240" t="s">
        <v>54</v>
      </c>
      <c r="J13" s="240" t="s">
        <v>54</v>
      </c>
      <c r="K13" s="240">
        <v>3469</v>
      </c>
      <c r="L13" s="354">
        <v>953</v>
      </c>
      <c r="M13" s="240" t="s">
        <v>54</v>
      </c>
      <c r="N13" s="240" t="s">
        <v>54</v>
      </c>
      <c r="O13" s="240" t="s">
        <v>54</v>
      </c>
      <c r="P13" s="240" t="s">
        <v>54</v>
      </c>
      <c r="Q13" s="240" t="s">
        <v>54</v>
      </c>
      <c r="R13" s="240" t="s">
        <v>54</v>
      </c>
      <c r="S13" s="240" t="s">
        <v>54</v>
      </c>
      <c r="T13" s="240" t="s">
        <v>54</v>
      </c>
      <c r="U13" s="6"/>
      <c r="AA13" s="291"/>
    </row>
    <row r="14" spans="1:58" x14ac:dyDescent="0.25">
      <c r="A14" s="219" t="s">
        <v>737</v>
      </c>
      <c r="B14" s="181"/>
      <c r="C14" s="181"/>
      <c r="D14" s="182"/>
      <c r="E14" s="182"/>
      <c r="F14" s="354">
        <v>1724</v>
      </c>
      <c r="G14" s="354">
        <v>487</v>
      </c>
      <c r="H14" s="354">
        <v>1044</v>
      </c>
      <c r="I14" s="354">
        <v>747</v>
      </c>
      <c r="J14" s="354">
        <v>600</v>
      </c>
      <c r="K14" s="354">
        <v>802</v>
      </c>
      <c r="L14" s="354">
        <v>1375</v>
      </c>
      <c r="M14" s="461">
        <f>M$5*AVERAGE('CS_IS (% sales)'!$F14:$L14)</f>
        <v>915.91993695800124</v>
      </c>
      <c r="N14" s="461">
        <f>N$5*AVERAGE('CS_IS (% sales)'!$F14:$L14)</f>
        <v>837.39395247015773</v>
      </c>
      <c r="O14" s="461">
        <f>O$5*AVERAGE('CS_IS (% sales)'!$F14:$L14)</f>
        <v>778.1137366727163</v>
      </c>
      <c r="P14" s="461">
        <f>P$5*AVERAGE('CS_IS (% sales)'!$F14:$L14)</f>
        <v>755.21370810438964</v>
      </c>
      <c r="Q14" s="461">
        <f>Q$5*AVERAGE('CS_IS (% sales)'!$F14:$L14)</f>
        <v>748.71724609919067</v>
      </c>
      <c r="R14" s="461">
        <f>R$5*AVERAGE('CS_IS (% sales)'!$F14:$L14)</f>
        <v>720.78245947683467</v>
      </c>
      <c r="S14" s="461">
        <f>S$5*AVERAGE('CS_IS (% sales)'!$F14:$L14)</f>
        <v>696.3395211822733</v>
      </c>
      <c r="T14" s="461">
        <f>T$5*AVERAGE('CS_IS (% sales)'!$F14:$L14)</f>
        <v>699.50654640980781</v>
      </c>
      <c r="U14" s="254"/>
      <c r="Y14" s="2"/>
      <c r="Z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row>
    <row r="15" spans="1:58" s="1" customFormat="1" x14ac:dyDescent="0.25">
      <c r="A15" s="219" t="s">
        <v>178</v>
      </c>
      <c r="B15" s="184"/>
      <c r="C15" s="184"/>
      <c r="D15" s="184"/>
      <c r="E15" s="184"/>
      <c r="F15" s="354">
        <v>-3655</v>
      </c>
      <c r="G15" s="354">
        <v>-1315</v>
      </c>
      <c r="H15" s="354">
        <v>-2116</v>
      </c>
      <c r="I15" s="354">
        <v>-3578</v>
      </c>
      <c r="J15" s="354">
        <v>-669</v>
      </c>
      <c r="K15" s="354">
        <v>4878</v>
      </c>
      <c r="L15" s="354">
        <v>-217</v>
      </c>
      <c r="M15" s="11">
        <f t="shared" ref="M15:T15" si="1">SUM(M16:M19)</f>
        <v>3792.9684201612909</v>
      </c>
      <c r="N15" s="11">
        <f t="shared" si="1"/>
        <v>-107.65466298767535</v>
      </c>
      <c r="O15" s="11">
        <f t="shared" si="1"/>
        <v>22.748225839000156</v>
      </c>
      <c r="P15" s="11">
        <f t="shared" si="1"/>
        <v>-35.717950751475769</v>
      </c>
      <c r="Q15" s="11">
        <f t="shared" si="1"/>
        <v>-127.62399145372251</v>
      </c>
      <c r="R15" s="11">
        <f t="shared" si="1"/>
        <v>-206.14211672214731</v>
      </c>
      <c r="S15" s="11">
        <f t="shared" si="1"/>
        <v>-189.01658863250861</v>
      </c>
      <c r="T15" s="11">
        <f t="shared" si="1"/>
        <v>-92.552545398230563</v>
      </c>
      <c r="U15" s="220"/>
    </row>
    <row r="16" spans="1:58" s="1" customFormat="1" x14ac:dyDescent="0.25">
      <c r="A16" s="186" t="s">
        <v>219</v>
      </c>
      <c r="B16" s="183"/>
      <c r="C16" s="183"/>
      <c r="D16" s="183"/>
      <c r="E16" s="183"/>
      <c r="F16" s="354">
        <v>-470</v>
      </c>
      <c r="G16" s="354">
        <v>-391</v>
      </c>
      <c r="H16" s="354">
        <v>-333</v>
      </c>
      <c r="I16" s="354">
        <v>-226</v>
      </c>
      <c r="J16" s="354">
        <v>-73</v>
      </c>
      <c r="K16" s="354">
        <v>-36</v>
      </c>
      <c r="L16" s="354">
        <v>-251</v>
      </c>
      <c r="M16" s="464">
        <f>-(BS_Sorted!L6)*Inputs!$B$12</f>
        <v>-20.0928</v>
      </c>
      <c r="N16" s="464">
        <f>-(BS_Sorted!M6)*Inputs!$B$12</f>
        <v>-363.72868110295877</v>
      </c>
      <c r="O16" s="464">
        <f>-(BS_Sorted!N6)*Inputs!$B$12</f>
        <v>-208.07738887479152</v>
      </c>
      <c r="P16" s="464">
        <f>-(BS_Sorted!O6)*Inputs!$B$12</f>
        <v>-241.73111415668652</v>
      </c>
      <c r="Q16" s="464">
        <f>-(BS_Sorted!P6)*Inputs!$B$12</f>
        <v>-323.43349806508701</v>
      </c>
      <c r="R16" s="464">
        <f>-(BS_Sorted!Q6)*Inputs!$B$12</f>
        <v>-405.92535977706325</v>
      </c>
      <c r="S16" s="464">
        <f>-(BS_Sorted!R6)*Inputs!$B$12</f>
        <v>-380.70105006896085</v>
      </c>
      <c r="T16" s="464">
        <f>-(BS_Sorted!S6)*Inputs!$B$12</f>
        <v>-270.68683935249879</v>
      </c>
      <c r="U16" s="55"/>
    </row>
    <row r="17" spans="1:58" s="1" customFormat="1" x14ac:dyDescent="0.25">
      <c r="A17" s="186" t="s">
        <v>220</v>
      </c>
      <c r="B17" s="184"/>
      <c r="C17" s="184"/>
      <c r="D17" s="184"/>
      <c r="E17" s="184"/>
      <c r="F17" s="354">
        <v>1186</v>
      </c>
      <c r="G17" s="354">
        <v>1270</v>
      </c>
      <c r="H17" s="354">
        <v>1316</v>
      </c>
      <c r="I17" s="354">
        <v>1574</v>
      </c>
      <c r="J17" s="354">
        <v>1449</v>
      </c>
      <c r="K17" s="354">
        <v>1291</v>
      </c>
      <c r="L17" s="354">
        <v>1238</v>
      </c>
      <c r="M17" s="464">
        <f>(BS_Sorted!L29+BS!L48+BS!L52)*Inputs!$B$10</f>
        <v>4054.1673000000001</v>
      </c>
      <c r="N17" s="464">
        <f>(BS_Sorted!M29+BS!M48+BS!M52)*Inputs!$B$10</f>
        <v>476.50897647123463</v>
      </c>
      <c r="O17" s="464">
        <f>(BS_Sorted!N29+BS!N48+BS!N52)*Inputs!$B$10</f>
        <v>435.65569335680215</v>
      </c>
      <c r="P17" s="464">
        <f>(BS_Sorted!O29+BS!O48+BS!O52)*Inputs!$B$10</f>
        <v>404.81505563856462</v>
      </c>
      <c r="Q17" s="464">
        <f>(BS_Sorted!P29+BS!P48+BS!P52)*Inputs!$B$10</f>
        <v>392.90127504056051</v>
      </c>
      <c r="R17" s="464">
        <f>(BS_Sorted!Q29+BS!Q48+BS!Q52)*Inputs!$B$10</f>
        <v>389.52147912623315</v>
      </c>
      <c r="S17" s="464">
        <f>(BS_Sorted!R29+BS!R48+BS!R52)*Inputs!$B$10</f>
        <v>374.98835669462528</v>
      </c>
      <c r="T17" s="464">
        <f>(BS_Sorted!S29+BS!S48+BS!S52)*Inputs!$B$10</f>
        <v>362.27187456696839</v>
      </c>
    </row>
    <row r="18" spans="1:58" s="1" customFormat="1" x14ac:dyDescent="0.25">
      <c r="A18" s="186" t="s">
        <v>221</v>
      </c>
      <c r="B18" s="184"/>
      <c r="C18" s="184"/>
      <c r="D18" s="184"/>
      <c r="E18" s="184"/>
      <c r="F18" s="354">
        <v>905</v>
      </c>
      <c r="G18" s="354">
        <v>499</v>
      </c>
      <c r="H18" s="354">
        <v>495</v>
      </c>
      <c r="I18" s="354">
        <v>648</v>
      </c>
      <c r="J18" s="354">
        <v>770</v>
      </c>
      <c r="K18" s="354">
        <v>857</v>
      </c>
      <c r="L18" s="354">
        <v>845</v>
      </c>
      <c r="M18" s="461">
        <f>M$5*AVERAGE('CS_IS (% sales)'!$F18:$L18)</f>
        <v>690.5654493783627</v>
      </c>
      <c r="N18" s="461">
        <f>N$5*AVERAGE('CS_IS (% sales)'!$F18:$L18)</f>
        <v>631.36013068442912</v>
      </c>
      <c r="O18" s="461">
        <f>O$5*AVERAGE('CS_IS (% sales)'!$F18:$L18)</f>
        <v>586.66531926088055</v>
      </c>
      <c r="P18" s="461">
        <f>P$5*AVERAGE('CS_IS (% sales)'!$F18:$L18)</f>
        <v>569.39965238219463</v>
      </c>
      <c r="Q18" s="461">
        <f>Q$5*AVERAGE('CS_IS (% sales)'!$F18:$L18)</f>
        <v>564.50159085632629</v>
      </c>
      <c r="R18" s="461">
        <f>R$5*AVERAGE('CS_IS (% sales)'!$F18:$L18)</f>
        <v>543.43992629509239</v>
      </c>
      <c r="S18" s="461">
        <f>S$5*AVERAGE('CS_IS (% sales)'!$F18:$L18)</f>
        <v>525.0109698040128</v>
      </c>
      <c r="T18" s="461">
        <f>T$5*AVERAGE('CS_IS (% sales)'!$F18:$L18)</f>
        <v>527.39877479787356</v>
      </c>
      <c r="U18" s="254"/>
    </row>
    <row r="19" spans="1:58" s="1" customFormat="1" x14ac:dyDescent="0.25">
      <c r="A19" s="203" t="s">
        <v>222</v>
      </c>
      <c r="B19" s="184"/>
      <c r="C19" s="184"/>
      <c r="D19" s="184"/>
      <c r="E19" s="184"/>
      <c r="F19" s="354">
        <f t="shared" ref="F19:K19" si="2">F15-SUM(F16:F18)</f>
        <v>-5276</v>
      </c>
      <c r="G19" s="354">
        <f t="shared" si="2"/>
        <v>-2693</v>
      </c>
      <c r="H19" s="354">
        <f t="shared" si="2"/>
        <v>-3594</v>
      </c>
      <c r="I19" s="354">
        <f t="shared" si="2"/>
        <v>-5574</v>
      </c>
      <c r="J19" s="354">
        <f t="shared" si="2"/>
        <v>-2815</v>
      </c>
      <c r="K19" s="354">
        <f t="shared" si="2"/>
        <v>2766</v>
      </c>
      <c r="L19" s="354">
        <f>L15-SUM(L16:L18)</f>
        <v>-2049</v>
      </c>
      <c r="M19" s="461" cm="1">
        <f t="array" ref="M19">M5*AVERAGE($F$19:$L$19/BS_Sorted!$F$27:$L$27)</f>
        <v>-931.67152921707225</v>
      </c>
      <c r="N19" s="461" cm="1">
        <f t="array" ref="N19">N5*AVERAGE($F$19:$L$19/BS_Sorted!$F$27:$L$27)</f>
        <v>-851.79508904038028</v>
      </c>
      <c r="O19" s="461" cm="1">
        <f t="array" ref="O19">O5*AVERAGE($F$19:$L$19/BS_Sorted!$F$27:$L$27)</f>
        <v>-791.49539790389099</v>
      </c>
      <c r="P19" s="461" cm="1">
        <f t="array" ref="P19">P5*AVERAGE($F$19:$L$19/BS_Sorted!$F$27:$L$27)</f>
        <v>-768.20154461554853</v>
      </c>
      <c r="Q19" s="461" cm="1">
        <f t="array" ref="Q19">Q5*AVERAGE($F$19:$L$19/BS_Sorted!$F$27:$L$27)</f>
        <v>-761.5933592855223</v>
      </c>
      <c r="R19" s="461" cm="1">
        <f t="array" ref="R19">R5*AVERAGE($F$19:$L$19/BS_Sorted!$F$27:$L$27)</f>
        <v>-733.17816236640954</v>
      </c>
      <c r="S19" s="461" cm="1">
        <f t="array" ref="S19">S5*AVERAGE($F$19:$L$19/BS_Sorted!$F$27:$L$27)</f>
        <v>-708.31486506218585</v>
      </c>
      <c r="T19" s="461" cm="1">
        <f t="array" ref="T19">T5*AVERAGE($F$19:$L$19/BS_Sorted!$F$27:$L$27)</f>
        <v>-711.53635541057372</v>
      </c>
      <c r="U19" s="254"/>
    </row>
    <row r="20" spans="1:58" s="1" customFormat="1" hidden="1" x14ac:dyDescent="0.25">
      <c r="A20" s="248" t="s">
        <v>360</v>
      </c>
      <c r="B20" s="184"/>
      <c r="C20" s="184"/>
      <c r="D20" s="184"/>
      <c r="E20" s="184"/>
      <c r="F20" s="354">
        <f>F5-F7-F9-F11-F12-F14+F15-F10</f>
        <v>12407</v>
      </c>
      <c r="G20" s="354">
        <f>G5-G7-G9-G11-G12-G14+G15-G10</f>
        <v>17063</v>
      </c>
      <c r="H20" s="354">
        <f>H5-H7-H9-H11-H12-H14+H15-H10</f>
        <v>16778</v>
      </c>
      <c r="I20" s="354">
        <f>I5-I7-I9-I11-I12-I14-I10+I15</f>
        <v>14206</v>
      </c>
      <c r="J20" s="354">
        <f>J5-J7-J9-J11-J12-J14+J15-J10</f>
        <v>10927</v>
      </c>
      <c r="K20" s="354">
        <f>K5-K7-K9-K11-K12-K14+K15-K13</f>
        <v>28242</v>
      </c>
      <c r="L20" s="354">
        <f>L5-L7-L9-L11-L12-L14+L15-L10-L13</f>
        <v>38336</v>
      </c>
      <c r="M20" s="465">
        <f>M$5-M$7-M$9-M$10-M$11-M$12-M$14+M$15</f>
        <v>10511.000878480449</v>
      </c>
      <c r="N20" s="465">
        <f t="shared" ref="N20:S20" si="3">N5-N7-N9-N11-N12-N14+N15</f>
        <v>20340.308796663547</v>
      </c>
      <c r="O20" s="465">
        <f t="shared" si="3"/>
        <v>18973.365330390068</v>
      </c>
      <c r="P20" s="465">
        <f t="shared" si="3"/>
        <v>18365.963989476146</v>
      </c>
      <c r="Q20" s="465">
        <f t="shared" si="3"/>
        <v>18147.978873095788</v>
      </c>
      <c r="R20" s="465">
        <f t="shared" si="3"/>
        <v>17369.707039367098</v>
      </c>
      <c r="S20" s="465">
        <f t="shared" si="3"/>
        <v>16771.246884302447</v>
      </c>
      <c r="T20" s="465">
        <f>T5-T7-T9-T11-T12-T14+T15</f>
        <v>16972.64810605501</v>
      </c>
      <c r="U20" s="254"/>
    </row>
    <row r="21" spans="1:58" x14ac:dyDescent="0.25">
      <c r="A21" s="304" t="s">
        <v>723</v>
      </c>
      <c r="B21" s="297"/>
      <c r="C21" s="297"/>
      <c r="D21" s="297"/>
      <c r="E21" s="297"/>
      <c r="F21" s="473">
        <v>8351</v>
      </c>
      <c r="G21" s="473">
        <v>12305</v>
      </c>
      <c r="H21" s="473">
        <v>11885</v>
      </c>
      <c r="I21" s="473">
        <v>17682</v>
      </c>
      <c r="J21" s="473">
        <v>7497</v>
      </c>
      <c r="K21" s="473">
        <v>24311</v>
      </c>
      <c r="L21" s="473">
        <v>34729</v>
      </c>
      <c r="M21" s="466">
        <f>M$5-M$7-M$9-M$10-M$11-M$12-M$14+M$15</f>
        <v>10511.000878480449</v>
      </c>
      <c r="N21" s="466">
        <f t="shared" ref="N21:T21" si="4">N$5-N$7-N$9-N$10-N$11-N$12-N$14+N$15</f>
        <v>16359.308796663547</v>
      </c>
      <c r="O21" s="466">
        <f t="shared" si="4"/>
        <v>15193.36533039007</v>
      </c>
      <c r="P21" s="466">
        <f t="shared" si="4"/>
        <v>14651.963989476151</v>
      </c>
      <c r="Q21" s="466">
        <f t="shared" si="4"/>
        <v>14644.978873095786</v>
      </c>
      <c r="R21" s="466">
        <f t="shared" si="4"/>
        <v>14624.813713264433</v>
      </c>
      <c r="S21" s="466">
        <f t="shared" si="4"/>
        <v>14338.093364219187</v>
      </c>
      <c r="T21" s="466">
        <f t="shared" si="4"/>
        <v>14815.829844305137</v>
      </c>
      <c r="U21" s="254"/>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row>
    <row r="22" spans="1:58" x14ac:dyDescent="0.25">
      <c r="A22" s="186" t="s">
        <v>193</v>
      </c>
      <c r="B22" s="184"/>
      <c r="C22" s="184"/>
      <c r="D22" s="184"/>
      <c r="E22" s="184"/>
      <c r="F22" s="354">
        <v>1123</v>
      </c>
      <c r="G22" s="354">
        <v>-9049</v>
      </c>
      <c r="H22" s="354">
        <v>706</v>
      </c>
      <c r="I22" s="354">
        <v>1384</v>
      </c>
      <c r="J22" s="354">
        <v>477</v>
      </c>
      <c r="K22" s="354">
        <v>1852</v>
      </c>
      <c r="L22" s="354">
        <v>3328</v>
      </c>
      <c r="M22" s="461">
        <f>M21*Inputs!$B$17</f>
        <v>2312.4201932656988</v>
      </c>
      <c r="N22" s="461">
        <f>N21*Inputs!$B$17</f>
        <v>3599.0479352659804</v>
      </c>
      <c r="O22" s="461">
        <f>O21*Inputs!$B$17</f>
        <v>3342.5403726858153</v>
      </c>
      <c r="P22" s="461">
        <f>P21*Inputs!$B$17</f>
        <v>3223.4320776847535</v>
      </c>
      <c r="Q22" s="461">
        <f>Q21*Inputs!$B$17</f>
        <v>3221.8953520810728</v>
      </c>
      <c r="R22" s="461">
        <f>R21*Inputs!$B$17</f>
        <v>3217.4590169181752</v>
      </c>
      <c r="S22" s="461">
        <f>S21*Inputs!$B$17</f>
        <v>3154.3805401282211</v>
      </c>
      <c r="T22" s="461">
        <f>T21*Inputs!$B$17</f>
        <v>3259.4825657471301</v>
      </c>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row>
    <row r="23" spans="1:58" x14ac:dyDescent="0.25">
      <c r="A23" s="186" t="s">
        <v>194</v>
      </c>
      <c r="B23" s="184"/>
      <c r="C23" s="184"/>
      <c r="D23" s="184"/>
      <c r="E23" s="184"/>
      <c r="F23" s="354">
        <v>7229</v>
      </c>
      <c r="G23" s="354">
        <v>21353</v>
      </c>
      <c r="H23" s="354">
        <v>11179</v>
      </c>
      <c r="I23" s="354">
        <v>16298</v>
      </c>
      <c r="J23" s="354">
        <v>7021</v>
      </c>
      <c r="K23" s="354">
        <v>22459</v>
      </c>
      <c r="L23" s="354">
        <v>31401</v>
      </c>
      <c r="M23" s="461">
        <f>M21-M22</f>
        <v>8198.5806852147507</v>
      </c>
      <c r="N23" s="461">
        <f t="shared" ref="N23:S23" si="5">N21-N22</f>
        <v>12760.260861397566</v>
      </c>
      <c r="O23" s="461">
        <f t="shared" si="5"/>
        <v>11850.824957704255</v>
      </c>
      <c r="P23" s="461">
        <f t="shared" si="5"/>
        <v>11428.531911791397</v>
      </c>
      <c r="Q23" s="461">
        <f t="shared" si="5"/>
        <v>11423.083521014712</v>
      </c>
      <c r="R23" s="461">
        <f t="shared" si="5"/>
        <v>11407.354696346258</v>
      </c>
      <c r="S23" s="461">
        <f t="shared" si="5"/>
        <v>11183.712824090966</v>
      </c>
      <c r="T23" s="461">
        <f>T21-T22</f>
        <v>11556.347278558007</v>
      </c>
      <c r="U23" s="254"/>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row>
    <row r="24" spans="1:58" x14ac:dyDescent="0.25">
      <c r="A24" s="186" t="s">
        <v>732</v>
      </c>
      <c r="B24" s="184"/>
      <c r="C24" s="184"/>
      <c r="D24" s="184"/>
      <c r="E24" s="184"/>
      <c r="F24" s="354">
        <v>16</v>
      </c>
      <c r="G24" s="354">
        <v>-1</v>
      </c>
      <c r="H24" s="354">
        <v>10</v>
      </c>
      <c r="I24" s="354">
        <v>4</v>
      </c>
      <c r="J24" s="354">
        <v>2631</v>
      </c>
      <c r="K24" s="240" t="s">
        <v>54</v>
      </c>
      <c r="L24" s="240" t="s">
        <v>54</v>
      </c>
      <c r="M24" s="463" t="s">
        <v>54</v>
      </c>
      <c r="N24" s="463" t="s">
        <v>54</v>
      </c>
      <c r="O24" s="463" t="s">
        <v>54</v>
      </c>
      <c r="P24" s="463" t="s">
        <v>54</v>
      </c>
      <c r="Q24" s="463" t="s">
        <v>54</v>
      </c>
      <c r="R24" s="463" t="s">
        <v>54</v>
      </c>
      <c r="S24" s="463" t="s">
        <v>54</v>
      </c>
      <c r="T24" s="463" t="s">
        <v>54</v>
      </c>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row>
    <row r="25" spans="1:58" x14ac:dyDescent="0.25">
      <c r="A25" s="186" t="s">
        <v>733</v>
      </c>
      <c r="B25" s="184"/>
      <c r="C25" s="184"/>
      <c r="D25" s="184"/>
      <c r="E25" s="184"/>
      <c r="F25" s="240" t="s">
        <v>54</v>
      </c>
      <c r="G25" s="354">
        <v>3</v>
      </c>
      <c r="H25" s="240" t="s">
        <v>54</v>
      </c>
      <c r="I25" s="240" t="s">
        <v>54</v>
      </c>
      <c r="J25" s="240" t="s">
        <v>54</v>
      </c>
      <c r="K25" s="240" t="s">
        <v>54</v>
      </c>
      <c r="L25" s="240" t="s">
        <v>54</v>
      </c>
      <c r="M25" s="463" t="s">
        <v>54</v>
      </c>
      <c r="N25" s="463" t="s">
        <v>54</v>
      </c>
      <c r="O25" s="463" t="s">
        <v>54</v>
      </c>
      <c r="P25" s="463" t="s">
        <v>54</v>
      </c>
      <c r="Q25" s="463" t="s">
        <v>54</v>
      </c>
      <c r="R25" s="463" t="s">
        <v>54</v>
      </c>
      <c r="S25" s="463" t="s">
        <v>54</v>
      </c>
      <c r="T25" s="463" t="s">
        <v>54</v>
      </c>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row>
    <row r="26" spans="1:58" x14ac:dyDescent="0.25">
      <c r="A26" s="186" t="s">
        <v>734</v>
      </c>
      <c r="B26" s="184"/>
      <c r="C26" s="184"/>
      <c r="D26" s="184"/>
      <c r="E26" s="184"/>
      <c r="F26" s="354">
        <v>17</v>
      </c>
      <c r="G26" s="354">
        <v>2</v>
      </c>
      <c r="H26" s="354">
        <v>10</v>
      </c>
      <c r="I26" s="354">
        <v>4</v>
      </c>
      <c r="J26" s="240" t="s">
        <v>54</v>
      </c>
      <c r="K26" s="354">
        <v>-434</v>
      </c>
      <c r="L26" s="354">
        <v>6</v>
      </c>
      <c r="M26" s="463" t="s">
        <v>54</v>
      </c>
      <c r="N26" s="463" t="s">
        <v>54</v>
      </c>
      <c r="O26" s="463" t="s">
        <v>54</v>
      </c>
      <c r="P26" s="463" t="s">
        <v>54</v>
      </c>
      <c r="Q26" s="463" t="s">
        <v>54</v>
      </c>
      <c r="R26" s="463" t="s">
        <v>54</v>
      </c>
      <c r="S26" s="463" t="s">
        <v>54</v>
      </c>
      <c r="T26" s="463" t="s">
        <v>54</v>
      </c>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row>
    <row r="27" spans="1:58" x14ac:dyDescent="0.25">
      <c r="A27" s="186" t="s">
        <v>735</v>
      </c>
      <c r="B27" s="184"/>
      <c r="C27" s="184"/>
      <c r="D27" s="184"/>
      <c r="E27" s="184"/>
      <c r="F27" s="354">
        <v>7246</v>
      </c>
      <c r="G27" s="354">
        <v>21355</v>
      </c>
      <c r="H27" s="354">
        <v>11188</v>
      </c>
      <c r="I27" s="354">
        <v>16302</v>
      </c>
      <c r="J27" s="354">
        <v>9652</v>
      </c>
      <c r="K27" s="354">
        <v>22025</v>
      </c>
      <c r="L27" s="354">
        <v>31407</v>
      </c>
      <c r="M27" s="461">
        <f>M23</f>
        <v>8198.5806852147507</v>
      </c>
      <c r="N27" s="461">
        <f t="shared" ref="N27:T27" si="6">N23</f>
        <v>12760.260861397566</v>
      </c>
      <c r="O27" s="461">
        <f t="shared" si="6"/>
        <v>11850.824957704255</v>
      </c>
      <c r="P27" s="461">
        <f t="shared" si="6"/>
        <v>11428.531911791397</v>
      </c>
      <c r="Q27" s="461">
        <f t="shared" si="6"/>
        <v>11423.083521014712</v>
      </c>
      <c r="R27" s="461">
        <f t="shared" si="6"/>
        <v>11407.354696346258</v>
      </c>
      <c r="S27" s="461">
        <f t="shared" si="6"/>
        <v>11183.712824090966</v>
      </c>
      <c r="T27" s="461">
        <f t="shared" si="6"/>
        <v>11556.347278558007</v>
      </c>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row>
    <row r="28" spans="1:58" x14ac:dyDescent="0.25">
      <c r="A28" s="186" t="s">
        <v>736</v>
      </c>
      <c r="B28" s="184"/>
      <c r="C28" s="184"/>
      <c r="D28" s="184"/>
      <c r="E28" s="184"/>
      <c r="F28" s="354">
        <v>-31</v>
      </c>
      <c r="G28" s="354">
        <v>-47</v>
      </c>
      <c r="H28" s="354">
        <v>-36</v>
      </c>
      <c r="I28" s="354">
        <v>-29</v>
      </c>
      <c r="J28" s="354">
        <v>-36</v>
      </c>
      <c r="K28" s="354">
        <v>-46</v>
      </c>
      <c r="L28" s="354">
        <v>-35</v>
      </c>
      <c r="M28" s="461" cm="1">
        <f t="array" ref="M28">M27*(AVERAGE(($F$28:$L$28)/$F$27:$L$27))</f>
        <v>-21.560512989746503</v>
      </c>
      <c r="N28" s="461" cm="1">
        <f t="array" ref="N28">N27*(AVERAGE(($F$28:$L$28)/$F$27:$L$27))</f>
        <v>-33.556755811510293</v>
      </c>
      <c r="O28" s="461" cm="1">
        <f t="array" ref="O28">O27*(AVERAGE(($F$28:$L$28)/$F$27:$L$27))</f>
        <v>-31.16513397258856</v>
      </c>
      <c r="P28" s="461" cm="1">
        <f t="array" ref="P28">P27*(AVERAGE(($F$28:$L$28)/$F$27:$L$27))</f>
        <v>-30.054593617926514</v>
      </c>
      <c r="Q28" s="461" cm="1">
        <f t="array" ref="Q28">Q27*(AVERAGE(($F$28:$L$28)/$F$27:$L$27))</f>
        <v>-30.040265515950793</v>
      </c>
      <c r="R28" s="461" cm="1">
        <f t="array" ref="R28">R27*(AVERAGE(($F$28:$L$28)/$F$27:$L$27))</f>
        <v>-29.998902072496584</v>
      </c>
      <c r="S28" s="461" cm="1">
        <f t="array" ref="S28">S27*(AVERAGE(($F$28:$L$28)/$F$27:$L$27))</f>
        <v>-29.410771800081616</v>
      </c>
      <c r="T28" s="461" cm="1">
        <f t="array" ref="T28">T27*(AVERAGE(($F$28:$L$28)/$F$27:$L$27))</f>
        <v>-30.390720684460167</v>
      </c>
      <c r="U28" s="254"/>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row>
    <row r="29" spans="1:58" x14ac:dyDescent="0.25">
      <c r="A29" s="305" t="s">
        <v>725</v>
      </c>
      <c r="B29" s="306"/>
      <c r="C29" s="306"/>
      <c r="D29" s="306"/>
      <c r="E29" s="306"/>
      <c r="F29" s="474">
        <v>7215</v>
      </c>
      <c r="G29" s="474">
        <v>21308</v>
      </c>
      <c r="H29" s="474">
        <v>11153</v>
      </c>
      <c r="I29" s="474">
        <v>16273</v>
      </c>
      <c r="J29" s="475">
        <f t="shared" ref="J29:K29" si="7">SUM(J27:J28)</f>
        <v>9616</v>
      </c>
      <c r="K29" s="475">
        <f t="shared" si="7"/>
        <v>21979</v>
      </c>
      <c r="L29" s="475">
        <f>SUM(L27:L28)</f>
        <v>31372</v>
      </c>
      <c r="M29" s="467">
        <f t="shared" ref="M29:T29" si="8">SUM(M27:M28)</f>
        <v>8177.020172225004</v>
      </c>
      <c r="N29" s="467">
        <f t="shared" si="8"/>
        <v>12726.704105586055</v>
      </c>
      <c r="O29" s="467">
        <f t="shared" si="8"/>
        <v>11819.659823731667</v>
      </c>
      <c r="P29" s="467">
        <f t="shared" si="8"/>
        <v>11398.477318173471</v>
      </c>
      <c r="Q29" s="467">
        <f t="shared" si="8"/>
        <v>11393.043255498762</v>
      </c>
      <c r="R29" s="467">
        <f t="shared" si="8"/>
        <v>11377.355794273761</v>
      </c>
      <c r="S29" s="467">
        <f t="shared" si="8"/>
        <v>11154.302052290885</v>
      </c>
      <c r="T29" s="467">
        <f t="shared" si="8"/>
        <v>11525.956557873547</v>
      </c>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row>
    <row r="30" spans="1:58" x14ac:dyDescent="0.25">
      <c r="A30" s="186" t="s">
        <v>201</v>
      </c>
      <c r="B30" s="184"/>
      <c r="C30" s="184"/>
      <c r="D30" s="184"/>
      <c r="E30" s="184"/>
      <c r="F30" s="354">
        <v>1</v>
      </c>
      <c r="G30" s="354">
        <v>1</v>
      </c>
      <c r="H30" s="354">
        <v>1</v>
      </c>
      <c r="I30" s="240" t="s">
        <v>54</v>
      </c>
      <c r="J30" s="240" t="s">
        <v>54</v>
      </c>
      <c r="K30" s="240" t="s">
        <v>54</v>
      </c>
      <c r="L30" s="240" t="s">
        <v>54</v>
      </c>
      <c r="M30" s="463" t="s">
        <v>54</v>
      </c>
      <c r="N30" s="463" t="s">
        <v>54</v>
      </c>
      <c r="O30" s="463" t="s">
        <v>54</v>
      </c>
      <c r="P30" s="463" t="s">
        <v>54</v>
      </c>
      <c r="Q30" s="463" t="s">
        <v>54</v>
      </c>
      <c r="R30" s="463" t="s">
        <v>54</v>
      </c>
      <c r="S30" s="463" t="s">
        <v>54</v>
      </c>
      <c r="T30" s="463" t="s">
        <v>54</v>
      </c>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row>
    <row r="31" spans="1:58" ht="15.75" thickBot="1" x14ac:dyDescent="0.3">
      <c r="A31" s="250" t="s">
        <v>724</v>
      </c>
      <c r="B31" s="209"/>
      <c r="C31" s="209" t="s">
        <v>216</v>
      </c>
      <c r="D31" s="209" t="s">
        <v>216</v>
      </c>
      <c r="E31" s="209" t="s">
        <v>216</v>
      </c>
      <c r="F31" s="476">
        <v>7214</v>
      </c>
      <c r="G31" s="476">
        <v>21307</v>
      </c>
      <c r="H31" s="476">
        <v>11152</v>
      </c>
      <c r="I31" s="477">
        <v>16272</v>
      </c>
      <c r="J31" s="476">
        <v>9616</v>
      </c>
      <c r="K31" s="476">
        <v>21979</v>
      </c>
      <c r="L31" s="476">
        <v>31372</v>
      </c>
      <c r="M31" s="468">
        <f>SUM(M29:M30)</f>
        <v>8177.020172225004</v>
      </c>
      <c r="N31" s="468">
        <f t="shared" ref="N31:S31" si="9">SUM(N29:N30)</f>
        <v>12726.704105586055</v>
      </c>
      <c r="O31" s="468">
        <f t="shared" si="9"/>
        <v>11819.659823731667</v>
      </c>
      <c r="P31" s="468">
        <f t="shared" si="9"/>
        <v>11398.477318173471</v>
      </c>
      <c r="Q31" s="468">
        <f t="shared" si="9"/>
        <v>11393.043255498762</v>
      </c>
      <c r="R31" s="468">
        <f t="shared" si="9"/>
        <v>11377.355794273761</v>
      </c>
      <c r="S31" s="468">
        <f t="shared" si="9"/>
        <v>11154.302052290885</v>
      </c>
      <c r="T31" s="468">
        <f>SUM(T29:T30)</f>
        <v>11525.956557873547</v>
      </c>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row>
    <row r="32" spans="1:58" ht="16.5" thickTop="1" thickBot="1" x14ac:dyDescent="0.3">
      <c r="A32" s="208" t="s">
        <v>223</v>
      </c>
      <c r="B32" s="210"/>
      <c r="C32" s="210"/>
      <c r="D32" s="210"/>
      <c r="E32" s="210"/>
      <c r="F32" s="478">
        <v>1.18</v>
      </c>
      <c r="G32" s="478">
        <v>3.57</v>
      </c>
      <c r="H32" s="478">
        <v>1.9</v>
      </c>
      <c r="I32" s="478">
        <v>2.92</v>
      </c>
      <c r="J32" s="478">
        <v>1.73</v>
      </c>
      <c r="K32" s="478">
        <v>3.92</v>
      </c>
      <c r="L32" s="478">
        <v>5.59</v>
      </c>
      <c r="M32" s="469">
        <f>M31/M33</f>
        <v>1.4538475521344507</v>
      </c>
      <c r="N32" s="469">
        <f t="shared" ref="N32:T32" si="10">N31/N33</f>
        <v>2.2576910998141528</v>
      </c>
      <c r="O32" s="469">
        <f t="shared" si="10"/>
        <v>2.096437786769906</v>
      </c>
      <c r="P32" s="469">
        <f t="shared" si="10"/>
        <v>2.0244150144972615</v>
      </c>
      <c r="Q32" s="469">
        <f t="shared" si="10"/>
        <v>2.0264395423869614</v>
      </c>
      <c r="R32" s="469">
        <f t="shared" si="10"/>
        <v>2.0266428784886203</v>
      </c>
      <c r="S32" s="469">
        <f t="shared" si="10"/>
        <v>1.9898533012312722</v>
      </c>
      <c r="T32" s="469">
        <f t="shared" si="10"/>
        <v>2.0592031838932119</v>
      </c>
      <c r="U32" s="185"/>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row>
    <row r="33" spans="1:58" ht="15.75" thickTop="1" x14ac:dyDescent="0.25">
      <c r="A33" s="186" t="s">
        <v>203</v>
      </c>
      <c r="B33" s="184"/>
      <c r="C33" s="184"/>
      <c r="D33" s="184"/>
      <c r="E33" s="184"/>
      <c r="F33" s="354">
        <v>6089</v>
      </c>
      <c r="G33" s="354">
        <v>5970</v>
      </c>
      <c r="H33" s="354">
        <v>5872</v>
      </c>
      <c r="I33" s="354">
        <v>5569</v>
      </c>
      <c r="J33" s="354">
        <v>5555</v>
      </c>
      <c r="K33" s="354">
        <v>5601</v>
      </c>
      <c r="L33" s="354">
        <v>5608</v>
      </c>
      <c r="M33" s="461">
        <f>(M34+L34)/2</f>
        <v>5624.4</v>
      </c>
      <c r="N33" s="461">
        <f t="shared" ref="N33:T33" si="11">(N34+M34)/2</f>
        <v>5637.0440166210883</v>
      </c>
      <c r="O33" s="461">
        <f t="shared" si="11"/>
        <v>5637.973088599424</v>
      </c>
      <c r="P33" s="461">
        <f t="shared" si="11"/>
        <v>5630.5042377904629</v>
      </c>
      <c r="Q33" s="461">
        <f t="shared" si="11"/>
        <v>5622.1974636750292</v>
      </c>
      <c r="R33" s="461">
        <f t="shared" si="11"/>
        <v>5613.892765734081</v>
      </c>
      <c r="S33" s="461">
        <f t="shared" si="11"/>
        <v>5605.5901434487041</v>
      </c>
      <c r="T33" s="461">
        <f t="shared" si="11"/>
        <v>5597.2895963001147</v>
      </c>
      <c r="U33" s="59"/>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row>
    <row r="34" spans="1:58" ht="15.75" thickBot="1" x14ac:dyDescent="0.3">
      <c r="A34" s="301" t="s">
        <v>224</v>
      </c>
      <c r="B34" s="302"/>
      <c r="C34" s="302"/>
      <c r="D34" s="302"/>
      <c r="E34" s="302"/>
      <c r="F34" s="479">
        <v>6070</v>
      </c>
      <c r="G34" s="479">
        <v>5979</v>
      </c>
      <c r="H34" s="479">
        <v>5717</v>
      </c>
      <c r="I34" s="479">
        <v>5534</v>
      </c>
      <c r="J34" s="479">
        <v>5567</v>
      </c>
      <c r="K34" s="479">
        <v>5620</v>
      </c>
      <c r="L34" s="479">
        <v>5616</v>
      </c>
      <c r="M34" s="470">
        <f>'Share Change'!E24</f>
        <v>5632.8</v>
      </c>
      <c r="N34" s="470">
        <f>'Share Change'!F24</f>
        <v>5641.2880332421755</v>
      </c>
      <c r="O34" s="470">
        <f>'Share Change'!G24</f>
        <v>5634.6581439566726</v>
      </c>
      <c r="P34" s="470">
        <f>'Share Change'!H24</f>
        <v>5626.3503316242522</v>
      </c>
      <c r="Q34" s="470">
        <f>'Share Change'!I24</f>
        <v>5618.0445957258062</v>
      </c>
      <c r="R34" s="470">
        <f>'Share Change'!J24</f>
        <v>5609.7409357423558</v>
      </c>
      <c r="S34" s="470">
        <f>'Share Change'!K24</f>
        <v>5601.4393511550525</v>
      </c>
      <c r="T34" s="470">
        <f>'Share Change'!L24</f>
        <v>5593.1398414451769</v>
      </c>
      <c r="U34" s="254"/>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row>
    <row r="35" spans="1:58" ht="15.75" thickTop="1" x14ac:dyDescent="0.25">
      <c r="A35" s="186" t="s">
        <v>212</v>
      </c>
      <c r="B35" s="184"/>
      <c r="C35" s="184"/>
      <c r="D35" s="184"/>
      <c r="E35" s="184"/>
      <c r="F35" s="249">
        <v>1.2</v>
      </c>
      <c r="G35" s="249">
        <v>1.28</v>
      </c>
      <c r="H35" s="249">
        <v>1.38</v>
      </c>
      <c r="I35" s="480">
        <v>1.44</v>
      </c>
      <c r="J35" s="249">
        <v>1.53</v>
      </c>
      <c r="K35" s="249">
        <v>1.57</v>
      </c>
      <c r="L35" s="249">
        <v>1.61</v>
      </c>
      <c r="M35" s="471">
        <v>1.64</v>
      </c>
      <c r="N35" s="471">
        <f>M35*1.02</f>
        <v>1.6727999999999998</v>
      </c>
      <c r="O35" s="471">
        <f t="shared" ref="O35:T35" si="12">N35*1.02</f>
        <v>1.7062559999999998</v>
      </c>
      <c r="P35" s="471">
        <f t="shared" si="12"/>
        <v>1.7403811199999999</v>
      </c>
      <c r="Q35" s="471">
        <f t="shared" si="12"/>
        <v>1.7751887423999999</v>
      </c>
      <c r="R35" s="471">
        <f t="shared" si="12"/>
        <v>1.810692517248</v>
      </c>
      <c r="S35" s="471">
        <f t="shared" si="12"/>
        <v>1.84690636759296</v>
      </c>
      <c r="T35" s="471">
        <f t="shared" si="12"/>
        <v>1.8838444949448192</v>
      </c>
      <c r="U35" s="254"/>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row>
    <row r="36" spans="1:58" x14ac:dyDescent="0.25">
      <c r="A36" s="186"/>
      <c r="B36" s="184"/>
      <c r="C36" s="184"/>
      <c r="D36" s="184"/>
      <c r="E36" s="184"/>
      <c r="F36" s="187"/>
      <c r="G36" s="187"/>
      <c r="H36" s="187"/>
      <c r="I36" s="187"/>
      <c r="J36" s="187"/>
      <c r="K36" s="187"/>
      <c r="L36" s="187"/>
      <c r="M36" s="185"/>
      <c r="N36" s="31"/>
      <c r="O36" s="2"/>
      <c r="P36" s="2"/>
      <c r="Q36" s="2"/>
      <c r="R36" s="2"/>
      <c r="S36" s="2"/>
      <c r="T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row>
    <row r="37" spans="1:58" x14ac:dyDescent="0.25">
      <c r="A37" s="186"/>
      <c r="B37" s="184"/>
      <c r="C37" s="184"/>
      <c r="D37" s="184"/>
      <c r="E37" s="184"/>
      <c r="F37" s="187"/>
      <c r="G37" s="187"/>
      <c r="H37" s="187"/>
      <c r="I37" s="187"/>
      <c r="J37" s="187"/>
      <c r="K37" s="187"/>
      <c r="L37" s="187"/>
      <c r="M37" s="185"/>
      <c r="N37" s="31"/>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row>
    <row r="38" spans="1:58" x14ac:dyDescent="0.25">
      <c r="A38" s="186"/>
      <c r="B38" s="184"/>
      <c r="C38" s="184"/>
      <c r="D38" s="184"/>
      <c r="E38" s="184"/>
      <c r="F38" s="187"/>
      <c r="G38" s="187"/>
      <c r="H38" s="187"/>
      <c r="I38" s="187"/>
      <c r="J38" s="187"/>
      <c r="K38" s="187"/>
      <c r="L38" s="187"/>
      <c r="M38" s="185"/>
      <c r="N38" s="31"/>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row>
    <row r="39" spans="1:58" x14ac:dyDescent="0.25">
      <c r="B39" s="31"/>
      <c r="C39" s="31"/>
      <c r="D39" s="18"/>
      <c r="F39" s="243"/>
      <c r="G39" s="18"/>
      <c r="H39" s="18"/>
      <c r="I39" s="18"/>
      <c r="J39" s="18"/>
      <c r="K39" s="18"/>
      <c r="L39" s="18"/>
      <c r="M39" s="18"/>
      <c r="N39" s="31"/>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row>
    <row r="40" spans="1:58" x14ac:dyDescent="0.25">
      <c r="B40" s="2"/>
      <c r="C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row>
    <row r="41" spans="1:58" x14ac:dyDescent="0.25">
      <c r="B41" s="2"/>
      <c r="C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row>
    <row r="42" spans="1:58" x14ac:dyDescent="0.25">
      <c r="B42" s="2"/>
      <c r="C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row>
    <row r="43" spans="1:58" x14ac:dyDescent="0.25">
      <c r="B43" s="2"/>
      <c r="C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row>
    <row r="44" spans="1:58" x14ac:dyDescent="0.25">
      <c r="B44" s="2"/>
      <c r="C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row>
    <row r="45" spans="1:58" x14ac:dyDescent="0.25">
      <c r="B45" s="2"/>
      <c r="C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row>
    <row r="46" spans="1:58" x14ac:dyDescent="0.25">
      <c r="B46" s="2"/>
      <c r="C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row>
    <row r="47" spans="1:58" x14ac:dyDescent="0.25">
      <c r="B47" s="2"/>
      <c r="C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row>
    <row r="48" spans="1:58" x14ac:dyDescent="0.25">
      <c r="B48" s="2"/>
      <c r="C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row>
    <row r="49" spans="2:58" x14ac:dyDescent="0.25">
      <c r="B49" s="2"/>
      <c r="C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row>
    <row r="50" spans="2:58" x14ac:dyDescent="0.25">
      <c r="B50" s="2"/>
      <c r="C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row>
    <row r="51" spans="2:58" x14ac:dyDescent="0.25">
      <c r="B51" s="2"/>
      <c r="C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row>
    <row r="52" spans="2:58" x14ac:dyDescent="0.25">
      <c r="B52" s="2"/>
      <c r="C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row>
    <row r="53" spans="2:58" x14ac:dyDescent="0.25">
      <c r="B53" s="2"/>
      <c r="C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row>
    <row r="54" spans="2:58" x14ac:dyDescent="0.25">
      <c r="B54" s="2"/>
      <c r="C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row>
    <row r="55" spans="2:58" x14ac:dyDescent="0.25">
      <c r="B55" s="2"/>
      <c r="C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row>
    <row r="56" spans="2:58" x14ac:dyDescent="0.25">
      <c r="B56" s="2"/>
      <c r="C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row>
    <row r="57" spans="2:58" x14ac:dyDescent="0.25">
      <c r="B57" s="2"/>
      <c r="C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row>
    <row r="58" spans="2:58" x14ac:dyDescent="0.25">
      <c r="B58" s="2"/>
      <c r="C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row>
    <row r="59" spans="2:58" x14ac:dyDescent="0.25">
      <c r="B59" s="2"/>
      <c r="C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row>
    <row r="60" spans="2:58" x14ac:dyDescent="0.25">
      <c r="B60" s="2"/>
      <c r="C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row>
    <row r="61" spans="2:58" x14ac:dyDescent="0.25">
      <c r="B61" s="2"/>
      <c r="C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row>
    <row r="62" spans="2:58" x14ac:dyDescent="0.25">
      <c r="B62" s="2"/>
      <c r="C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row>
    <row r="63" spans="2:58" x14ac:dyDescent="0.25">
      <c r="B63" s="2"/>
      <c r="C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row>
    <row r="64" spans="2:58" x14ac:dyDescent="0.25">
      <c r="B64" s="2"/>
      <c r="C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row>
    <row r="65" spans="2:58" x14ac:dyDescent="0.25">
      <c r="B65" s="2"/>
      <c r="C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row>
    <row r="66" spans="2:58" x14ac:dyDescent="0.25">
      <c r="B66" s="2"/>
      <c r="C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row>
    <row r="67" spans="2:58" x14ac:dyDescent="0.25">
      <c r="B67" s="2"/>
      <c r="C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row>
    <row r="68" spans="2:58" x14ac:dyDescent="0.25">
      <c r="B68" s="2"/>
      <c r="C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row>
    <row r="69" spans="2:58" x14ac:dyDescent="0.25">
      <c r="B69" s="2"/>
      <c r="C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row>
    <row r="70" spans="2:58" x14ac:dyDescent="0.25">
      <c r="B70" s="2"/>
      <c r="C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row>
    <row r="71" spans="2:58" x14ac:dyDescent="0.25">
      <c r="B71" s="2"/>
      <c r="C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row>
    <row r="72" spans="2:58" x14ac:dyDescent="0.25">
      <c r="B72" s="2"/>
      <c r="C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row>
    <row r="73" spans="2:58" x14ac:dyDescent="0.25">
      <c r="B73" s="2"/>
      <c r="C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row>
    <row r="74" spans="2:58" x14ac:dyDescent="0.25">
      <c r="B74" s="2"/>
      <c r="C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row>
    <row r="75" spans="2:58" x14ac:dyDescent="0.25">
      <c r="B75" s="2"/>
      <c r="C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row>
    <row r="76" spans="2:58" x14ac:dyDescent="0.25">
      <c r="B76" s="2"/>
      <c r="C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row>
    <row r="77" spans="2:58" x14ac:dyDescent="0.25">
      <c r="B77" s="2"/>
      <c r="C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row>
    <row r="78" spans="2:58" x14ac:dyDescent="0.25">
      <c r="B78" s="2"/>
      <c r="C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row>
    <row r="79" spans="2:58" x14ac:dyDescent="0.25">
      <c r="B79" s="2"/>
      <c r="C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row>
    <row r="80" spans="2:58" x14ac:dyDescent="0.25">
      <c r="B80" s="2"/>
      <c r="C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row>
    <row r="81" spans="2:58" x14ac:dyDescent="0.25">
      <c r="B81" s="2"/>
      <c r="C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row>
    <row r="82" spans="2:58" x14ac:dyDescent="0.25">
      <c r="B82" s="2"/>
      <c r="C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row>
    <row r="83" spans="2:58" x14ac:dyDescent="0.25">
      <c r="B83" s="2"/>
      <c r="C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row>
    <row r="84" spans="2:58" x14ac:dyDescent="0.25">
      <c r="B84" s="2"/>
      <c r="C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row>
    <row r="85" spans="2:58" x14ac:dyDescent="0.25">
      <c r="B85" s="2"/>
      <c r="C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row>
    <row r="86" spans="2:58" x14ac:dyDescent="0.25">
      <c r="B86" s="2"/>
      <c r="C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row>
    <row r="87" spans="2:58" x14ac:dyDescent="0.25">
      <c r="B87" s="2"/>
      <c r="C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row>
    <row r="88" spans="2:58" x14ac:dyDescent="0.25">
      <c r="B88" s="2"/>
      <c r="C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row>
    <row r="89" spans="2:58" x14ac:dyDescent="0.25">
      <c r="B89" s="2"/>
      <c r="C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row>
    <row r="90" spans="2:58" x14ac:dyDescent="0.25">
      <c r="B90" s="2"/>
      <c r="C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row>
    <row r="91" spans="2:58" x14ac:dyDescent="0.25">
      <c r="B91" s="2"/>
      <c r="C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row>
    <row r="92" spans="2:58" x14ac:dyDescent="0.25">
      <c r="B92" s="2"/>
      <c r="C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row>
    <row r="93" spans="2:58" x14ac:dyDescent="0.25">
      <c r="B93" s="2"/>
      <c r="C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row>
    <row r="94" spans="2:58" x14ac:dyDescent="0.25">
      <c r="B94" s="2"/>
      <c r="C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row>
    <row r="95" spans="2:58" x14ac:dyDescent="0.25">
      <c r="B95" s="2"/>
      <c r="C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row>
    <row r="96" spans="2:58" x14ac:dyDescent="0.25">
      <c r="B96" s="2"/>
      <c r="C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row>
    <row r="97" spans="2:58" x14ac:dyDescent="0.25">
      <c r="B97" s="2"/>
      <c r="C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row>
    <row r="98" spans="2:58" x14ac:dyDescent="0.25">
      <c r="B98" s="2"/>
      <c r="C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row>
    <row r="99" spans="2:58" x14ac:dyDescent="0.25">
      <c r="B99" s="2"/>
      <c r="C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row>
    <row r="100" spans="2:58" x14ac:dyDescent="0.25">
      <c r="B100" s="2"/>
      <c r="C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row>
    <row r="101" spans="2:58" x14ac:dyDescent="0.25">
      <c r="B101" s="2"/>
      <c r="C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row>
    <row r="102" spans="2:58" x14ac:dyDescent="0.25">
      <c r="B102" s="2"/>
      <c r="C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row>
    <row r="103" spans="2:58" x14ac:dyDescent="0.25">
      <c r="B103" s="2"/>
      <c r="C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row>
    <row r="104" spans="2:58" x14ac:dyDescent="0.25">
      <c r="B104" s="2"/>
      <c r="C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row>
    <row r="105" spans="2:58" x14ac:dyDescent="0.25">
      <c r="B105" s="2"/>
      <c r="C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row>
    <row r="106" spans="2:58" x14ac:dyDescent="0.25">
      <c r="B106" s="2"/>
      <c r="C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row>
    <row r="107" spans="2:58" x14ac:dyDescent="0.25">
      <c r="B107" s="2"/>
      <c r="C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row>
    <row r="108" spans="2:58" x14ac:dyDescent="0.25">
      <c r="B108" s="2"/>
      <c r="C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row>
    <row r="109" spans="2:58" x14ac:dyDescent="0.25">
      <c r="B109" s="2"/>
      <c r="C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row>
    <row r="110" spans="2:58" x14ac:dyDescent="0.25">
      <c r="B110" s="2"/>
      <c r="C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row>
    <row r="111" spans="2:58" x14ac:dyDescent="0.25">
      <c r="B111" s="2"/>
      <c r="C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row>
    <row r="112" spans="2:58" x14ac:dyDescent="0.25">
      <c r="B112" s="2"/>
      <c r="C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row>
    <row r="113" spans="2:58" x14ac:dyDescent="0.25">
      <c r="B113" s="2"/>
      <c r="C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row>
    <row r="114" spans="2:58" x14ac:dyDescent="0.25">
      <c r="B114" s="2"/>
      <c r="C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row>
    <row r="115" spans="2:58" x14ac:dyDescent="0.25">
      <c r="B115" s="2"/>
      <c r="C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row>
    <row r="116" spans="2:58" x14ac:dyDescent="0.25">
      <c r="B116" s="2"/>
      <c r="C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row>
    <row r="117" spans="2:58" x14ac:dyDescent="0.25">
      <c r="B117" s="2"/>
      <c r="C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row>
    <row r="118" spans="2:58" x14ac:dyDescent="0.25">
      <c r="B118" s="2"/>
      <c r="C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row>
    <row r="119" spans="2:58" x14ac:dyDescent="0.25">
      <c r="B119" s="2"/>
      <c r="C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row>
    <row r="120" spans="2:58" x14ac:dyDescent="0.25">
      <c r="B120" s="2"/>
      <c r="C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row>
    <row r="121" spans="2:58" x14ac:dyDescent="0.25">
      <c r="B121" s="2"/>
      <c r="C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row>
    <row r="122" spans="2:58" x14ac:dyDescent="0.25">
      <c r="B122" s="2"/>
      <c r="C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row>
    <row r="123" spans="2:58" x14ac:dyDescent="0.25">
      <c r="B123" s="2"/>
      <c r="C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row>
    <row r="124" spans="2:58" x14ac:dyDescent="0.25">
      <c r="B124" s="2"/>
      <c r="C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row>
    <row r="125" spans="2:58" x14ac:dyDescent="0.25">
      <c r="B125" s="2"/>
      <c r="C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row>
    <row r="126" spans="2:58" x14ac:dyDescent="0.25">
      <c r="B126" s="2"/>
      <c r="C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row>
    <row r="127" spans="2:58" x14ac:dyDescent="0.25">
      <c r="B127" s="2"/>
      <c r="C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row>
    <row r="128" spans="2:58" x14ac:dyDescent="0.25">
      <c r="B128" s="2"/>
      <c r="C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row>
    <row r="129" spans="2:58" x14ac:dyDescent="0.25">
      <c r="B129" s="2"/>
      <c r="C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row>
    <row r="130" spans="2:58" x14ac:dyDescent="0.25">
      <c r="B130" s="2"/>
      <c r="C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row>
    <row r="131" spans="2:58" x14ac:dyDescent="0.25">
      <c r="B131" s="2"/>
      <c r="C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row>
    <row r="132" spans="2:58" x14ac:dyDescent="0.25">
      <c r="B132" s="2"/>
      <c r="C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row>
    <row r="133" spans="2:58" x14ac:dyDescent="0.25">
      <c r="B133" s="2"/>
      <c r="C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row>
    <row r="134" spans="2:58" x14ac:dyDescent="0.25">
      <c r="B134" s="2"/>
      <c r="C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row>
    <row r="135" spans="2:58" x14ac:dyDescent="0.25">
      <c r="B135" s="2"/>
      <c r="C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row>
    <row r="136" spans="2:58" x14ac:dyDescent="0.25">
      <c r="B136" s="2"/>
      <c r="C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row>
    <row r="137" spans="2:58" x14ac:dyDescent="0.25">
      <c r="B137" s="2"/>
      <c r="C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row>
    <row r="138" spans="2:58" x14ac:dyDescent="0.25">
      <c r="B138" s="2"/>
      <c r="C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row>
    <row r="139" spans="2:58" x14ac:dyDescent="0.25">
      <c r="B139" s="2"/>
      <c r="C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row>
    <row r="140" spans="2:58" x14ac:dyDescent="0.25">
      <c r="B140" s="2"/>
      <c r="C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row>
    <row r="141" spans="2:58" x14ac:dyDescent="0.25">
      <c r="B141" s="2"/>
      <c r="C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row>
    <row r="142" spans="2:58" x14ac:dyDescent="0.25">
      <c r="B142" s="2"/>
      <c r="C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row>
    <row r="143" spans="2:58" x14ac:dyDescent="0.25">
      <c r="B143" s="2"/>
      <c r="C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row>
    <row r="144" spans="2:58" x14ac:dyDescent="0.25">
      <c r="B144" s="2"/>
      <c r="C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row>
    <row r="145" spans="2:58" x14ac:dyDescent="0.25">
      <c r="B145" s="2"/>
      <c r="C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row>
    <row r="146" spans="2:58" x14ac:dyDescent="0.25">
      <c r="B146" s="2"/>
      <c r="C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row>
    <row r="147" spans="2:58" x14ac:dyDescent="0.25">
      <c r="B147" s="2"/>
      <c r="C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row>
    <row r="148" spans="2:58" x14ac:dyDescent="0.25">
      <c r="B148" s="2"/>
      <c r="C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row>
    <row r="149" spans="2:58" x14ac:dyDescent="0.25">
      <c r="B149" s="2"/>
      <c r="C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row>
    <row r="150" spans="2:58" x14ac:dyDescent="0.25">
      <c r="B150" s="2"/>
      <c r="C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row>
    <row r="151" spans="2:58" x14ac:dyDescent="0.25">
      <c r="B151" s="2"/>
      <c r="C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row>
    <row r="152" spans="2:58" x14ac:dyDescent="0.25">
      <c r="B152" s="2"/>
      <c r="C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row>
    <row r="153" spans="2:58" x14ac:dyDescent="0.25">
      <c r="B153" s="2"/>
      <c r="C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row>
    <row r="154" spans="2:58" x14ac:dyDescent="0.25">
      <c r="B154" s="2"/>
      <c r="C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row>
    <row r="155" spans="2:58" x14ac:dyDescent="0.25">
      <c r="B155" s="2"/>
      <c r="C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row>
    <row r="156" spans="2:58" x14ac:dyDescent="0.25">
      <c r="B156" s="2"/>
      <c r="C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row>
    <row r="157" spans="2:58" x14ac:dyDescent="0.25">
      <c r="B157" s="2"/>
      <c r="C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row>
    <row r="158" spans="2:58" x14ac:dyDescent="0.25">
      <c r="B158" s="2"/>
      <c r="C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row>
    <row r="159" spans="2:58" x14ac:dyDescent="0.25">
      <c r="B159" s="2"/>
      <c r="C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row>
    <row r="160" spans="2:58" x14ac:dyDescent="0.25">
      <c r="B160" s="2"/>
      <c r="C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row>
    <row r="161" spans="2:58" x14ac:dyDescent="0.25">
      <c r="B161" s="2"/>
      <c r="C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row>
    <row r="162" spans="2:58" x14ac:dyDescent="0.25">
      <c r="B162" s="2"/>
      <c r="C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row>
    <row r="163" spans="2:58" x14ac:dyDescent="0.25">
      <c r="B163" s="2"/>
      <c r="C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row>
    <row r="164" spans="2:58" x14ac:dyDescent="0.25">
      <c r="B164" s="2"/>
      <c r="C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row>
    <row r="165" spans="2:58" x14ac:dyDescent="0.25">
      <c r="B165" s="2"/>
      <c r="C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row>
    <row r="166" spans="2:58" x14ac:dyDescent="0.25">
      <c r="B166" s="2"/>
      <c r="C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row>
    <row r="167" spans="2:58" x14ac:dyDescent="0.25">
      <c r="B167" s="2"/>
      <c r="C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row>
    <row r="168" spans="2:58" x14ac:dyDescent="0.25">
      <c r="B168" s="2"/>
      <c r="C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row>
    <row r="169" spans="2:58" x14ac:dyDescent="0.25">
      <c r="B169" s="2"/>
      <c r="C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row>
    <row r="170" spans="2:58" x14ac:dyDescent="0.25">
      <c r="B170" s="2"/>
      <c r="C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row>
    <row r="171" spans="2:58" x14ac:dyDescent="0.25">
      <c r="B171" s="2"/>
      <c r="C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row>
    <row r="172" spans="2:58" x14ac:dyDescent="0.25">
      <c r="B172" s="2"/>
      <c r="C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row>
    <row r="173" spans="2:58" x14ac:dyDescent="0.25">
      <c r="B173" s="2"/>
      <c r="C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row>
    <row r="174" spans="2:58" x14ac:dyDescent="0.25">
      <c r="B174" s="2"/>
      <c r="C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row>
    <row r="175" spans="2:58" x14ac:dyDescent="0.25">
      <c r="B175" s="2"/>
      <c r="C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row>
    <row r="176" spans="2:58" x14ac:dyDescent="0.25">
      <c r="B176" s="2"/>
      <c r="C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row>
    <row r="177" spans="2:58" x14ac:dyDescent="0.25">
      <c r="B177" s="2"/>
      <c r="C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row>
    <row r="178" spans="2:58" x14ac:dyDescent="0.25">
      <c r="B178" s="2"/>
      <c r="C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row>
    <row r="179" spans="2:58" x14ac:dyDescent="0.25">
      <c r="B179" s="2"/>
      <c r="C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row>
    <row r="180" spans="2:58" x14ac:dyDescent="0.25">
      <c r="B180" s="2"/>
      <c r="C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row>
    <row r="181" spans="2:58" x14ac:dyDescent="0.25">
      <c r="B181" s="2"/>
      <c r="C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row>
    <row r="182" spans="2:58" x14ac:dyDescent="0.25">
      <c r="B182" s="2"/>
      <c r="C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row>
    <row r="183" spans="2:58" x14ac:dyDescent="0.25">
      <c r="B183" s="2"/>
      <c r="C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row>
    <row r="184" spans="2:58" x14ac:dyDescent="0.25">
      <c r="B184" s="2"/>
      <c r="C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row>
    <row r="185" spans="2:58" x14ac:dyDescent="0.25">
      <c r="B185" s="2"/>
      <c r="C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row>
    <row r="186" spans="2:58" x14ac:dyDescent="0.25">
      <c r="B186" s="2"/>
      <c r="C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row>
    <row r="187" spans="2:58" x14ac:dyDescent="0.25">
      <c r="B187" s="2"/>
      <c r="C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row>
    <row r="188" spans="2:58" x14ac:dyDescent="0.25">
      <c r="B188" s="2"/>
      <c r="C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row>
    <row r="189" spans="2:58" x14ac:dyDescent="0.25">
      <c r="B189" s="2"/>
      <c r="C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row>
    <row r="190" spans="2:58" x14ac:dyDescent="0.25">
      <c r="B190" s="2"/>
      <c r="C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row>
    <row r="191" spans="2:58" x14ac:dyDescent="0.25">
      <c r="B191" s="2"/>
      <c r="C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row>
    <row r="192" spans="2:58" x14ac:dyDescent="0.25">
      <c r="B192" s="2"/>
      <c r="C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row>
    <row r="193" spans="2:58" x14ac:dyDescent="0.25">
      <c r="B193" s="2"/>
      <c r="C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row>
    <row r="194" spans="2:58" x14ac:dyDescent="0.25">
      <c r="B194" s="2"/>
      <c r="C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row>
    <row r="195" spans="2:58" x14ac:dyDescent="0.25">
      <c r="B195" s="2"/>
      <c r="C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row>
    <row r="196" spans="2:58" x14ac:dyDescent="0.25">
      <c r="B196" s="2"/>
      <c r="C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row>
    <row r="197" spans="2:58" x14ac:dyDescent="0.25">
      <c r="B197" s="2"/>
      <c r="C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row>
    <row r="198" spans="2:58" x14ac:dyDescent="0.25">
      <c r="B198" s="2"/>
      <c r="C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row>
    <row r="199" spans="2:58" x14ac:dyDescent="0.25">
      <c r="B199" s="2"/>
      <c r="C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row>
    <row r="200" spans="2:58" x14ac:dyDescent="0.25">
      <c r="B200" s="2"/>
      <c r="C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row>
    <row r="201" spans="2:58" x14ac:dyDescent="0.25">
      <c r="B201" s="2"/>
      <c r="C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row>
    <row r="202" spans="2:58" x14ac:dyDescent="0.25">
      <c r="B202" s="2"/>
      <c r="C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row>
    <row r="203" spans="2:58" x14ac:dyDescent="0.25">
      <c r="B203" s="2"/>
      <c r="C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row>
    <row r="204" spans="2:58" x14ac:dyDescent="0.25">
      <c r="B204" s="2"/>
      <c r="C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row>
    <row r="205" spans="2:58" x14ac:dyDescent="0.25">
      <c r="B205" s="2"/>
      <c r="C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row>
    <row r="206" spans="2:58" x14ac:dyDescent="0.25">
      <c r="B206" s="2"/>
      <c r="C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row>
    <row r="207" spans="2:58" x14ac:dyDescent="0.25">
      <c r="B207" s="2"/>
      <c r="C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row>
    <row r="208" spans="2:58" x14ac:dyDescent="0.25">
      <c r="B208" s="2"/>
      <c r="C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row>
    <row r="209" spans="2:58" x14ac:dyDescent="0.25">
      <c r="B209" s="2"/>
      <c r="C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row>
    <row r="210" spans="2:58" x14ac:dyDescent="0.25">
      <c r="B210" s="2"/>
      <c r="C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row>
    <row r="211" spans="2:58" x14ac:dyDescent="0.25">
      <c r="B211" s="2"/>
      <c r="C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row>
    <row r="212" spans="2:58" x14ac:dyDescent="0.25">
      <c r="B212" s="2"/>
      <c r="C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row>
    <row r="213" spans="2:58" x14ac:dyDescent="0.25">
      <c r="B213" s="2"/>
      <c r="C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row>
    <row r="214" spans="2:58" x14ac:dyDescent="0.25">
      <c r="B214" s="2"/>
      <c r="C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row>
    <row r="215" spans="2:58" x14ac:dyDescent="0.25">
      <c r="B215" s="2"/>
      <c r="C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row>
    <row r="216" spans="2:58" x14ac:dyDescent="0.25">
      <c r="B216" s="2"/>
      <c r="C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row>
    <row r="217" spans="2:58" x14ac:dyDescent="0.25">
      <c r="B217" s="2"/>
      <c r="C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row>
    <row r="218" spans="2:58" x14ac:dyDescent="0.25">
      <c r="B218" s="2"/>
      <c r="C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row>
    <row r="219" spans="2:58" x14ac:dyDescent="0.25">
      <c r="B219" s="2"/>
      <c r="C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row>
    <row r="220" spans="2:58" x14ac:dyDescent="0.25">
      <c r="B220" s="2"/>
      <c r="C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row>
    <row r="221" spans="2:58" x14ac:dyDescent="0.25">
      <c r="B221" s="2"/>
      <c r="C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row>
    <row r="222" spans="2:58" x14ac:dyDescent="0.25">
      <c r="B222" s="2"/>
      <c r="C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row>
    <row r="223" spans="2:58" x14ac:dyDescent="0.25">
      <c r="B223" s="2"/>
      <c r="C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row>
    <row r="224" spans="2:58" x14ac:dyDescent="0.25">
      <c r="B224" s="2"/>
      <c r="C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row>
    <row r="225" spans="2:58" x14ac:dyDescent="0.25">
      <c r="B225" s="2"/>
      <c r="C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row>
    <row r="226" spans="2:58" x14ac:dyDescent="0.25">
      <c r="B226" s="2"/>
      <c r="C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row>
    <row r="227" spans="2:58" x14ac:dyDescent="0.25">
      <c r="B227" s="2"/>
      <c r="C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row>
    <row r="228" spans="2:58" x14ac:dyDescent="0.25">
      <c r="B228" s="2"/>
      <c r="C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row>
    <row r="229" spans="2:58" x14ac:dyDescent="0.25">
      <c r="B229" s="2"/>
      <c r="C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row>
    <row r="230" spans="2:58" x14ac:dyDescent="0.25">
      <c r="B230" s="2"/>
      <c r="C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row>
    <row r="231" spans="2:58" x14ac:dyDescent="0.25">
      <c r="B231" s="2"/>
      <c r="C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row>
    <row r="232" spans="2:58" x14ac:dyDescent="0.25">
      <c r="B232" s="2"/>
      <c r="C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row>
    <row r="233" spans="2:58" x14ac:dyDescent="0.25">
      <c r="B233" s="2"/>
      <c r="C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row>
    <row r="234" spans="2:58" x14ac:dyDescent="0.25">
      <c r="B234" s="2"/>
      <c r="C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row>
    <row r="235" spans="2:58" x14ac:dyDescent="0.25">
      <c r="B235" s="2"/>
      <c r="C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row>
    <row r="236" spans="2:58" x14ac:dyDescent="0.25">
      <c r="B236" s="2"/>
      <c r="C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row>
    <row r="237" spans="2:58" x14ac:dyDescent="0.25">
      <c r="B237" s="2"/>
      <c r="C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row>
    <row r="238" spans="2:58" x14ac:dyDescent="0.25">
      <c r="B238" s="2"/>
      <c r="C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row>
    <row r="239" spans="2:58" x14ac:dyDescent="0.25">
      <c r="B239" s="2"/>
      <c r="C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row>
    <row r="240" spans="2:58" x14ac:dyDescent="0.25">
      <c r="B240" s="2"/>
      <c r="C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row>
    <row r="241" spans="2:58" x14ac:dyDescent="0.25">
      <c r="B241" s="2"/>
      <c r="C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row>
    <row r="242" spans="2:58" x14ac:dyDescent="0.25">
      <c r="B242" s="2"/>
      <c r="C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row>
    <row r="243" spans="2:58" x14ac:dyDescent="0.25">
      <c r="B243" s="2"/>
      <c r="C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row>
    <row r="244" spans="2:58" x14ac:dyDescent="0.25">
      <c r="B244" s="2"/>
      <c r="C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row>
    <row r="245" spans="2:58" x14ac:dyDescent="0.25">
      <c r="B245" s="2"/>
      <c r="C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row>
    <row r="246" spans="2:58" x14ac:dyDescent="0.25">
      <c r="B246" s="2"/>
      <c r="C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row>
    <row r="247" spans="2:58" x14ac:dyDescent="0.25">
      <c r="B247" s="2"/>
      <c r="C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row>
    <row r="248" spans="2:58" x14ac:dyDescent="0.25">
      <c r="B248" s="2"/>
      <c r="C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row>
    <row r="249" spans="2:58" x14ac:dyDescent="0.25">
      <c r="B249" s="2"/>
      <c r="C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row>
    <row r="250" spans="2:58" x14ac:dyDescent="0.25">
      <c r="B250" s="2"/>
      <c r="C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row>
    <row r="251" spans="2:58" x14ac:dyDescent="0.25">
      <c r="B251" s="2"/>
      <c r="C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row>
    <row r="252" spans="2:58" x14ac:dyDescent="0.25">
      <c r="B252" s="2"/>
      <c r="C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row>
    <row r="253" spans="2:58" x14ac:dyDescent="0.25">
      <c r="B253" s="2"/>
      <c r="C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row>
    <row r="254" spans="2:58" x14ac:dyDescent="0.25">
      <c r="B254" s="2"/>
      <c r="C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row>
    <row r="255" spans="2:58" x14ac:dyDescent="0.25">
      <c r="B255" s="2"/>
      <c r="C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row>
    <row r="256" spans="2:58" x14ac:dyDescent="0.25">
      <c r="B256" s="2"/>
      <c r="C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row>
    <row r="257" spans="2:58" x14ac:dyDescent="0.25">
      <c r="B257" s="2"/>
      <c r="C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row>
    <row r="258" spans="2:58" x14ac:dyDescent="0.25">
      <c r="B258" s="2"/>
      <c r="C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row>
    <row r="259" spans="2:58" x14ac:dyDescent="0.25">
      <c r="B259" s="2"/>
      <c r="C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row>
    <row r="260" spans="2:58" x14ac:dyDescent="0.25">
      <c r="B260" s="2"/>
      <c r="C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row>
    <row r="261" spans="2:58" x14ac:dyDescent="0.25">
      <c r="B261" s="2"/>
      <c r="C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row>
    <row r="262" spans="2:58" x14ac:dyDescent="0.25">
      <c r="B262" s="2"/>
      <c r="C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row>
    <row r="263" spans="2:58" x14ac:dyDescent="0.25">
      <c r="B263" s="2"/>
      <c r="C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row>
    <row r="264" spans="2:58" x14ac:dyDescent="0.25">
      <c r="B264" s="2"/>
      <c r="C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row>
    <row r="265" spans="2:58" x14ac:dyDescent="0.25">
      <c r="B265" s="2"/>
      <c r="C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row>
    <row r="266" spans="2:58" x14ac:dyDescent="0.25">
      <c r="B266" s="2"/>
      <c r="C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row>
    <row r="267" spans="2:58" x14ac:dyDescent="0.25">
      <c r="B267" s="2"/>
      <c r="C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row>
    <row r="268" spans="2:58" x14ac:dyDescent="0.25">
      <c r="B268" s="2"/>
      <c r="C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row>
    <row r="269" spans="2:58" x14ac:dyDescent="0.25">
      <c r="B269" s="2"/>
      <c r="C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row>
    <row r="270" spans="2:58" x14ac:dyDescent="0.25">
      <c r="B270" s="2"/>
      <c r="C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row>
    <row r="271" spans="2:58" x14ac:dyDescent="0.25">
      <c r="B271" s="2"/>
      <c r="C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row>
    <row r="272" spans="2:58" x14ac:dyDescent="0.25">
      <c r="B272" s="2"/>
      <c r="C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row>
    <row r="273" spans="2:58" x14ac:dyDescent="0.25">
      <c r="B273" s="2"/>
      <c r="C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row>
    <row r="274" spans="2:58" x14ac:dyDescent="0.25">
      <c r="B274" s="2"/>
      <c r="C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row>
    <row r="275" spans="2:58" x14ac:dyDescent="0.25">
      <c r="B275" s="2"/>
      <c r="C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row>
    <row r="276" spans="2:58" x14ac:dyDescent="0.25">
      <c r="B276" s="2"/>
      <c r="C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row>
    <row r="277" spans="2:58" x14ac:dyDescent="0.25">
      <c r="B277" s="2"/>
      <c r="C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row>
    <row r="278" spans="2:58" x14ac:dyDescent="0.25">
      <c r="B278" s="2"/>
      <c r="C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row>
    <row r="279" spans="2:58" x14ac:dyDescent="0.25">
      <c r="B279" s="2"/>
      <c r="C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row>
    <row r="280" spans="2:58" x14ac:dyDescent="0.25">
      <c r="B280" s="2"/>
      <c r="C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row>
    <row r="281" spans="2:58" x14ac:dyDescent="0.25">
      <c r="B281" s="2"/>
      <c r="C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row>
    <row r="282" spans="2:58" x14ac:dyDescent="0.25">
      <c r="B282" s="2"/>
      <c r="C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row>
    <row r="283" spans="2:58" x14ac:dyDescent="0.25">
      <c r="B283" s="2"/>
      <c r="C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row>
    <row r="284" spans="2:58" x14ac:dyDescent="0.25">
      <c r="B284" s="2"/>
      <c r="C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row>
    <row r="285" spans="2:58" x14ac:dyDescent="0.25">
      <c r="B285" s="2"/>
      <c r="C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row>
    <row r="286" spans="2:58" x14ac:dyDescent="0.25">
      <c r="B286" s="2"/>
      <c r="C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row>
    <row r="287" spans="2:58" x14ac:dyDescent="0.25">
      <c r="B287" s="2"/>
      <c r="C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row>
    <row r="288" spans="2:58" x14ac:dyDescent="0.25">
      <c r="B288" s="2"/>
      <c r="C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row>
    <row r="289" spans="2:58" x14ac:dyDescent="0.25">
      <c r="B289" s="2"/>
      <c r="C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row>
    <row r="290" spans="2:58" x14ac:dyDescent="0.25">
      <c r="B290" s="2"/>
      <c r="C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row>
    <row r="291" spans="2:58" x14ac:dyDescent="0.25">
      <c r="B291" s="2"/>
      <c r="C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row>
    <row r="292" spans="2:58" x14ac:dyDescent="0.25">
      <c r="B292" s="2"/>
      <c r="C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row>
    <row r="293" spans="2:58" x14ac:dyDescent="0.25">
      <c r="B293" s="2"/>
      <c r="C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row>
    <row r="294" spans="2:58" x14ac:dyDescent="0.25">
      <c r="B294" s="2"/>
      <c r="C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row>
    <row r="295" spans="2:58" x14ac:dyDescent="0.25">
      <c r="B295" s="2"/>
      <c r="C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row>
    <row r="296" spans="2:58" x14ac:dyDescent="0.25">
      <c r="B296" s="2"/>
      <c r="C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row>
    <row r="297" spans="2:58" x14ac:dyDescent="0.25">
      <c r="B297" s="2"/>
      <c r="C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row>
    <row r="298" spans="2:58" x14ac:dyDescent="0.25">
      <c r="B298" s="2"/>
      <c r="C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row>
    <row r="299" spans="2:58" x14ac:dyDescent="0.25">
      <c r="B299" s="2"/>
      <c r="C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row>
    <row r="300" spans="2:58" x14ac:dyDescent="0.25">
      <c r="B300" s="2"/>
      <c r="C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row>
    <row r="301" spans="2:58" x14ac:dyDescent="0.25">
      <c r="B301" s="2"/>
      <c r="C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row>
    <row r="302" spans="2:58" x14ac:dyDescent="0.25">
      <c r="B302" s="2"/>
      <c r="C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row>
    <row r="303" spans="2:58" x14ac:dyDescent="0.25">
      <c r="B303" s="2"/>
      <c r="C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row>
    <row r="304" spans="2:58" x14ac:dyDescent="0.25">
      <c r="B304" s="2"/>
      <c r="C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row>
    <row r="305" spans="2:58" x14ac:dyDescent="0.25">
      <c r="B305" s="2"/>
      <c r="C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row>
    <row r="306" spans="2:58" x14ac:dyDescent="0.25">
      <c r="B306" s="2"/>
      <c r="C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row>
    <row r="307" spans="2:58" x14ac:dyDescent="0.25">
      <c r="B307" s="2"/>
      <c r="C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row>
    <row r="308" spans="2:58" x14ac:dyDescent="0.25">
      <c r="B308" s="2"/>
      <c r="C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row>
    <row r="309" spans="2:58" x14ac:dyDescent="0.25">
      <c r="B309" s="2"/>
      <c r="C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row>
    <row r="310" spans="2:58" x14ac:dyDescent="0.25">
      <c r="B310" s="2"/>
      <c r="C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row>
    <row r="311" spans="2:58" x14ac:dyDescent="0.25">
      <c r="B311" s="2"/>
      <c r="C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row>
    <row r="312" spans="2:58" x14ac:dyDescent="0.25">
      <c r="B312" s="2"/>
      <c r="C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row>
    <row r="313" spans="2:58" x14ac:dyDescent="0.25">
      <c r="B313" s="2"/>
      <c r="C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row>
    <row r="314" spans="2:58" x14ac:dyDescent="0.25">
      <c r="B314" s="2"/>
      <c r="C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row>
    <row r="315" spans="2:58" x14ac:dyDescent="0.25">
      <c r="B315" s="2"/>
      <c r="C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row>
    <row r="316" spans="2:58" x14ac:dyDescent="0.25">
      <c r="B316" s="2"/>
      <c r="C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row>
    <row r="317" spans="2:58" x14ac:dyDescent="0.25">
      <c r="B317" s="2"/>
      <c r="C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row>
    <row r="318" spans="2:58" x14ac:dyDescent="0.25">
      <c r="B318" s="2"/>
      <c r="C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row>
    <row r="319" spans="2:58" x14ac:dyDescent="0.25">
      <c r="B319" s="2"/>
      <c r="C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row>
    <row r="320" spans="2:58" x14ac:dyDescent="0.25">
      <c r="B320" s="2"/>
      <c r="C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row>
    <row r="321" spans="2:58" x14ac:dyDescent="0.25">
      <c r="B321" s="2"/>
      <c r="C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row>
    <row r="322" spans="2:58" x14ac:dyDescent="0.25">
      <c r="B322" s="2"/>
      <c r="C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row>
    <row r="323" spans="2:58" x14ac:dyDescent="0.25">
      <c r="B323" s="2"/>
      <c r="C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row>
    <row r="324" spans="2:58" x14ac:dyDescent="0.25">
      <c r="B324" s="2"/>
      <c r="C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row>
    <row r="325" spans="2:58" x14ac:dyDescent="0.25">
      <c r="B325" s="2"/>
      <c r="C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row>
    <row r="326" spans="2:58" x14ac:dyDescent="0.25">
      <c r="B326" s="2"/>
      <c r="C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row>
    <row r="327" spans="2:58" x14ac:dyDescent="0.25">
      <c r="B327" s="2"/>
      <c r="C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row>
    <row r="328" spans="2:58" x14ac:dyDescent="0.25">
      <c r="B328" s="2"/>
      <c r="C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row>
    <row r="329" spans="2:58" x14ac:dyDescent="0.25">
      <c r="B329" s="2"/>
      <c r="C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row>
    <row r="330" spans="2:58" x14ac:dyDescent="0.25">
      <c r="B330" s="2"/>
      <c r="C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row>
    <row r="331" spans="2:58" x14ac:dyDescent="0.25">
      <c r="B331" s="2"/>
      <c r="C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row>
    <row r="332" spans="2:58" x14ac:dyDescent="0.25">
      <c r="B332" s="2"/>
      <c r="C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row>
    <row r="333" spans="2:58" x14ac:dyDescent="0.25">
      <c r="B333" s="2"/>
      <c r="C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row>
    <row r="334" spans="2:58" x14ac:dyDescent="0.25">
      <c r="B334" s="2"/>
      <c r="C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row>
    <row r="335" spans="2:58" x14ac:dyDescent="0.25">
      <c r="B335" s="2"/>
      <c r="C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row>
    <row r="336" spans="2:58" x14ac:dyDescent="0.25">
      <c r="B336" s="2"/>
      <c r="C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row>
    <row r="337" spans="2:58" x14ac:dyDescent="0.25">
      <c r="B337" s="2"/>
      <c r="C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row>
    <row r="338" spans="2:58" x14ac:dyDescent="0.25">
      <c r="B338" s="2"/>
      <c r="C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row>
    <row r="339" spans="2:58" x14ac:dyDescent="0.25">
      <c r="B339" s="2"/>
      <c r="C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row>
    <row r="340" spans="2:58" x14ac:dyDescent="0.25">
      <c r="B340" s="2"/>
      <c r="C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row>
    <row r="341" spans="2:58" x14ac:dyDescent="0.25">
      <c r="B341" s="2"/>
      <c r="C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row>
    <row r="342" spans="2:58" x14ac:dyDescent="0.25">
      <c r="B342" s="2"/>
      <c r="C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row>
    <row r="343" spans="2:58" x14ac:dyDescent="0.25">
      <c r="B343" s="2"/>
      <c r="C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row>
    <row r="344" spans="2:58" x14ac:dyDescent="0.25">
      <c r="B344" s="2"/>
      <c r="C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row>
    <row r="345" spans="2:58" x14ac:dyDescent="0.25">
      <c r="B345" s="2"/>
      <c r="C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row>
    <row r="346" spans="2:58" x14ac:dyDescent="0.25">
      <c r="B346" s="2"/>
      <c r="C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row>
    <row r="347" spans="2:58" x14ac:dyDescent="0.25">
      <c r="B347" s="2"/>
      <c r="C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row>
    <row r="348" spans="2:58" x14ac:dyDescent="0.25">
      <c r="B348" s="2"/>
      <c r="C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row>
    <row r="349" spans="2:58" x14ac:dyDescent="0.25">
      <c r="B349" s="2"/>
      <c r="C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row>
    <row r="350" spans="2:58" x14ac:dyDescent="0.25">
      <c r="B350" s="2"/>
      <c r="C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row>
    <row r="351" spans="2:58" x14ac:dyDescent="0.25">
      <c r="B351" s="2"/>
      <c r="C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row>
    <row r="352" spans="2:58" x14ac:dyDescent="0.25">
      <c r="B352" s="2"/>
      <c r="C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row>
    <row r="353" spans="2:58" x14ac:dyDescent="0.25">
      <c r="B353" s="2"/>
      <c r="C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row>
    <row r="354" spans="2:58" x14ac:dyDescent="0.25">
      <c r="B354" s="2"/>
      <c r="C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row>
    <row r="355" spans="2:58" x14ac:dyDescent="0.25">
      <c r="B355" s="2"/>
      <c r="C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row>
    <row r="356" spans="2:58" x14ac:dyDescent="0.25">
      <c r="B356" s="2"/>
      <c r="C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row>
    <row r="357" spans="2:58" x14ac:dyDescent="0.25">
      <c r="B357" s="2"/>
      <c r="C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row>
    <row r="358" spans="2:58" x14ac:dyDescent="0.25">
      <c r="B358" s="2"/>
      <c r="C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row>
    <row r="359" spans="2:58" x14ac:dyDescent="0.25">
      <c r="B359" s="2"/>
      <c r="C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row>
    <row r="360" spans="2:58" x14ac:dyDescent="0.25">
      <c r="B360" s="2"/>
      <c r="C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row>
    <row r="361" spans="2:58" x14ac:dyDescent="0.25">
      <c r="B361" s="2"/>
      <c r="C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row>
    <row r="362" spans="2:58" x14ac:dyDescent="0.25">
      <c r="B362" s="2"/>
      <c r="C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row>
    <row r="363" spans="2:58" x14ac:dyDescent="0.25">
      <c r="B363" s="2"/>
      <c r="C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row>
    <row r="364" spans="2:58" x14ac:dyDescent="0.25">
      <c r="B364" s="2"/>
      <c r="C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row>
    <row r="365" spans="2:58" x14ac:dyDescent="0.25">
      <c r="B365" s="2"/>
      <c r="C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row>
    <row r="366" spans="2:58" x14ac:dyDescent="0.25">
      <c r="B366" s="2"/>
      <c r="C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row>
    <row r="367" spans="2:58" x14ac:dyDescent="0.25">
      <c r="B367" s="2"/>
      <c r="C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row>
    <row r="368" spans="2:58" x14ac:dyDescent="0.25">
      <c r="B368" s="2"/>
      <c r="C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row>
    <row r="369" spans="2:58" x14ac:dyDescent="0.25">
      <c r="B369" s="2"/>
      <c r="C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row>
    <row r="370" spans="2:58" x14ac:dyDescent="0.25">
      <c r="B370" s="2"/>
      <c r="C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row>
    <row r="371" spans="2:58" x14ac:dyDescent="0.25">
      <c r="B371" s="2"/>
      <c r="C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row>
    <row r="372" spans="2:58" x14ac:dyDescent="0.25">
      <c r="B372" s="2"/>
      <c r="C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row>
    <row r="373" spans="2:58" x14ac:dyDescent="0.25">
      <c r="B373" s="2"/>
      <c r="C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row>
    <row r="374" spans="2:58" x14ac:dyDescent="0.25">
      <c r="B374" s="2"/>
      <c r="C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row>
    <row r="375" spans="2:58" x14ac:dyDescent="0.25">
      <c r="B375" s="2"/>
      <c r="C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row>
    <row r="376" spans="2:58" x14ac:dyDescent="0.25">
      <c r="B376" s="2"/>
      <c r="C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row>
    <row r="377" spans="2:58" x14ac:dyDescent="0.25">
      <c r="B377" s="2"/>
      <c r="C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row>
    <row r="378" spans="2:58" x14ac:dyDescent="0.25">
      <c r="B378" s="2"/>
      <c r="C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row>
    <row r="379" spans="2:58" x14ac:dyDescent="0.25">
      <c r="B379" s="2"/>
      <c r="C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row>
    <row r="380" spans="2:58" x14ac:dyDescent="0.25">
      <c r="B380" s="2"/>
      <c r="C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row>
    <row r="381" spans="2:58" x14ac:dyDescent="0.25">
      <c r="B381" s="2"/>
      <c r="C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row>
    <row r="382" spans="2:58" x14ac:dyDescent="0.25">
      <c r="B382" s="2"/>
      <c r="C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row>
    <row r="383" spans="2:58" x14ac:dyDescent="0.25">
      <c r="B383" s="2"/>
      <c r="C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row>
    <row r="384" spans="2:58" x14ac:dyDescent="0.25">
      <c r="B384" s="2"/>
      <c r="C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row>
    <row r="385" spans="2:58" x14ac:dyDescent="0.25">
      <c r="B385" s="2"/>
      <c r="C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row>
    <row r="386" spans="2:58" x14ac:dyDescent="0.25">
      <c r="B386" s="2"/>
      <c r="C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row>
    <row r="387" spans="2:58" x14ac:dyDescent="0.25">
      <c r="B387" s="2"/>
      <c r="C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row>
    <row r="388" spans="2:58" x14ac:dyDescent="0.25">
      <c r="B388" s="2"/>
      <c r="C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row>
    <row r="389" spans="2:58" x14ac:dyDescent="0.25">
      <c r="B389" s="2"/>
      <c r="C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row>
    <row r="390" spans="2:58" x14ac:dyDescent="0.25">
      <c r="B390" s="2"/>
      <c r="C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row>
    <row r="391" spans="2:58" x14ac:dyDescent="0.25">
      <c r="B391" s="2"/>
      <c r="C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row>
    <row r="392" spans="2:58" x14ac:dyDescent="0.25">
      <c r="B392" s="2"/>
      <c r="C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row>
    <row r="393" spans="2:58" x14ac:dyDescent="0.25">
      <c r="B393" s="2"/>
      <c r="C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row>
    <row r="394" spans="2:58" x14ac:dyDescent="0.25">
      <c r="B394" s="2"/>
      <c r="C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row>
    <row r="395" spans="2:58" x14ac:dyDescent="0.25">
      <c r="B395" s="2"/>
      <c r="C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row>
    <row r="396" spans="2:58" x14ac:dyDescent="0.25">
      <c r="B396" s="2"/>
      <c r="C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row>
    <row r="397" spans="2:58" x14ac:dyDescent="0.25">
      <c r="B397" s="2"/>
      <c r="C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row>
    <row r="398" spans="2:58" x14ac:dyDescent="0.25">
      <c r="B398" s="2"/>
      <c r="C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row>
    <row r="399" spans="2:58" x14ac:dyDescent="0.25">
      <c r="B399" s="2"/>
      <c r="C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row>
    <row r="400" spans="2:58" x14ac:dyDescent="0.25">
      <c r="B400" s="2"/>
      <c r="C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row>
    <row r="401" spans="2:58" x14ac:dyDescent="0.25">
      <c r="B401" s="2"/>
      <c r="C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row>
    <row r="402" spans="2:58" x14ac:dyDescent="0.25">
      <c r="B402" s="2"/>
      <c r="C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row>
    <row r="403" spans="2:58" x14ac:dyDescent="0.25">
      <c r="B403" s="2"/>
      <c r="C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row>
    <row r="404" spans="2:58" x14ac:dyDescent="0.25">
      <c r="B404" s="2"/>
      <c r="C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row>
    <row r="405" spans="2:58" x14ac:dyDescent="0.25">
      <c r="B405" s="2"/>
      <c r="C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row>
    <row r="406" spans="2:58" x14ac:dyDescent="0.25">
      <c r="B406" s="2"/>
      <c r="C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row>
    <row r="407" spans="2:58" x14ac:dyDescent="0.25">
      <c r="B407" s="2"/>
      <c r="C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row>
    <row r="408" spans="2:58" x14ac:dyDescent="0.25">
      <c r="B408" s="2"/>
      <c r="C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row>
    <row r="409" spans="2:58" x14ac:dyDescent="0.25">
      <c r="B409" s="2"/>
      <c r="C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row>
    <row r="410" spans="2:58" x14ac:dyDescent="0.25">
      <c r="B410" s="2"/>
      <c r="C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row>
    <row r="411" spans="2:58" x14ac:dyDescent="0.25">
      <c r="B411" s="2"/>
      <c r="C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row>
    <row r="412" spans="2:58" x14ac:dyDescent="0.25">
      <c r="B412" s="2"/>
      <c r="C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row>
    <row r="413" spans="2:58" x14ac:dyDescent="0.25">
      <c r="B413" s="2"/>
      <c r="C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row>
    <row r="414" spans="2:58" x14ac:dyDescent="0.25">
      <c r="B414" s="2"/>
      <c r="C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row>
    <row r="415" spans="2:58" x14ac:dyDescent="0.25">
      <c r="B415" s="2"/>
      <c r="C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row>
    <row r="416" spans="2:58" x14ac:dyDescent="0.25">
      <c r="B416" s="2"/>
      <c r="C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row>
    <row r="417" spans="2:58" x14ac:dyDescent="0.25">
      <c r="B417" s="2"/>
      <c r="C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row>
    <row r="418" spans="2:58" x14ac:dyDescent="0.25">
      <c r="B418" s="2"/>
      <c r="C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row>
    <row r="419" spans="2:58" x14ac:dyDescent="0.25">
      <c r="B419" s="2"/>
      <c r="C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row>
    <row r="420" spans="2:58" x14ac:dyDescent="0.25">
      <c r="B420" s="2"/>
      <c r="C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row>
    <row r="421" spans="2:58" x14ac:dyDescent="0.25">
      <c r="B421" s="2"/>
      <c r="C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row>
    <row r="422" spans="2:58" x14ac:dyDescent="0.25">
      <c r="B422" s="2"/>
      <c r="C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row>
    <row r="423" spans="2:58" x14ac:dyDescent="0.25">
      <c r="B423" s="2"/>
      <c r="C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row>
    <row r="424" spans="2:58" x14ac:dyDescent="0.25">
      <c r="B424" s="2"/>
      <c r="C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row>
    <row r="425" spans="2:58" x14ac:dyDescent="0.25">
      <c r="B425" s="2"/>
      <c r="C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row>
    <row r="426" spans="2:58" x14ac:dyDescent="0.25">
      <c r="B426" s="2"/>
      <c r="C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row>
    <row r="427" spans="2:58" x14ac:dyDescent="0.25">
      <c r="B427" s="2"/>
      <c r="C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row>
    <row r="428" spans="2:58" x14ac:dyDescent="0.25">
      <c r="B428" s="2"/>
      <c r="C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row>
    <row r="429" spans="2:58" x14ac:dyDescent="0.25">
      <c r="B429" s="2"/>
      <c r="C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row>
    <row r="430" spans="2:58" x14ac:dyDescent="0.25">
      <c r="B430" s="2"/>
      <c r="C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row>
    <row r="431" spans="2:58" x14ac:dyDescent="0.25">
      <c r="B431" s="2"/>
      <c r="C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row>
    <row r="432" spans="2:58" x14ac:dyDescent="0.25">
      <c r="B432" s="2"/>
      <c r="C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row>
    <row r="433" spans="2:58" x14ac:dyDescent="0.25">
      <c r="B433" s="2"/>
      <c r="C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row>
    <row r="434" spans="2:58" x14ac:dyDescent="0.25">
      <c r="B434" s="2"/>
      <c r="C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row>
    <row r="435" spans="2:58" x14ac:dyDescent="0.25">
      <c r="B435" s="2"/>
      <c r="C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row>
    <row r="436" spans="2:58" x14ac:dyDescent="0.25">
      <c r="B436" s="2"/>
      <c r="C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row>
    <row r="437" spans="2:58" x14ac:dyDescent="0.25">
      <c r="B437" s="2"/>
      <c r="C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row>
    <row r="438" spans="2:58" x14ac:dyDescent="0.25">
      <c r="B438" s="2"/>
      <c r="C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row>
    <row r="439" spans="2:58" x14ac:dyDescent="0.25">
      <c r="B439" s="2"/>
      <c r="C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row>
    <row r="440" spans="2:58" x14ac:dyDescent="0.25">
      <c r="B440" s="2"/>
      <c r="C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row>
    <row r="441" spans="2:58" x14ac:dyDescent="0.25">
      <c r="B441" s="2"/>
      <c r="C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row>
    <row r="442" spans="2:58" x14ac:dyDescent="0.25">
      <c r="B442" s="2"/>
      <c r="C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row>
    <row r="443" spans="2:58" x14ac:dyDescent="0.25">
      <c r="B443" s="2"/>
      <c r="C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row>
    <row r="444" spans="2:58" x14ac:dyDescent="0.25">
      <c r="B444" s="2"/>
      <c r="C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row>
    <row r="445" spans="2:58" x14ac:dyDescent="0.25">
      <c r="B445" s="2"/>
      <c r="C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row>
    <row r="446" spans="2:58" x14ac:dyDescent="0.25">
      <c r="B446" s="2"/>
      <c r="C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row>
    <row r="447" spans="2:58" x14ac:dyDescent="0.25">
      <c r="B447" s="2"/>
      <c r="C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row>
    <row r="448" spans="2:58" x14ac:dyDescent="0.25">
      <c r="B448" s="2"/>
      <c r="C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row>
    <row r="449" spans="2:58" x14ac:dyDescent="0.25">
      <c r="B449" s="2"/>
      <c r="C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row>
    <row r="450" spans="2:58" x14ac:dyDescent="0.25">
      <c r="B450" s="2"/>
      <c r="C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row>
    <row r="451" spans="2:58" x14ac:dyDescent="0.25">
      <c r="B451" s="2"/>
      <c r="C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row>
    <row r="452" spans="2:58" x14ac:dyDescent="0.25">
      <c r="B452" s="2"/>
      <c r="C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row>
    <row r="453" spans="2:58" x14ac:dyDescent="0.25">
      <c r="B453" s="2"/>
      <c r="C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row>
    <row r="454" spans="2:58" x14ac:dyDescent="0.25">
      <c r="B454" s="2"/>
      <c r="C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row>
    <row r="455" spans="2:58" x14ac:dyDescent="0.25">
      <c r="B455" s="2"/>
      <c r="C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row>
    <row r="456" spans="2:58" x14ac:dyDescent="0.25">
      <c r="B456" s="2"/>
      <c r="C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row>
    <row r="457" spans="2:58" x14ac:dyDescent="0.25">
      <c r="B457" s="2"/>
      <c r="C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row>
    <row r="458" spans="2:58" x14ac:dyDescent="0.25">
      <c r="B458" s="2"/>
      <c r="C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row>
    <row r="459" spans="2:58" x14ac:dyDescent="0.25">
      <c r="B459" s="2"/>
      <c r="C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row>
    <row r="460" spans="2:58" x14ac:dyDescent="0.25">
      <c r="B460" s="2"/>
      <c r="C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row>
    <row r="461" spans="2:58" x14ac:dyDescent="0.25">
      <c r="B461" s="2"/>
      <c r="C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row>
    <row r="462" spans="2:58" x14ac:dyDescent="0.25">
      <c r="B462" s="2"/>
      <c r="C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row>
    <row r="463" spans="2:58" x14ac:dyDescent="0.25">
      <c r="B463" s="2"/>
      <c r="C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row>
    <row r="464" spans="2:58" x14ac:dyDescent="0.25">
      <c r="B464" s="2"/>
      <c r="C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row>
    <row r="465" spans="2:58" x14ac:dyDescent="0.25">
      <c r="B465" s="2"/>
      <c r="C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row>
    <row r="466" spans="2:58" x14ac:dyDescent="0.25">
      <c r="B466" s="2"/>
      <c r="C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row>
    <row r="467" spans="2:58" x14ac:dyDescent="0.25">
      <c r="B467" s="2"/>
      <c r="C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row>
    <row r="468" spans="2:58" x14ac:dyDescent="0.25">
      <c r="B468" s="2"/>
      <c r="C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row>
    <row r="469" spans="2:58" x14ac:dyDescent="0.25">
      <c r="B469" s="2"/>
      <c r="C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row>
    <row r="470" spans="2:58" x14ac:dyDescent="0.25">
      <c r="B470" s="2"/>
      <c r="C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row>
    <row r="471" spans="2:58" x14ac:dyDescent="0.25">
      <c r="B471" s="2"/>
      <c r="C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row>
    <row r="472" spans="2:58" x14ac:dyDescent="0.25">
      <c r="B472" s="2"/>
      <c r="C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row>
    <row r="473" spans="2:58" x14ac:dyDescent="0.25">
      <c r="B473" s="2"/>
      <c r="C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row>
    <row r="474" spans="2:58" x14ac:dyDescent="0.25">
      <c r="B474" s="2"/>
      <c r="C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row>
    <row r="475" spans="2:58" x14ac:dyDescent="0.25">
      <c r="B475" s="2"/>
      <c r="C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row>
    <row r="476" spans="2:58" x14ac:dyDescent="0.25">
      <c r="B476" s="2"/>
      <c r="C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row>
    <row r="477" spans="2:58" x14ac:dyDescent="0.25">
      <c r="B477" s="2"/>
      <c r="C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row>
    <row r="478" spans="2:58" x14ac:dyDescent="0.25">
      <c r="B478" s="2"/>
      <c r="C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row>
    <row r="479" spans="2:58" x14ac:dyDescent="0.25">
      <c r="B479" s="2"/>
      <c r="C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row>
    <row r="480" spans="2:58" x14ac:dyDescent="0.25">
      <c r="B480" s="2"/>
      <c r="C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row>
    <row r="481" spans="2:58" x14ac:dyDescent="0.25">
      <c r="B481" s="2"/>
      <c r="C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row>
    <row r="482" spans="2:58" x14ac:dyDescent="0.25">
      <c r="B482" s="2"/>
      <c r="C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row>
    <row r="483" spans="2:58" x14ac:dyDescent="0.25">
      <c r="B483" s="2"/>
      <c r="C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row>
    <row r="484" spans="2:58" x14ac:dyDescent="0.25">
      <c r="B484" s="2"/>
      <c r="C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row>
    <row r="485" spans="2:58" x14ac:dyDescent="0.25">
      <c r="B485" s="2"/>
      <c r="C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row>
    <row r="486" spans="2:58" x14ac:dyDescent="0.25">
      <c r="B486" s="2"/>
      <c r="C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row>
    <row r="487" spans="2:58" x14ac:dyDescent="0.25">
      <c r="B487" s="2"/>
      <c r="C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row>
    <row r="488" spans="2:58" x14ac:dyDescent="0.25">
      <c r="B488" s="2"/>
      <c r="C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row>
    <row r="489" spans="2:58" x14ac:dyDescent="0.25">
      <c r="B489" s="2"/>
      <c r="C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row>
    <row r="490" spans="2:58" x14ac:dyDescent="0.25">
      <c r="B490" s="2"/>
      <c r="C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row>
    <row r="491" spans="2:58" x14ac:dyDescent="0.25">
      <c r="B491" s="2"/>
      <c r="C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row>
    <row r="492" spans="2:58" x14ac:dyDescent="0.25">
      <c r="B492" s="2"/>
      <c r="C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row>
    <row r="493" spans="2:58" x14ac:dyDescent="0.25">
      <c r="B493" s="2"/>
      <c r="C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row>
    <row r="494" spans="2:58" x14ac:dyDescent="0.25">
      <c r="B494" s="2"/>
      <c r="C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row>
    <row r="495" spans="2:58" x14ac:dyDescent="0.25">
      <c r="B495" s="2"/>
      <c r="C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row>
    <row r="496" spans="2:58" x14ac:dyDescent="0.25">
      <c r="B496" s="2"/>
      <c r="C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row>
    <row r="497" spans="2:58" x14ac:dyDescent="0.25">
      <c r="B497" s="2"/>
      <c r="C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row>
    <row r="498" spans="2:58" x14ac:dyDescent="0.25">
      <c r="B498" s="2"/>
      <c r="C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row>
    <row r="499" spans="2:58" x14ac:dyDescent="0.25">
      <c r="B499" s="2"/>
      <c r="C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row>
    <row r="500" spans="2:58" x14ac:dyDescent="0.25">
      <c r="B500" s="2"/>
      <c r="C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row>
    <row r="501" spans="2:58" x14ac:dyDescent="0.25">
      <c r="B501" s="2"/>
      <c r="C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row>
    <row r="502" spans="2:58" x14ac:dyDescent="0.25">
      <c r="B502" s="2"/>
      <c r="C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row>
    <row r="503" spans="2:58" x14ac:dyDescent="0.25">
      <c r="B503" s="2"/>
      <c r="C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row>
    <row r="504" spans="2:58" x14ac:dyDescent="0.25">
      <c r="B504" s="2"/>
      <c r="C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row>
    <row r="505" spans="2:58" x14ac:dyDescent="0.25">
      <c r="B505" s="2"/>
      <c r="C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row>
    <row r="506" spans="2:58" x14ac:dyDescent="0.25">
      <c r="B506" s="2"/>
      <c r="C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row>
    <row r="507" spans="2:58" x14ac:dyDescent="0.25">
      <c r="B507" s="2"/>
      <c r="C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row>
    <row r="508" spans="2:58" x14ac:dyDescent="0.25">
      <c r="B508" s="2"/>
      <c r="C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row>
    <row r="509" spans="2:58" x14ac:dyDescent="0.25">
      <c r="B509" s="2"/>
      <c r="C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row>
    <row r="510" spans="2:58" x14ac:dyDescent="0.25">
      <c r="B510" s="2"/>
      <c r="C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row>
    <row r="511" spans="2:58" x14ac:dyDescent="0.25">
      <c r="B511" s="2"/>
      <c r="C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row>
    <row r="512" spans="2:58" x14ac:dyDescent="0.25">
      <c r="B512" s="2"/>
      <c r="C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row>
    <row r="513" spans="2:58" x14ac:dyDescent="0.25">
      <c r="B513" s="2"/>
      <c r="C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row>
    <row r="514" spans="2:58" x14ac:dyDescent="0.25">
      <c r="B514" s="2"/>
      <c r="C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row>
    <row r="515" spans="2:58" x14ac:dyDescent="0.25">
      <c r="B515" s="2"/>
      <c r="C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row>
    <row r="516" spans="2:58" x14ac:dyDescent="0.25">
      <c r="B516" s="2"/>
      <c r="C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row>
    <row r="517" spans="2:58" x14ac:dyDescent="0.25">
      <c r="B517" s="2"/>
      <c r="C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row>
    <row r="518" spans="2:58" x14ac:dyDescent="0.25">
      <c r="B518" s="2"/>
      <c r="C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row>
    <row r="519" spans="2:58" x14ac:dyDescent="0.25">
      <c r="B519" s="2"/>
      <c r="C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row>
    <row r="520" spans="2:58" x14ac:dyDescent="0.25">
      <c r="B520" s="2"/>
      <c r="C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row>
    <row r="521" spans="2:58" x14ac:dyDescent="0.25">
      <c r="B521" s="2"/>
      <c r="C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row>
    <row r="522" spans="2:58" x14ac:dyDescent="0.25">
      <c r="B522" s="2"/>
      <c r="C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row>
    <row r="523" spans="2:58" x14ac:dyDescent="0.25">
      <c r="B523" s="2"/>
      <c r="C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row>
    <row r="524" spans="2:58" x14ac:dyDescent="0.25">
      <c r="B524" s="2"/>
      <c r="C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row>
    <row r="525" spans="2:58" x14ac:dyDescent="0.25">
      <c r="B525" s="2"/>
      <c r="C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row>
    <row r="526" spans="2:58" x14ac:dyDescent="0.25">
      <c r="B526" s="2"/>
      <c r="C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row>
    <row r="527" spans="2:58" x14ac:dyDescent="0.25">
      <c r="B527" s="2"/>
      <c r="C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row>
    <row r="528" spans="2:58" x14ac:dyDescent="0.25">
      <c r="B528" s="2"/>
      <c r="C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row>
    <row r="529" spans="2:58" x14ac:dyDescent="0.25">
      <c r="B529" s="2"/>
      <c r="C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row>
    <row r="530" spans="2:58" x14ac:dyDescent="0.25">
      <c r="B530" s="2"/>
      <c r="C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row>
    <row r="531" spans="2:58" x14ac:dyDescent="0.25">
      <c r="B531" s="2"/>
      <c r="C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row>
    <row r="532" spans="2:58" x14ac:dyDescent="0.25">
      <c r="B532" s="2"/>
      <c r="C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row>
    <row r="533" spans="2:58" x14ac:dyDescent="0.25">
      <c r="B533" s="2"/>
      <c r="C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row>
    <row r="534" spans="2:58" x14ac:dyDescent="0.25">
      <c r="B534" s="2"/>
      <c r="C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row>
    <row r="535" spans="2:58" x14ac:dyDescent="0.25">
      <c r="B535" s="2"/>
      <c r="C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row>
    <row r="536" spans="2:58" x14ac:dyDescent="0.25">
      <c r="B536" s="2"/>
      <c r="C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row>
    <row r="537" spans="2:58" x14ac:dyDescent="0.25">
      <c r="B537" s="2"/>
      <c r="C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row>
    <row r="538" spans="2:58" x14ac:dyDescent="0.25">
      <c r="B538" s="2"/>
      <c r="C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row>
    <row r="539" spans="2:58" x14ac:dyDescent="0.25">
      <c r="B539" s="2"/>
      <c r="C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row>
    <row r="540" spans="2:58" x14ac:dyDescent="0.25">
      <c r="B540" s="2"/>
      <c r="C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row>
    <row r="541" spans="2:58" x14ac:dyDescent="0.25">
      <c r="B541" s="2"/>
      <c r="C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row>
    <row r="542" spans="2:58" x14ac:dyDescent="0.25">
      <c r="B542" s="2"/>
      <c r="C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row>
    <row r="543" spans="2:58" x14ac:dyDescent="0.25">
      <c r="B543" s="2"/>
      <c r="C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row>
    <row r="544" spans="2:58" x14ac:dyDescent="0.25">
      <c r="B544" s="2"/>
      <c r="C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row>
    <row r="545" spans="2:58" x14ac:dyDescent="0.25">
      <c r="B545" s="2"/>
      <c r="C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row>
    <row r="546" spans="2:58" x14ac:dyDescent="0.25">
      <c r="B546" s="2"/>
      <c r="C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row>
    <row r="547" spans="2:58" x14ac:dyDescent="0.25">
      <c r="B547" s="2"/>
      <c r="C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row>
    <row r="548" spans="2:58" x14ac:dyDescent="0.25">
      <c r="B548" s="2"/>
      <c r="C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row>
    <row r="549" spans="2:58" x14ac:dyDescent="0.25">
      <c r="B549" s="2"/>
      <c r="C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row>
    <row r="550" spans="2:58" x14ac:dyDescent="0.25">
      <c r="B550" s="2"/>
      <c r="C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row>
    <row r="551" spans="2:58" x14ac:dyDescent="0.25">
      <c r="B551" s="2"/>
      <c r="C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row>
    <row r="552" spans="2:58" x14ac:dyDescent="0.25">
      <c r="B552" s="2"/>
      <c r="C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row>
    <row r="553" spans="2:58" x14ac:dyDescent="0.25">
      <c r="B553" s="2"/>
      <c r="C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row>
    <row r="554" spans="2:58" x14ac:dyDescent="0.25">
      <c r="B554" s="2"/>
      <c r="C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row>
    <row r="555" spans="2:58" x14ac:dyDescent="0.25">
      <c r="B555" s="2"/>
      <c r="C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row>
    <row r="556" spans="2:58" x14ac:dyDescent="0.25">
      <c r="B556" s="2"/>
      <c r="C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row>
    <row r="557" spans="2:58" x14ac:dyDescent="0.25">
      <c r="B557" s="2"/>
      <c r="C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row>
    <row r="558" spans="2:58" x14ac:dyDescent="0.25">
      <c r="B558" s="2"/>
      <c r="C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row>
    <row r="559" spans="2:58" x14ac:dyDescent="0.25">
      <c r="B559" s="2"/>
      <c r="C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row>
    <row r="560" spans="2:58" x14ac:dyDescent="0.25">
      <c r="B560" s="2"/>
      <c r="C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row>
    <row r="561" spans="2:58" x14ac:dyDescent="0.25">
      <c r="B561" s="2"/>
      <c r="C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row>
    <row r="562" spans="2:58" x14ac:dyDescent="0.25">
      <c r="B562" s="2"/>
      <c r="C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row>
    <row r="563" spans="2:58" x14ac:dyDescent="0.25">
      <c r="B563" s="2"/>
      <c r="C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row>
    <row r="564" spans="2:58" x14ac:dyDescent="0.25">
      <c r="B564" s="2"/>
      <c r="C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row>
    <row r="565" spans="2:58" x14ac:dyDescent="0.25">
      <c r="B565" s="2"/>
      <c r="C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row>
    <row r="566" spans="2:58" x14ac:dyDescent="0.25">
      <c r="B566" s="2"/>
      <c r="C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row>
    <row r="567" spans="2:58" x14ac:dyDescent="0.25">
      <c r="B567" s="2"/>
      <c r="C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row>
    <row r="568" spans="2:58" x14ac:dyDescent="0.25">
      <c r="B568" s="2"/>
      <c r="C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row>
    <row r="569" spans="2:58" x14ac:dyDescent="0.25">
      <c r="B569" s="2"/>
      <c r="C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row>
    <row r="570" spans="2:58" x14ac:dyDescent="0.25">
      <c r="B570" s="2"/>
      <c r="C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row>
    <row r="571" spans="2:58" x14ac:dyDescent="0.25">
      <c r="B571" s="2"/>
      <c r="C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row>
    <row r="572" spans="2:58" x14ac:dyDescent="0.25">
      <c r="B572" s="2"/>
      <c r="C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row>
    <row r="573" spans="2:58" x14ac:dyDescent="0.25">
      <c r="B573" s="2"/>
      <c r="C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row>
    <row r="574" spans="2:58" x14ac:dyDescent="0.25">
      <c r="B574" s="2"/>
      <c r="C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row>
    <row r="575" spans="2:58" x14ac:dyDescent="0.25">
      <c r="B575" s="2"/>
      <c r="C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row>
    <row r="576" spans="2:58" x14ac:dyDescent="0.25">
      <c r="B576" s="2"/>
      <c r="C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row>
    <row r="577" spans="2:58" x14ac:dyDescent="0.25">
      <c r="B577" s="2"/>
      <c r="C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row>
    <row r="578" spans="2:58" x14ac:dyDescent="0.25">
      <c r="B578" s="2"/>
      <c r="C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row>
    <row r="579" spans="2:58" x14ac:dyDescent="0.25">
      <c r="B579" s="2"/>
      <c r="C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row>
    <row r="580" spans="2:58" x14ac:dyDescent="0.25">
      <c r="B580" s="2"/>
      <c r="C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row>
    <row r="581" spans="2:58" x14ac:dyDescent="0.25">
      <c r="B581" s="2"/>
      <c r="C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row>
    <row r="582" spans="2:58" x14ac:dyDescent="0.25">
      <c r="B582" s="2"/>
      <c r="C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row>
    <row r="583" spans="2:58" x14ac:dyDescent="0.25">
      <c r="B583" s="2"/>
      <c r="C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row>
    <row r="584" spans="2:58" x14ac:dyDescent="0.25">
      <c r="B584" s="2"/>
      <c r="C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row>
    <row r="585" spans="2:58" x14ac:dyDescent="0.25">
      <c r="B585" s="2"/>
      <c r="C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row>
    <row r="586" spans="2:58" x14ac:dyDescent="0.25">
      <c r="B586" s="2"/>
      <c r="C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row>
    <row r="587" spans="2:58" x14ac:dyDescent="0.25">
      <c r="B587" s="2"/>
      <c r="C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row>
    <row r="588" spans="2:58" x14ac:dyDescent="0.25">
      <c r="B588" s="2"/>
      <c r="C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row>
    <row r="589" spans="2:58" x14ac:dyDescent="0.25">
      <c r="B589" s="2"/>
      <c r="C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row>
    <row r="590" spans="2:58" x14ac:dyDescent="0.25">
      <c r="B590" s="2"/>
      <c r="C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row>
    <row r="591" spans="2:58" x14ac:dyDescent="0.25">
      <c r="B591" s="2"/>
      <c r="C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row>
    <row r="592" spans="2:58" x14ac:dyDescent="0.25">
      <c r="B592" s="2"/>
      <c r="C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row>
    <row r="593" spans="2:58" x14ac:dyDescent="0.25">
      <c r="B593" s="2"/>
      <c r="C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row>
    <row r="594" spans="2:58" x14ac:dyDescent="0.25">
      <c r="B594" s="2"/>
      <c r="C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row>
    <row r="595" spans="2:58" x14ac:dyDescent="0.25">
      <c r="B595" s="2"/>
      <c r="C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row>
    <row r="596" spans="2:58" x14ac:dyDescent="0.25">
      <c r="B596" s="2"/>
      <c r="C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row>
    <row r="597" spans="2:58" x14ac:dyDescent="0.25">
      <c r="B597" s="2"/>
      <c r="C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row>
    <row r="598" spans="2:58" x14ac:dyDescent="0.25">
      <c r="B598" s="2"/>
      <c r="C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row>
    <row r="599" spans="2:58" x14ac:dyDescent="0.25">
      <c r="B599" s="2"/>
      <c r="C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row>
    <row r="600" spans="2:58" x14ac:dyDescent="0.25">
      <c r="B600" s="2"/>
      <c r="C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row>
    <row r="601" spans="2:58" x14ac:dyDescent="0.25">
      <c r="B601" s="2"/>
      <c r="C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row>
    <row r="602" spans="2:58" x14ac:dyDescent="0.25">
      <c r="B602" s="2"/>
      <c r="C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row>
    <row r="603" spans="2:58" x14ac:dyDescent="0.25">
      <c r="B603" s="2"/>
      <c r="C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row>
    <row r="604" spans="2:58" x14ac:dyDescent="0.25">
      <c r="B604" s="2"/>
      <c r="C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row>
    <row r="605" spans="2:58" x14ac:dyDescent="0.25">
      <c r="B605" s="2"/>
      <c r="C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row>
    <row r="606" spans="2:58" x14ac:dyDescent="0.25">
      <c r="B606" s="2"/>
      <c r="C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row>
    <row r="607" spans="2:58" x14ac:dyDescent="0.25">
      <c r="B607" s="2"/>
      <c r="C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row>
    <row r="608" spans="2:58" x14ac:dyDescent="0.25">
      <c r="B608" s="2"/>
      <c r="C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row>
    <row r="609" spans="2:58" x14ac:dyDescent="0.25">
      <c r="B609" s="2"/>
      <c r="C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row>
    <row r="610" spans="2:58" x14ac:dyDescent="0.25">
      <c r="B610" s="2"/>
      <c r="C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row>
    <row r="611" spans="2:58" x14ac:dyDescent="0.25">
      <c r="B611" s="2"/>
      <c r="C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row>
    <row r="612" spans="2:58" x14ac:dyDescent="0.25">
      <c r="B612" s="2"/>
      <c r="C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row>
    <row r="613" spans="2:58" x14ac:dyDescent="0.25">
      <c r="B613" s="2"/>
      <c r="C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row>
    <row r="614" spans="2:58" x14ac:dyDescent="0.25">
      <c r="B614" s="2"/>
      <c r="C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row>
    <row r="615" spans="2:58" x14ac:dyDescent="0.25">
      <c r="B615" s="2"/>
      <c r="C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row>
    <row r="616" spans="2:58" x14ac:dyDescent="0.25">
      <c r="B616" s="2"/>
      <c r="C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row>
    <row r="617" spans="2:58" x14ac:dyDescent="0.25">
      <c r="B617" s="2"/>
      <c r="C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row>
    <row r="618" spans="2:58" x14ac:dyDescent="0.25">
      <c r="B618" s="2"/>
      <c r="C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row>
    <row r="619" spans="2:58" x14ac:dyDescent="0.25">
      <c r="B619" s="2"/>
      <c r="C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row>
    <row r="620" spans="2:58" x14ac:dyDescent="0.25">
      <c r="B620" s="2"/>
      <c r="C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row>
    <row r="621" spans="2:58" x14ac:dyDescent="0.25">
      <c r="B621" s="2"/>
      <c r="C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row>
    <row r="622" spans="2:58" x14ac:dyDescent="0.25">
      <c r="B622" s="2"/>
      <c r="C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row>
    <row r="623" spans="2:58" x14ac:dyDescent="0.25">
      <c r="B623" s="2"/>
      <c r="C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row>
    <row r="624" spans="2:58" x14ac:dyDescent="0.25">
      <c r="B624" s="2"/>
      <c r="C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row>
    <row r="625" spans="2:58" x14ac:dyDescent="0.25">
      <c r="B625" s="2"/>
      <c r="C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row>
    <row r="626" spans="2:58" x14ac:dyDescent="0.25">
      <c r="B626" s="2"/>
      <c r="C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row>
    <row r="627" spans="2:58" x14ac:dyDescent="0.25">
      <c r="B627" s="2"/>
      <c r="C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row>
    <row r="628" spans="2:58" x14ac:dyDescent="0.25">
      <c r="B628" s="2"/>
      <c r="C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row>
    <row r="629" spans="2:58" x14ac:dyDescent="0.25">
      <c r="B629" s="2"/>
      <c r="C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row>
    <row r="630" spans="2:58" x14ac:dyDescent="0.25">
      <c r="B630" s="2"/>
      <c r="C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row>
    <row r="631" spans="2:58" x14ac:dyDescent="0.25">
      <c r="B631" s="2"/>
      <c r="C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row>
    <row r="632" spans="2:58" x14ac:dyDescent="0.25">
      <c r="B632" s="2"/>
      <c r="C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row>
    <row r="633" spans="2:58" x14ac:dyDescent="0.25">
      <c r="B633" s="2"/>
      <c r="C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row>
    <row r="634" spans="2:58" x14ac:dyDescent="0.25">
      <c r="B634" s="2"/>
      <c r="C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row>
    <row r="635" spans="2:58" x14ac:dyDescent="0.25">
      <c r="B635" s="2"/>
      <c r="C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row>
    <row r="636" spans="2:58" x14ac:dyDescent="0.25">
      <c r="B636" s="2"/>
      <c r="C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row>
    <row r="637" spans="2:58" x14ac:dyDescent="0.25">
      <c r="B637" s="2"/>
      <c r="C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row>
    <row r="638" spans="2:58" x14ac:dyDescent="0.25">
      <c r="B638" s="2"/>
      <c r="C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row>
    <row r="639" spans="2:58" x14ac:dyDescent="0.25">
      <c r="B639" s="2"/>
      <c r="C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row>
    <row r="640" spans="2:58" x14ac:dyDescent="0.25">
      <c r="B640" s="2"/>
      <c r="C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row>
    <row r="641" spans="2:58" x14ac:dyDescent="0.25">
      <c r="B641" s="2"/>
      <c r="C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row>
    <row r="642" spans="2:58" x14ac:dyDescent="0.25">
      <c r="B642" s="2"/>
      <c r="C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row>
    <row r="643" spans="2:58" x14ac:dyDescent="0.25">
      <c r="B643" s="2"/>
      <c r="C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row>
    <row r="644" spans="2:58" x14ac:dyDescent="0.25">
      <c r="B644" s="2"/>
      <c r="C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row>
    <row r="645" spans="2:58" x14ac:dyDescent="0.25">
      <c r="B645" s="2"/>
      <c r="C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row>
    <row r="646" spans="2:58" x14ac:dyDescent="0.25">
      <c r="B646" s="2"/>
      <c r="C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row>
    <row r="647" spans="2:58" x14ac:dyDescent="0.25">
      <c r="B647" s="2"/>
      <c r="C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row>
    <row r="648" spans="2:58" x14ac:dyDescent="0.25">
      <c r="B648" s="2"/>
      <c r="C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row>
    <row r="649" spans="2:58" x14ac:dyDescent="0.25">
      <c r="B649" s="2"/>
      <c r="C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row>
    <row r="650" spans="2:58" x14ac:dyDescent="0.25">
      <c r="B650" s="2"/>
      <c r="C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row>
    <row r="651" spans="2:58" x14ac:dyDescent="0.25">
      <c r="B651" s="2"/>
      <c r="C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row>
    <row r="652" spans="2:58" x14ac:dyDescent="0.25">
      <c r="B652" s="2"/>
      <c r="C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row>
    <row r="653" spans="2:58" x14ac:dyDescent="0.25">
      <c r="B653" s="2"/>
      <c r="C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row>
    <row r="654" spans="2:58" x14ac:dyDescent="0.25">
      <c r="B654" s="2"/>
      <c r="C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row>
    <row r="655" spans="2:58" x14ac:dyDescent="0.25">
      <c r="B655" s="2"/>
      <c r="C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row>
    <row r="656" spans="2:58" x14ac:dyDescent="0.25">
      <c r="B656" s="2"/>
      <c r="C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row>
    <row r="657" spans="2:58" x14ac:dyDescent="0.25">
      <c r="B657" s="2"/>
      <c r="C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row>
    <row r="658" spans="2:58" x14ac:dyDescent="0.25">
      <c r="B658" s="2"/>
      <c r="C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row>
    <row r="659" spans="2:58" x14ac:dyDescent="0.25">
      <c r="B659" s="2"/>
      <c r="C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row>
    <row r="660" spans="2:58" x14ac:dyDescent="0.25">
      <c r="B660" s="2"/>
      <c r="C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row>
    <row r="661" spans="2:58" x14ac:dyDescent="0.25">
      <c r="B661" s="2"/>
      <c r="C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row>
    <row r="662" spans="2:58" x14ac:dyDescent="0.25">
      <c r="B662" s="2"/>
      <c r="C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row>
    <row r="663" spans="2:58" x14ac:dyDescent="0.25">
      <c r="B663" s="2"/>
      <c r="C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row>
    <row r="664" spans="2:58" x14ac:dyDescent="0.25">
      <c r="B664" s="2"/>
      <c r="C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row>
    <row r="665" spans="2:58" x14ac:dyDescent="0.25">
      <c r="B665" s="2"/>
      <c r="C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row>
    <row r="666" spans="2:58" x14ac:dyDescent="0.25">
      <c r="B666" s="2"/>
      <c r="C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row>
    <row r="667" spans="2:58" x14ac:dyDescent="0.25">
      <c r="B667" s="2"/>
      <c r="C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row>
    <row r="668" spans="2:58" x14ac:dyDescent="0.25">
      <c r="B668" s="2"/>
      <c r="C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row>
    <row r="669" spans="2:58" x14ac:dyDescent="0.25">
      <c r="B669" s="2"/>
      <c r="C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row>
    <row r="670" spans="2:58" x14ac:dyDescent="0.25">
      <c r="B670" s="2"/>
      <c r="C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row>
    <row r="671" spans="2:58" x14ac:dyDescent="0.25">
      <c r="B671" s="2"/>
      <c r="C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row>
    <row r="672" spans="2:58" x14ac:dyDescent="0.25">
      <c r="B672" s="2"/>
      <c r="C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row>
    <row r="673" spans="2:58" x14ac:dyDescent="0.25">
      <c r="B673" s="2"/>
      <c r="C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row>
    <row r="674" spans="2:58" x14ac:dyDescent="0.25">
      <c r="B674" s="2"/>
      <c r="C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row>
    <row r="675" spans="2:58" x14ac:dyDescent="0.25">
      <c r="B675" s="2"/>
      <c r="C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row>
    <row r="676" spans="2:58" x14ac:dyDescent="0.25">
      <c r="B676" s="2"/>
      <c r="C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row>
    <row r="677" spans="2:58" x14ac:dyDescent="0.25">
      <c r="B677" s="2"/>
      <c r="C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row>
    <row r="678" spans="2:58" x14ac:dyDescent="0.25">
      <c r="B678" s="2"/>
      <c r="C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row>
    <row r="679" spans="2:58" x14ac:dyDescent="0.25">
      <c r="B679" s="2"/>
      <c r="C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row>
    <row r="680" spans="2:58" x14ac:dyDescent="0.25">
      <c r="B680" s="2"/>
      <c r="C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row>
    <row r="681" spans="2:58" x14ac:dyDescent="0.25">
      <c r="B681" s="2"/>
      <c r="C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row>
    <row r="682" spans="2:58" x14ac:dyDescent="0.25">
      <c r="B682" s="2"/>
      <c r="C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row>
    <row r="683" spans="2:58" x14ac:dyDescent="0.25">
      <c r="B683" s="2"/>
      <c r="C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row>
    <row r="684" spans="2:58" x14ac:dyDescent="0.25">
      <c r="B684" s="2"/>
      <c r="C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row>
    <row r="685" spans="2:58" x14ac:dyDescent="0.25">
      <c r="B685" s="2"/>
      <c r="C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row>
    <row r="686" spans="2:58" x14ac:dyDescent="0.25">
      <c r="B686" s="2"/>
      <c r="C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row>
    <row r="687" spans="2:58" x14ac:dyDescent="0.25">
      <c r="B687" s="2"/>
      <c r="C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row>
    <row r="688" spans="2:58" x14ac:dyDescent="0.25">
      <c r="B688" s="2"/>
      <c r="C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row>
    <row r="689" spans="2:58" x14ac:dyDescent="0.25">
      <c r="B689" s="2"/>
      <c r="C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row>
    <row r="690" spans="2:58" x14ac:dyDescent="0.25">
      <c r="B690" s="2"/>
      <c r="C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row>
    <row r="691" spans="2:58" x14ac:dyDescent="0.25">
      <c r="B691" s="2"/>
      <c r="C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row>
    <row r="692" spans="2:58" x14ac:dyDescent="0.25">
      <c r="B692" s="2"/>
      <c r="C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row>
    <row r="693" spans="2:58" x14ac:dyDescent="0.25">
      <c r="B693" s="2"/>
      <c r="C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row>
    <row r="694" spans="2:58" x14ac:dyDescent="0.25">
      <c r="B694" s="2"/>
      <c r="C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row>
    <row r="695" spans="2:58" x14ac:dyDescent="0.25">
      <c r="B695" s="2"/>
      <c r="C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row>
    <row r="696" spans="2:58" x14ac:dyDescent="0.25">
      <c r="B696" s="2"/>
      <c r="C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row>
    <row r="697" spans="2:58" x14ac:dyDescent="0.25">
      <c r="B697" s="2"/>
      <c r="C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row>
    <row r="698" spans="2:58" x14ac:dyDescent="0.25">
      <c r="B698" s="2"/>
      <c r="C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row>
    <row r="699" spans="2:58" x14ac:dyDescent="0.25">
      <c r="B699" s="2"/>
      <c r="C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row>
    <row r="700" spans="2:58" x14ac:dyDescent="0.25">
      <c r="B700" s="2"/>
      <c r="C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row>
    <row r="701" spans="2:58" x14ac:dyDescent="0.25">
      <c r="B701" s="2"/>
      <c r="C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row>
    <row r="702" spans="2:58" x14ac:dyDescent="0.25">
      <c r="B702" s="2"/>
      <c r="C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row>
    <row r="703" spans="2:58" x14ac:dyDescent="0.25">
      <c r="B703" s="2"/>
      <c r="C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row>
    <row r="704" spans="2:58" x14ac:dyDescent="0.25">
      <c r="B704" s="2"/>
      <c r="C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row>
    <row r="705" spans="2:58" x14ac:dyDescent="0.25">
      <c r="B705" s="2"/>
      <c r="C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row>
    <row r="706" spans="2:58" x14ac:dyDescent="0.25">
      <c r="B706" s="2"/>
      <c r="C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row>
    <row r="707" spans="2:58" x14ac:dyDescent="0.25">
      <c r="B707" s="2"/>
      <c r="C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row>
    <row r="708" spans="2:58" x14ac:dyDescent="0.25">
      <c r="B708" s="2"/>
      <c r="C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row>
    <row r="709" spans="2:58" x14ac:dyDescent="0.25">
      <c r="B709" s="2"/>
      <c r="C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row>
    <row r="710" spans="2:58" x14ac:dyDescent="0.25">
      <c r="B710" s="2"/>
      <c r="C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row>
    <row r="711" spans="2:58" x14ac:dyDescent="0.25">
      <c r="B711" s="2"/>
      <c r="C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row>
    <row r="712" spans="2:58" x14ac:dyDescent="0.25">
      <c r="B712" s="2"/>
      <c r="C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row>
    <row r="713" spans="2:58" x14ac:dyDescent="0.25">
      <c r="B713" s="2"/>
      <c r="C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row>
    <row r="714" spans="2:58" x14ac:dyDescent="0.25">
      <c r="B714" s="2"/>
      <c r="C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row>
    <row r="715" spans="2:58" x14ac:dyDescent="0.25">
      <c r="B715" s="2"/>
      <c r="C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row>
    <row r="716" spans="2:58" x14ac:dyDescent="0.25">
      <c r="B716" s="2"/>
      <c r="C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row>
    <row r="717" spans="2:58" x14ac:dyDescent="0.25">
      <c r="B717" s="2"/>
      <c r="C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row>
    <row r="718" spans="2:58" x14ac:dyDescent="0.25">
      <c r="B718" s="2"/>
      <c r="C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row>
    <row r="719" spans="2:58" x14ac:dyDescent="0.25">
      <c r="B719" s="2"/>
      <c r="C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row>
    <row r="720" spans="2:58" x14ac:dyDescent="0.25">
      <c r="B720" s="2"/>
      <c r="C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row>
    <row r="721" spans="2:58" x14ac:dyDescent="0.25">
      <c r="B721" s="2"/>
      <c r="C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row>
    <row r="722" spans="2:58" x14ac:dyDescent="0.25">
      <c r="B722" s="2"/>
      <c r="C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row>
    <row r="723" spans="2:58" x14ac:dyDescent="0.25">
      <c r="B723" s="2"/>
      <c r="C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row>
    <row r="724" spans="2:58" x14ac:dyDescent="0.25">
      <c r="B724" s="2"/>
      <c r="C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row>
    <row r="725" spans="2:58" x14ac:dyDescent="0.25">
      <c r="B725" s="2"/>
      <c r="C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row>
    <row r="726" spans="2:58" x14ac:dyDescent="0.25">
      <c r="B726" s="2"/>
      <c r="C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row>
    <row r="727" spans="2:58" x14ac:dyDescent="0.25">
      <c r="B727" s="2"/>
      <c r="C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row>
    <row r="728" spans="2:58" x14ac:dyDescent="0.25">
      <c r="B728" s="2"/>
      <c r="C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row>
    <row r="729" spans="2:58" x14ac:dyDescent="0.25">
      <c r="B729" s="2"/>
      <c r="C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row>
    <row r="730" spans="2:58" x14ac:dyDescent="0.25">
      <c r="B730" s="2"/>
      <c r="C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row>
    <row r="731" spans="2:58" x14ac:dyDescent="0.25">
      <c r="B731" s="2"/>
      <c r="C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row>
    <row r="732" spans="2:58" x14ac:dyDescent="0.25">
      <c r="B732" s="2"/>
      <c r="C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row>
    <row r="733" spans="2:58" x14ac:dyDescent="0.25">
      <c r="B733" s="2"/>
      <c r="C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row>
    <row r="734" spans="2:58" x14ac:dyDescent="0.25">
      <c r="B734" s="2"/>
      <c r="C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row>
    <row r="735" spans="2:58" x14ac:dyDescent="0.25">
      <c r="B735" s="2"/>
      <c r="C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row>
    <row r="736" spans="2:58" x14ac:dyDescent="0.25">
      <c r="B736" s="2"/>
      <c r="C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row>
    <row r="737" spans="2:58" x14ac:dyDescent="0.25">
      <c r="B737" s="2"/>
      <c r="C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row>
    <row r="738" spans="2:58" x14ac:dyDescent="0.25">
      <c r="B738" s="2"/>
      <c r="C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row>
    <row r="739" spans="2:58" x14ac:dyDescent="0.25">
      <c r="B739" s="2"/>
      <c r="C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row>
    <row r="740" spans="2:58" x14ac:dyDescent="0.25">
      <c r="B740" s="2"/>
      <c r="C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row>
    <row r="741" spans="2:58" x14ac:dyDescent="0.25">
      <c r="B741" s="2"/>
      <c r="C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row>
    <row r="742" spans="2:58" x14ac:dyDescent="0.25">
      <c r="B742" s="2"/>
      <c r="C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row>
    <row r="743" spans="2:58" x14ac:dyDescent="0.25">
      <c r="B743" s="2"/>
      <c r="C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row>
    <row r="744" spans="2:58" x14ac:dyDescent="0.25">
      <c r="B744" s="2"/>
      <c r="C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row>
    <row r="745" spans="2:58" x14ac:dyDescent="0.25">
      <c r="B745" s="2"/>
      <c r="C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row>
    <row r="746" spans="2:58" x14ac:dyDescent="0.25">
      <c r="B746" s="2"/>
      <c r="C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row>
    <row r="747" spans="2:58" x14ac:dyDescent="0.25">
      <c r="B747" s="2"/>
      <c r="C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row>
    <row r="748" spans="2:58" x14ac:dyDescent="0.25">
      <c r="B748" s="2"/>
      <c r="C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row>
    <row r="749" spans="2:58" x14ac:dyDescent="0.25">
      <c r="B749" s="2"/>
      <c r="C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row>
    <row r="750" spans="2:58" x14ac:dyDescent="0.25">
      <c r="B750" s="2"/>
      <c r="C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row>
    <row r="751" spans="2:58" x14ac:dyDescent="0.25">
      <c r="B751" s="2"/>
      <c r="C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row>
    <row r="752" spans="2:58" x14ac:dyDescent="0.25">
      <c r="B752" s="2"/>
      <c r="C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row>
    <row r="753" spans="2:58" x14ac:dyDescent="0.25">
      <c r="B753" s="2"/>
      <c r="C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row>
    <row r="754" spans="2:58" x14ac:dyDescent="0.25">
      <c r="B754" s="2"/>
      <c r="C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row>
    <row r="755" spans="2:58" x14ac:dyDescent="0.25">
      <c r="B755" s="2"/>
      <c r="C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row>
    <row r="756" spans="2:58" x14ac:dyDescent="0.25">
      <c r="B756" s="2"/>
      <c r="C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row>
    <row r="757" spans="2:58" x14ac:dyDescent="0.25">
      <c r="B757" s="2"/>
      <c r="C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row>
    <row r="758" spans="2:58" x14ac:dyDescent="0.25">
      <c r="B758" s="2"/>
      <c r="C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row>
    <row r="759" spans="2:58" x14ac:dyDescent="0.25">
      <c r="B759" s="2"/>
      <c r="C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row>
    <row r="760" spans="2:58" x14ac:dyDescent="0.25">
      <c r="B760" s="2"/>
      <c r="C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row>
    <row r="761" spans="2:58" x14ac:dyDescent="0.25">
      <c r="B761" s="2"/>
      <c r="C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row>
    <row r="762" spans="2:58" x14ac:dyDescent="0.25">
      <c r="B762" s="2"/>
      <c r="C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row>
    <row r="763" spans="2:58" x14ac:dyDescent="0.25">
      <c r="B763" s="2"/>
      <c r="C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row>
    <row r="764" spans="2:58" x14ac:dyDescent="0.25">
      <c r="B764" s="2"/>
      <c r="C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row>
    <row r="765" spans="2:58" x14ac:dyDescent="0.25">
      <c r="B765" s="2"/>
      <c r="C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row>
    <row r="766" spans="2:58" x14ac:dyDescent="0.25">
      <c r="B766" s="2"/>
      <c r="C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row>
    <row r="767" spans="2:58" x14ac:dyDescent="0.25">
      <c r="B767" s="2"/>
      <c r="C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row>
    <row r="768" spans="2:58" x14ac:dyDescent="0.25">
      <c r="B768" s="2"/>
      <c r="C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row>
    <row r="769" spans="2:58" x14ac:dyDescent="0.25">
      <c r="B769" s="2"/>
      <c r="C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row>
    <row r="770" spans="2:58" x14ac:dyDescent="0.25">
      <c r="B770" s="2"/>
      <c r="C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row>
    <row r="771" spans="2:58" x14ac:dyDescent="0.25">
      <c r="B771" s="2"/>
      <c r="C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row>
    <row r="772" spans="2:58" x14ac:dyDescent="0.25">
      <c r="B772" s="2"/>
      <c r="C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row>
    <row r="773" spans="2:58" x14ac:dyDescent="0.25">
      <c r="B773" s="2"/>
      <c r="C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row>
    <row r="774" spans="2:58" x14ac:dyDescent="0.25">
      <c r="B774" s="2"/>
      <c r="C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row>
    <row r="775" spans="2:58" x14ac:dyDescent="0.25">
      <c r="B775" s="2"/>
      <c r="C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row>
    <row r="776" spans="2:58" x14ac:dyDescent="0.25">
      <c r="B776" s="2"/>
      <c r="C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row>
    <row r="777" spans="2:58" x14ac:dyDescent="0.25">
      <c r="B777" s="2"/>
      <c r="C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row>
    <row r="778" spans="2:58" x14ac:dyDescent="0.25">
      <c r="B778" s="2"/>
      <c r="C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row>
    <row r="779" spans="2:58" x14ac:dyDescent="0.25">
      <c r="B779" s="2"/>
      <c r="C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row>
    <row r="780" spans="2:58" x14ac:dyDescent="0.25">
      <c r="B780" s="2"/>
      <c r="C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row>
    <row r="781" spans="2:58" x14ac:dyDescent="0.25">
      <c r="B781" s="2"/>
      <c r="C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row>
    <row r="782" spans="2:58" x14ac:dyDescent="0.25">
      <c r="B782" s="2"/>
      <c r="C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row>
    <row r="783" spans="2:58" x14ac:dyDescent="0.25">
      <c r="B783" s="2"/>
      <c r="C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row>
    <row r="784" spans="2:58" x14ac:dyDescent="0.25">
      <c r="B784" s="2"/>
      <c r="C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row>
    <row r="785" spans="2:58" x14ac:dyDescent="0.25">
      <c r="B785" s="2"/>
      <c r="C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row>
    <row r="786" spans="2:58" x14ac:dyDescent="0.25">
      <c r="B786" s="2"/>
      <c r="C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row>
    <row r="787" spans="2:58" x14ac:dyDescent="0.25">
      <c r="B787" s="2"/>
      <c r="C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row>
    <row r="788" spans="2:58" x14ac:dyDescent="0.25">
      <c r="B788" s="2"/>
      <c r="C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row>
    <row r="789" spans="2:58" x14ac:dyDescent="0.25">
      <c r="B789" s="2"/>
      <c r="C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row>
    <row r="790" spans="2:58" x14ac:dyDescent="0.25">
      <c r="B790" s="2"/>
      <c r="C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row>
    <row r="791" spans="2:58" x14ac:dyDescent="0.25">
      <c r="B791" s="2"/>
      <c r="C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row>
    <row r="792" spans="2:58" x14ac:dyDescent="0.25">
      <c r="B792" s="2"/>
      <c r="C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row>
    <row r="793" spans="2:58" x14ac:dyDescent="0.25">
      <c r="B793" s="2"/>
      <c r="C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row>
    <row r="794" spans="2:58" x14ac:dyDescent="0.25">
      <c r="B794" s="2"/>
      <c r="C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row>
    <row r="795" spans="2:58" x14ac:dyDescent="0.25">
      <c r="B795" s="2"/>
      <c r="C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row>
    <row r="796" spans="2:58" x14ac:dyDescent="0.25">
      <c r="B796" s="2"/>
      <c r="C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row>
    <row r="797" spans="2:58" x14ac:dyDescent="0.25">
      <c r="B797" s="2"/>
      <c r="C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row>
    <row r="798" spans="2:58" x14ac:dyDescent="0.25">
      <c r="B798" s="2"/>
      <c r="C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row>
    <row r="799" spans="2:58" x14ac:dyDescent="0.25">
      <c r="B799" s="2"/>
      <c r="C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row>
    <row r="800" spans="2:58" x14ac:dyDescent="0.25">
      <c r="B800" s="2"/>
      <c r="C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row>
    <row r="801" spans="2:58" x14ac:dyDescent="0.25">
      <c r="B801" s="2"/>
      <c r="C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row>
    <row r="802" spans="2:58" x14ac:dyDescent="0.25">
      <c r="B802" s="2"/>
      <c r="C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row>
    <row r="803" spans="2:58" x14ac:dyDescent="0.25">
      <c r="B803" s="2"/>
      <c r="C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row>
    <row r="804" spans="2:58" x14ac:dyDescent="0.25">
      <c r="B804" s="2"/>
      <c r="C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row>
    <row r="805" spans="2:58" x14ac:dyDescent="0.25">
      <c r="B805" s="2"/>
      <c r="C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row>
    <row r="806" spans="2:58" x14ac:dyDescent="0.25">
      <c r="B806" s="2"/>
      <c r="C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row>
    <row r="807" spans="2:58" x14ac:dyDescent="0.25">
      <c r="B807" s="2"/>
      <c r="C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row>
    <row r="808" spans="2:58" x14ac:dyDescent="0.25">
      <c r="B808" s="2"/>
      <c r="C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row>
    <row r="809" spans="2:58" x14ac:dyDescent="0.25">
      <c r="B809" s="2"/>
      <c r="C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row>
    <row r="810" spans="2:58" x14ac:dyDescent="0.25">
      <c r="B810" s="2"/>
      <c r="C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row>
    <row r="811" spans="2:58" x14ac:dyDescent="0.25">
      <c r="B811" s="2"/>
      <c r="C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row>
    <row r="812" spans="2:58" x14ac:dyDescent="0.25">
      <c r="B812" s="2"/>
      <c r="C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row>
    <row r="813" spans="2:58" x14ac:dyDescent="0.25">
      <c r="B813" s="2"/>
      <c r="C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row>
    <row r="814" spans="2:58" x14ac:dyDescent="0.25">
      <c r="B814" s="2"/>
      <c r="C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row>
    <row r="815" spans="2:58" x14ac:dyDescent="0.25">
      <c r="B815" s="2"/>
      <c r="C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row>
    <row r="816" spans="2:58" x14ac:dyDescent="0.25">
      <c r="B816" s="2"/>
      <c r="C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row>
    <row r="817" spans="2:58" x14ac:dyDescent="0.25">
      <c r="B817" s="2"/>
      <c r="C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row>
    <row r="818" spans="2:58" x14ac:dyDescent="0.25">
      <c r="B818" s="2"/>
      <c r="C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row>
    <row r="819" spans="2:58" x14ac:dyDescent="0.25">
      <c r="B819" s="2"/>
      <c r="C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row>
    <row r="820" spans="2:58" x14ac:dyDescent="0.25">
      <c r="B820" s="2"/>
      <c r="C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row>
    <row r="821" spans="2:58" x14ac:dyDescent="0.25">
      <c r="B821" s="2"/>
      <c r="C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row>
    <row r="822" spans="2:58" x14ac:dyDescent="0.25">
      <c r="B822" s="2"/>
      <c r="C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row>
    <row r="823" spans="2:58" x14ac:dyDescent="0.25">
      <c r="B823" s="2"/>
      <c r="C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row>
    <row r="824" spans="2:58" x14ac:dyDescent="0.25">
      <c r="B824" s="2"/>
      <c r="C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row>
    <row r="825" spans="2:58" x14ac:dyDescent="0.25">
      <c r="B825" s="2"/>
      <c r="C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row>
    <row r="826" spans="2:58" x14ac:dyDescent="0.25">
      <c r="B826" s="2"/>
      <c r="C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row>
    <row r="827" spans="2:58" x14ac:dyDescent="0.25">
      <c r="B827" s="2"/>
      <c r="C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row>
    <row r="828" spans="2:58" x14ac:dyDescent="0.25">
      <c r="B828" s="2"/>
      <c r="C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row>
    <row r="829" spans="2:58" x14ac:dyDescent="0.25">
      <c r="B829" s="2"/>
      <c r="C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row>
    <row r="830" spans="2:58" x14ac:dyDescent="0.25">
      <c r="B830" s="2"/>
      <c r="C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row>
    <row r="831" spans="2:58" x14ac:dyDescent="0.25">
      <c r="B831" s="2"/>
      <c r="C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row>
    <row r="832" spans="2:58" x14ac:dyDescent="0.25">
      <c r="B832" s="2"/>
      <c r="C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row>
    <row r="833" spans="2:58" x14ac:dyDescent="0.25">
      <c r="B833" s="2"/>
      <c r="C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row>
    <row r="834" spans="2:58" x14ac:dyDescent="0.25">
      <c r="B834" s="2"/>
      <c r="C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row>
    <row r="835" spans="2:58" x14ac:dyDescent="0.25">
      <c r="B835" s="2"/>
      <c r="C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row>
    <row r="836" spans="2:58" x14ac:dyDescent="0.25">
      <c r="B836" s="2"/>
      <c r="C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row>
    <row r="837" spans="2:58" x14ac:dyDescent="0.25">
      <c r="B837" s="2"/>
      <c r="C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row>
    <row r="838" spans="2:58" x14ac:dyDescent="0.25">
      <c r="B838" s="2"/>
      <c r="C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row>
    <row r="839" spans="2:58" x14ac:dyDescent="0.25">
      <c r="B839" s="2"/>
      <c r="C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row>
    <row r="840" spans="2:58" x14ac:dyDescent="0.25">
      <c r="B840" s="2"/>
      <c r="C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row>
    <row r="841" spans="2:58" x14ac:dyDescent="0.25">
      <c r="B841" s="2"/>
      <c r="C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row>
    <row r="842" spans="2:58" x14ac:dyDescent="0.25">
      <c r="B842" s="2"/>
      <c r="C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row>
    <row r="843" spans="2:58" x14ac:dyDescent="0.25">
      <c r="B843" s="2"/>
      <c r="C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row>
    <row r="844" spans="2:58" x14ac:dyDescent="0.25">
      <c r="B844" s="2"/>
      <c r="C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row>
    <row r="845" spans="2:58" x14ac:dyDescent="0.25">
      <c r="B845" s="2"/>
      <c r="C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row>
    <row r="846" spans="2:58" x14ac:dyDescent="0.25">
      <c r="B846" s="2"/>
      <c r="C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row>
    <row r="847" spans="2:58" x14ac:dyDescent="0.25">
      <c r="B847" s="2"/>
      <c r="C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row>
    <row r="848" spans="2:58" x14ac:dyDescent="0.25">
      <c r="B848" s="2"/>
      <c r="C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row>
    <row r="849" spans="2:58" x14ac:dyDescent="0.25">
      <c r="B849" s="2"/>
      <c r="C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row>
    <row r="850" spans="2:58" x14ac:dyDescent="0.25">
      <c r="B850" s="2"/>
      <c r="C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row>
    <row r="851" spans="2:58" x14ac:dyDescent="0.25">
      <c r="B851" s="2"/>
      <c r="C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row>
    <row r="852" spans="2:58" x14ac:dyDescent="0.25">
      <c r="B852" s="2"/>
      <c r="C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row>
    <row r="853" spans="2:58" x14ac:dyDescent="0.25">
      <c r="B853" s="2"/>
      <c r="C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row>
    <row r="854" spans="2:58" x14ac:dyDescent="0.25">
      <c r="B854" s="2"/>
      <c r="C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row>
    <row r="855" spans="2:58" x14ac:dyDescent="0.25">
      <c r="B855" s="2"/>
      <c r="C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row>
    <row r="856" spans="2:58" x14ac:dyDescent="0.25">
      <c r="B856" s="2"/>
      <c r="C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row>
    <row r="857" spans="2:58" x14ac:dyDescent="0.25">
      <c r="B857" s="2"/>
      <c r="C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row>
    <row r="858" spans="2:58" x14ac:dyDescent="0.25">
      <c r="B858" s="2"/>
      <c r="C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row>
    <row r="859" spans="2:58" x14ac:dyDescent="0.25">
      <c r="B859" s="2"/>
      <c r="C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row>
    <row r="860" spans="2:58" x14ac:dyDescent="0.25">
      <c r="B860" s="2"/>
      <c r="C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row>
    <row r="861" spans="2:58" x14ac:dyDescent="0.25">
      <c r="B861" s="2"/>
      <c r="C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row>
    <row r="862" spans="2:58" x14ac:dyDescent="0.25">
      <c r="B862" s="2"/>
      <c r="C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row>
    <row r="863" spans="2:58" x14ac:dyDescent="0.25">
      <c r="B863" s="2"/>
      <c r="C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row>
    <row r="864" spans="2:58" x14ac:dyDescent="0.25">
      <c r="B864" s="2"/>
      <c r="C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row>
    <row r="865" spans="2:58" x14ac:dyDescent="0.25">
      <c r="B865" s="2"/>
      <c r="C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row>
    <row r="866" spans="2:58" x14ac:dyDescent="0.25">
      <c r="B866" s="2"/>
      <c r="C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row>
    <row r="867" spans="2:58" x14ac:dyDescent="0.25">
      <c r="B867" s="2"/>
      <c r="C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row>
    <row r="868" spans="2:58" x14ac:dyDescent="0.25">
      <c r="B868" s="2"/>
      <c r="C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row>
    <row r="869" spans="2:58" x14ac:dyDescent="0.25">
      <c r="B869" s="2"/>
      <c r="C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row>
    <row r="870" spans="2:58" x14ac:dyDescent="0.25">
      <c r="B870" s="2"/>
      <c r="C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row>
    <row r="871" spans="2:58" x14ac:dyDescent="0.25">
      <c r="B871" s="2"/>
      <c r="C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row>
    <row r="872" spans="2:58" x14ac:dyDescent="0.25">
      <c r="B872" s="2"/>
      <c r="C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row>
    <row r="873" spans="2:58" x14ac:dyDescent="0.25">
      <c r="B873" s="2"/>
      <c r="C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row>
    <row r="874" spans="2:58" x14ac:dyDescent="0.25">
      <c r="B874" s="2"/>
      <c r="C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row>
    <row r="875" spans="2:58" x14ac:dyDescent="0.25">
      <c r="B875" s="2"/>
      <c r="C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row>
    <row r="876" spans="2:58" x14ac:dyDescent="0.25">
      <c r="B876" s="2"/>
      <c r="C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row>
    <row r="877" spans="2:58" x14ac:dyDescent="0.25">
      <c r="B877" s="2"/>
      <c r="C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row>
    <row r="878" spans="2:58" x14ac:dyDescent="0.25">
      <c r="B878" s="2"/>
      <c r="C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row>
    <row r="879" spans="2:58" x14ac:dyDescent="0.25">
      <c r="B879" s="2"/>
      <c r="C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row>
    <row r="880" spans="2:58" x14ac:dyDescent="0.25">
      <c r="B880" s="2"/>
      <c r="C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row>
    <row r="881" spans="2:58" x14ac:dyDescent="0.25">
      <c r="B881" s="2"/>
      <c r="C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row>
    <row r="882" spans="2:58" x14ac:dyDescent="0.25">
      <c r="B882" s="2"/>
      <c r="C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row>
    <row r="883" spans="2:58" x14ac:dyDescent="0.25">
      <c r="B883" s="2"/>
      <c r="C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row>
    <row r="884" spans="2:58" x14ac:dyDescent="0.25">
      <c r="B884" s="2"/>
      <c r="C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row>
    <row r="885" spans="2:58" x14ac:dyDescent="0.25">
      <c r="B885" s="2"/>
      <c r="C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row>
    <row r="886" spans="2:58" x14ac:dyDescent="0.25">
      <c r="B886" s="2"/>
      <c r="C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row>
    <row r="887" spans="2:58" x14ac:dyDescent="0.25">
      <c r="B887" s="2"/>
      <c r="C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row>
    <row r="888" spans="2:58" x14ac:dyDescent="0.25">
      <c r="B888" s="2"/>
      <c r="C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row>
    <row r="889" spans="2:58" x14ac:dyDescent="0.25">
      <c r="B889" s="2"/>
      <c r="C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row>
    <row r="890" spans="2:58" x14ac:dyDescent="0.25">
      <c r="B890" s="2"/>
      <c r="C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row>
    <row r="891" spans="2:58" x14ac:dyDescent="0.25">
      <c r="B891" s="2"/>
      <c r="C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row>
    <row r="892" spans="2:58" x14ac:dyDescent="0.25">
      <c r="B892" s="2"/>
      <c r="C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row>
    <row r="893" spans="2:58" x14ac:dyDescent="0.25">
      <c r="B893" s="2"/>
      <c r="C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row>
    <row r="894" spans="2:58" x14ac:dyDescent="0.25">
      <c r="B894" s="2"/>
      <c r="C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row>
    <row r="895" spans="2:58" x14ac:dyDescent="0.25">
      <c r="B895" s="2"/>
      <c r="C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row>
    <row r="896" spans="2:58" x14ac:dyDescent="0.25">
      <c r="B896" s="2"/>
      <c r="C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row>
    <row r="897" spans="2:58" x14ac:dyDescent="0.25">
      <c r="B897" s="2"/>
      <c r="C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row>
    <row r="898" spans="2:58" x14ac:dyDescent="0.25">
      <c r="B898" s="2"/>
      <c r="C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row>
    <row r="899" spans="2:58" x14ac:dyDescent="0.25">
      <c r="B899" s="2"/>
      <c r="C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row>
    <row r="900" spans="2:58" x14ac:dyDescent="0.25">
      <c r="B900" s="2"/>
      <c r="C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row>
    <row r="901" spans="2:58" x14ac:dyDescent="0.25">
      <c r="B901" s="2"/>
      <c r="C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row>
    <row r="902" spans="2:58" x14ac:dyDescent="0.25">
      <c r="B902" s="2"/>
      <c r="C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row>
    <row r="903" spans="2:58" x14ac:dyDescent="0.25">
      <c r="B903" s="2"/>
      <c r="C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row>
    <row r="904" spans="2:58" x14ac:dyDescent="0.25">
      <c r="B904" s="2"/>
      <c r="C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row>
    <row r="905" spans="2:58" x14ac:dyDescent="0.25">
      <c r="B905" s="2"/>
      <c r="C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row>
    <row r="906" spans="2:58" x14ac:dyDescent="0.25">
      <c r="B906" s="2"/>
      <c r="C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row>
    <row r="907" spans="2:58" x14ac:dyDescent="0.25">
      <c r="B907" s="2"/>
      <c r="C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row>
    <row r="908" spans="2:58" x14ac:dyDescent="0.25">
      <c r="B908" s="2"/>
      <c r="C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row>
    <row r="909" spans="2:58" x14ac:dyDescent="0.25">
      <c r="B909" s="2"/>
      <c r="C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row>
    <row r="910" spans="2:58" x14ac:dyDescent="0.25">
      <c r="B910" s="2"/>
      <c r="C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row>
    <row r="911" spans="2:58" x14ac:dyDescent="0.25">
      <c r="B911" s="2"/>
      <c r="C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row>
    <row r="912" spans="2:58" x14ac:dyDescent="0.25">
      <c r="B912" s="2"/>
      <c r="C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row>
    <row r="913" spans="2:58" x14ac:dyDescent="0.25">
      <c r="B913" s="2"/>
      <c r="C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row>
    <row r="914" spans="2:58" x14ac:dyDescent="0.25">
      <c r="B914" s="2"/>
      <c r="C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row>
    <row r="915" spans="2:58" x14ac:dyDescent="0.25">
      <c r="B915" s="2"/>
      <c r="C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row>
    <row r="916" spans="2:58" x14ac:dyDescent="0.25">
      <c r="B916" s="2"/>
      <c r="C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row>
    <row r="917" spans="2:58" x14ac:dyDescent="0.25">
      <c r="B917" s="2"/>
      <c r="C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row>
    <row r="918" spans="2:58" x14ac:dyDescent="0.25">
      <c r="B918" s="2"/>
      <c r="C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row>
    <row r="919" spans="2:58" x14ac:dyDescent="0.25">
      <c r="B919" s="2"/>
      <c r="C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row>
    <row r="920" spans="2:58" x14ac:dyDescent="0.25">
      <c r="B920" s="2"/>
      <c r="C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row>
    <row r="921" spans="2:58" x14ac:dyDescent="0.25">
      <c r="B921" s="2"/>
      <c r="C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row>
    <row r="922" spans="2:58" x14ac:dyDescent="0.25">
      <c r="B922" s="2"/>
      <c r="C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row>
    <row r="923" spans="2:58" x14ac:dyDescent="0.25">
      <c r="B923" s="2"/>
      <c r="C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row>
    <row r="924" spans="2:58" x14ac:dyDescent="0.25">
      <c r="B924" s="2"/>
      <c r="C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row>
    <row r="925" spans="2:58" x14ac:dyDescent="0.25">
      <c r="B925" s="2"/>
      <c r="C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row>
    <row r="926" spans="2:58" x14ac:dyDescent="0.25">
      <c r="B926" s="2"/>
      <c r="C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row>
    <row r="927" spans="2:58" x14ac:dyDescent="0.25">
      <c r="B927" s="2"/>
      <c r="C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row>
    <row r="928" spans="2:58" x14ac:dyDescent="0.25">
      <c r="B928" s="2"/>
      <c r="C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row>
    <row r="929" spans="2:58" x14ac:dyDescent="0.25">
      <c r="B929" s="2"/>
      <c r="C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row>
    <row r="930" spans="2:58" x14ac:dyDescent="0.25">
      <c r="B930" s="2"/>
      <c r="C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row>
    <row r="931" spans="2:58" x14ac:dyDescent="0.25">
      <c r="B931" s="2"/>
      <c r="C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row>
    <row r="932" spans="2:58" x14ac:dyDescent="0.25">
      <c r="B932" s="2"/>
      <c r="C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row>
    <row r="933" spans="2:58" x14ac:dyDescent="0.25">
      <c r="B933" s="2"/>
      <c r="C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row>
    <row r="934" spans="2:58" x14ac:dyDescent="0.25">
      <c r="B934" s="2"/>
      <c r="C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row>
    <row r="935" spans="2:58" x14ac:dyDescent="0.25">
      <c r="B935" s="2"/>
      <c r="C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row>
    <row r="936" spans="2:58" x14ac:dyDescent="0.25">
      <c r="B936" s="2"/>
      <c r="C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row>
    <row r="937" spans="2:58" x14ac:dyDescent="0.25">
      <c r="B937" s="2"/>
      <c r="C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row>
    <row r="938" spans="2:58" x14ac:dyDescent="0.25">
      <c r="B938" s="2"/>
      <c r="C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row>
    <row r="939" spans="2:58" x14ac:dyDescent="0.25">
      <c r="B939" s="2"/>
      <c r="C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row>
    <row r="940" spans="2:58" x14ac:dyDescent="0.25">
      <c r="B940" s="2"/>
      <c r="C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row>
    <row r="941" spans="2:58" x14ac:dyDescent="0.25">
      <c r="B941" s="2"/>
      <c r="C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row>
    <row r="942" spans="2:58" x14ac:dyDescent="0.25">
      <c r="B942" s="2"/>
      <c r="C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row>
    <row r="943" spans="2:58" x14ac:dyDescent="0.25">
      <c r="B943" s="2"/>
      <c r="C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row>
    <row r="944" spans="2:58" x14ac:dyDescent="0.25">
      <c r="B944" s="2"/>
      <c r="C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row>
    <row r="945" spans="2:58" x14ac:dyDescent="0.25">
      <c r="B945" s="2"/>
      <c r="C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row>
    <row r="946" spans="2:58" x14ac:dyDescent="0.25">
      <c r="B946" s="2"/>
      <c r="C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row>
    <row r="947" spans="2:58" x14ac:dyDescent="0.25">
      <c r="B947" s="2"/>
      <c r="C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row>
    <row r="948" spans="2:58" x14ac:dyDescent="0.25">
      <c r="B948" s="2"/>
      <c r="C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row>
    <row r="949" spans="2:58" x14ac:dyDescent="0.25">
      <c r="B949" s="2"/>
      <c r="C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row>
    <row r="950" spans="2:58" x14ac:dyDescent="0.25">
      <c r="B950" s="2"/>
      <c r="C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row>
    <row r="951" spans="2:58" x14ac:dyDescent="0.25">
      <c r="B951" s="2"/>
      <c r="C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row>
    <row r="952" spans="2:58" x14ac:dyDescent="0.25">
      <c r="B952" s="2"/>
      <c r="C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row>
    <row r="953" spans="2:58" x14ac:dyDescent="0.25">
      <c r="B953" s="2"/>
      <c r="C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row>
    <row r="954" spans="2:58" x14ac:dyDescent="0.25">
      <c r="B954" s="2"/>
      <c r="C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row>
    <row r="955" spans="2:58" x14ac:dyDescent="0.25">
      <c r="B955" s="2"/>
      <c r="C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row>
    <row r="956" spans="2:58" x14ac:dyDescent="0.25">
      <c r="B956" s="2"/>
      <c r="C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row>
    <row r="957" spans="2:58" x14ac:dyDescent="0.25">
      <c r="B957" s="2"/>
      <c r="C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row>
    <row r="958" spans="2:58" x14ac:dyDescent="0.25">
      <c r="B958" s="2"/>
      <c r="C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row>
    <row r="959" spans="2:58" x14ac:dyDescent="0.25">
      <c r="B959" s="2"/>
      <c r="C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row>
    <row r="960" spans="2:58" x14ac:dyDescent="0.25">
      <c r="B960" s="2"/>
      <c r="C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row>
    <row r="961" spans="2:58" x14ac:dyDescent="0.25">
      <c r="B961" s="2"/>
      <c r="C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row>
    <row r="962" spans="2:58" x14ac:dyDescent="0.25">
      <c r="B962" s="2"/>
      <c r="C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row>
    <row r="963" spans="2:58" x14ac:dyDescent="0.25">
      <c r="B963" s="2"/>
      <c r="C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row>
    <row r="964" spans="2:58" x14ac:dyDescent="0.25">
      <c r="B964" s="2"/>
      <c r="C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row>
    <row r="965" spans="2:58" x14ac:dyDescent="0.25">
      <c r="B965" s="2"/>
      <c r="C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row>
    <row r="966" spans="2:58" x14ac:dyDescent="0.25">
      <c r="B966" s="2"/>
      <c r="C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row>
    <row r="967" spans="2:58" x14ac:dyDescent="0.25">
      <c r="B967" s="2"/>
      <c r="C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row>
    <row r="968" spans="2:58" x14ac:dyDescent="0.25">
      <c r="B968" s="2"/>
      <c r="C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row>
    <row r="969" spans="2:58" x14ac:dyDescent="0.25">
      <c r="B969" s="2"/>
      <c r="C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row>
    <row r="970" spans="2:58" x14ac:dyDescent="0.25">
      <c r="B970" s="2"/>
      <c r="C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row>
    <row r="971" spans="2:58" x14ac:dyDescent="0.25">
      <c r="B971" s="2"/>
      <c r="C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row>
    <row r="972" spans="2:58" x14ac:dyDescent="0.25">
      <c r="B972" s="2"/>
      <c r="C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row>
    <row r="973" spans="2:58" x14ac:dyDescent="0.25">
      <c r="B973" s="2"/>
      <c r="C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row>
    <row r="974" spans="2:58" x14ac:dyDescent="0.25">
      <c r="B974" s="2"/>
      <c r="C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row>
    <row r="975" spans="2:58" x14ac:dyDescent="0.25">
      <c r="B975" s="2"/>
      <c r="C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row>
    <row r="976" spans="2:58" x14ac:dyDescent="0.25">
      <c r="B976" s="2"/>
      <c r="C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row>
    <row r="977" spans="2:58" x14ac:dyDescent="0.25">
      <c r="B977" s="2"/>
      <c r="C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row>
    <row r="978" spans="2:58" x14ac:dyDescent="0.25">
      <c r="B978" s="2"/>
      <c r="C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row>
    <row r="979" spans="2:58" x14ac:dyDescent="0.25">
      <c r="B979" s="2"/>
      <c r="C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row>
    <row r="980" spans="2:58" x14ac:dyDescent="0.25">
      <c r="B980" s="2"/>
      <c r="C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row>
    <row r="981" spans="2:58" x14ac:dyDescent="0.25">
      <c r="B981" s="2"/>
      <c r="C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row>
    <row r="982" spans="2:58" x14ac:dyDescent="0.25">
      <c r="B982" s="2"/>
      <c r="C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row>
    <row r="983" spans="2:58" x14ac:dyDescent="0.25">
      <c r="B983" s="2"/>
      <c r="C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row>
    <row r="984" spans="2:58" x14ac:dyDescent="0.25">
      <c r="B984" s="2"/>
      <c r="C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row>
    <row r="985" spans="2:58" x14ac:dyDescent="0.25">
      <c r="B985" s="2"/>
      <c r="C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row>
    <row r="986" spans="2:58" x14ac:dyDescent="0.25">
      <c r="B986" s="2"/>
      <c r="C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row>
    <row r="987" spans="2:58" x14ac:dyDescent="0.25">
      <c r="B987" s="2"/>
      <c r="C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row>
    <row r="988" spans="2:58" x14ac:dyDescent="0.25">
      <c r="B988" s="2"/>
      <c r="C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row>
    <row r="989" spans="2:58" x14ac:dyDescent="0.25">
      <c r="B989" s="2"/>
      <c r="C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row>
    <row r="990" spans="2:58" x14ac:dyDescent="0.25">
      <c r="B990" s="2"/>
      <c r="C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row>
    <row r="991" spans="2:58" x14ac:dyDescent="0.25">
      <c r="B991" s="2"/>
      <c r="C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row>
    <row r="992" spans="2:58" x14ac:dyDescent="0.25">
      <c r="B992" s="2"/>
      <c r="C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row>
    <row r="993" spans="2:58" x14ac:dyDescent="0.25">
      <c r="B993" s="2"/>
      <c r="C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row>
    <row r="994" spans="2:58" x14ac:dyDescent="0.25">
      <c r="B994" s="2"/>
      <c r="C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row>
    <row r="995" spans="2:58" x14ac:dyDescent="0.25">
      <c r="B995" s="2"/>
      <c r="C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row>
    <row r="996" spans="2:58" x14ac:dyDescent="0.25">
      <c r="B996" s="2"/>
      <c r="C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row>
    <row r="997" spans="2:58" x14ac:dyDescent="0.25">
      <c r="B997" s="2"/>
      <c r="C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row>
    <row r="998" spans="2:58" x14ac:dyDescent="0.25">
      <c r="B998" s="2"/>
      <c r="C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row>
    <row r="999" spans="2:58" x14ac:dyDescent="0.25">
      <c r="B999" s="2"/>
      <c r="C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row>
    <row r="1000" spans="2:58" x14ac:dyDescent="0.25">
      <c r="B1000" s="2"/>
      <c r="C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row>
    <row r="1001" spans="2:58" x14ac:dyDescent="0.25">
      <c r="B1001" s="2"/>
      <c r="C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row>
    <row r="1002" spans="2:58" x14ac:dyDescent="0.25">
      <c r="B1002" s="2"/>
      <c r="C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row>
    <row r="1003" spans="2:58" x14ac:dyDescent="0.25">
      <c r="B1003" s="2"/>
      <c r="C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row>
    <row r="1004" spans="2:58" x14ac:dyDescent="0.25">
      <c r="B1004" s="2"/>
      <c r="C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row>
    <row r="1005" spans="2:58" x14ac:dyDescent="0.25">
      <c r="B1005" s="2"/>
      <c r="C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row>
    <row r="1006" spans="2:58" x14ac:dyDescent="0.25">
      <c r="B1006" s="2"/>
      <c r="C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row>
    <row r="1007" spans="2:58" x14ac:dyDescent="0.25">
      <c r="B1007" s="2"/>
      <c r="C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row>
    <row r="1008" spans="2:58" x14ac:dyDescent="0.25">
      <c r="B1008" s="2"/>
      <c r="C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row>
    <row r="1009" spans="2:58" x14ac:dyDescent="0.25">
      <c r="B1009" s="2"/>
      <c r="C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row>
    <row r="1010" spans="2:58" x14ac:dyDescent="0.25">
      <c r="B1010" s="2"/>
      <c r="C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row>
    <row r="1011" spans="2:58" x14ac:dyDescent="0.25">
      <c r="B1011" s="2"/>
      <c r="C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row>
    <row r="1012" spans="2:58" x14ac:dyDescent="0.25">
      <c r="B1012" s="2"/>
      <c r="C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row>
    <row r="1013" spans="2:58" x14ac:dyDescent="0.25">
      <c r="B1013" s="2"/>
      <c r="C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row>
    <row r="1014" spans="2:58" x14ac:dyDescent="0.25">
      <c r="B1014" s="2"/>
      <c r="C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row>
    <row r="1015" spans="2:58" x14ac:dyDescent="0.25">
      <c r="B1015" s="2"/>
      <c r="C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row>
    <row r="1016" spans="2:58" x14ac:dyDescent="0.25">
      <c r="B1016" s="2"/>
      <c r="C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row>
    <row r="1017" spans="2:58" x14ac:dyDescent="0.25">
      <c r="B1017" s="2"/>
      <c r="C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row>
    <row r="1018" spans="2:58" x14ac:dyDescent="0.25">
      <c r="B1018" s="2"/>
      <c r="C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row>
    <row r="1019" spans="2:58" x14ac:dyDescent="0.25">
      <c r="B1019" s="2"/>
      <c r="C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row>
    <row r="1020" spans="2:58" x14ac:dyDescent="0.25">
      <c r="B1020" s="2"/>
      <c r="C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row>
    <row r="1021" spans="2:58" x14ac:dyDescent="0.25">
      <c r="B1021" s="2"/>
      <c r="C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row>
    <row r="1022" spans="2:58" x14ac:dyDescent="0.25">
      <c r="B1022" s="2"/>
      <c r="C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row>
    <row r="1023" spans="2:58" x14ac:dyDescent="0.25">
      <c r="B1023" s="2"/>
      <c r="C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row>
    <row r="1024" spans="2:58" x14ac:dyDescent="0.25">
      <c r="B1024" s="2"/>
      <c r="C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row>
    <row r="1025" spans="2:58" x14ac:dyDescent="0.25">
      <c r="B1025" s="2"/>
      <c r="C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row>
    <row r="1026" spans="2:58" x14ac:dyDescent="0.25">
      <c r="B1026" s="2"/>
      <c r="C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row>
    <row r="1027" spans="2:58" x14ac:dyDescent="0.25">
      <c r="B1027" s="2"/>
      <c r="C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row>
    <row r="1028" spans="2:58" x14ac:dyDescent="0.25">
      <c r="B1028" s="2"/>
      <c r="C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row>
    <row r="1029" spans="2:58" x14ac:dyDescent="0.25">
      <c r="B1029" s="2"/>
      <c r="C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row>
    <row r="1030" spans="2:58" x14ac:dyDescent="0.25">
      <c r="B1030" s="2"/>
      <c r="C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row>
    <row r="1031" spans="2:58" x14ac:dyDescent="0.25">
      <c r="B1031" s="2"/>
      <c r="C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row>
    <row r="1032" spans="2:58" x14ac:dyDescent="0.25">
      <c r="B1032" s="2"/>
      <c r="C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row>
    <row r="1033" spans="2:58" x14ac:dyDescent="0.25">
      <c r="B1033" s="2"/>
      <c r="C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row>
    <row r="1034" spans="2:58" x14ac:dyDescent="0.25">
      <c r="B1034" s="2"/>
      <c r="C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row>
    <row r="1035" spans="2:58" x14ac:dyDescent="0.25">
      <c r="B1035" s="2"/>
      <c r="C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row>
    <row r="1036" spans="2:58" x14ac:dyDescent="0.25">
      <c r="B1036" s="2"/>
      <c r="C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row>
    <row r="1037" spans="2:58" x14ac:dyDescent="0.25">
      <c r="B1037" s="2"/>
      <c r="C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row>
    <row r="1038" spans="2:58" x14ac:dyDescent="0.25">
      <c r="B1038" s="2"/>
      <c r="C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row>
    <row r="1039" spans="2:58" x14ac:dyDescent="0.25">
      <c r="B1039" s="2"/>
      <c r="C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row>
    <row r="1040" spans="2:58" x14ac:dyDescent="0.25">
      <c r="B1040" s="2"/>
      <c r="C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row>
    <row r="1041" spans="2:58" x14ac:dyDescent="0.25">
      <c r="B1041" s="2"/>
      <c r="C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row>
    <row r="1042" spans="2:58" x14ac:dyDescent="0.25">
      <c r="B1042" s="2"/>
      <c r="C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row>
    <row r="1043" spans="2:58" x14ac:dyDescent="0.25">
      <c r="B1043" s="2"/>
      <c r="C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row>
    <row r="1044" spans="2:58" x14ac:dyDescent="0.25">
      <c r="B1044" s="2"/>
      <c r="C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row>
    <row r="1045" spans="2:58" x14ac:dyDescent="0.25">
      <c r="B1045" s="2"/>
      <c r="C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row>
    <row r="1046" spans="2:58" x14ac:dyDescent="0.25">
      <c r="B1046" s="2"/>
      <c r="C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row>
    <row r="1047" spans="2:58" x14ac:dyDescent="0.25">
      <c r="B1047" s="2"/>
      <c r="C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row>
    <row r="1048" spans="2:58" x14ac:dyDescent="0.25">
      <c r="B1048" s="2"/>
      <c r="C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row>
    <row r="1049" spans="2:58" x14ac:dyDescent="0.25">
      <c r="B1049" s="2"/>
      <c r="C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row>
    <row r="1050" spans="2:58" x14ac:dyDescent="0.25">
      <c r="B1050" s="2"/>
      <c r="C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row>
    <row r="1051" spans="2:58" x14ac:dyDescent="0.25">
      <c r="B1051" s="2"/>
      <c r="C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row>
    <row r="1052" spans="2:58" x14ac:dyDescent="0.25">
      <c r="B1052" s="2"/>
      <c r="C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row>
    <row r="1053" spans="2:58" x14ac:dyDescent="0.25">
      <c r="B1053" s="2"/>
      <c r="C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row>
    <row r="1054" spans="2:58" x14ac:dyDescent="0.25">
      <c r="B1054" s="2"/>
      <c r="C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row>
    <row r="1055" spans="2:58" x14ac:dyDescent="0.25">
      <c r="B1055" s="2"/>
      <c r="C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row>
  </sheetData>
  <phoneticPr fontId="0" type="noConversion"/>
  <pageMargins left="0.75" right="0.75" top="1" bottom="1" header="0.5" footer="0.5"/>
  <pageSetup scale="73" orientation="landscape"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7E138-C662-4033-A468-4710031C217D}">
  <sheetPr>
    <tabColor rgb="FF0070C0"/>
    <pageSetUpPr fitToPage="1"/>
  </sheetPr>
  <dimension ref="A1:BI1067"/>
  <sheetViews>
    <sheetView workbookViewId="0"/>
  </sheetViews>
  <sheetFormatPr defaultColWidth="9.140625" defaultRowHeight="15" x14ac:dyDescent="0.25"/>
  <cols>
    <col min="1" max="1" width="53.140625" style="6" customWidth="1"/>
    <col min="2" max="3" width="5" style="7" hidden="1" customWidth="1"/>
    <col min="4" max="4" width="5" style="17" hidden="1" customWidth="1"/>
    <col min="5" max="5" width="5" style="18" hidden="1" customWidth="1"/>
    <col min="6" max="9" width="10.7109375" style="17" hidden="1" customWidth="1"/>
    <col min="10" max="13" width="10.7109375" style="17" customWidth="1"/>
    <col min="14" max="15" width="10.7109375" style="7" customWidth="1"/>
    <col min="16" max="18" width="11.85546875" style="7" bestFit="1" customWidth="1"/>
    <col min="19" max="19" width="11.28515625" style="7" bestFit="1" customWidth="1"/>
    <col min="20" max="20" width="11.85546875" style="7" bestFit="1" customWidth="1"/>
    <col min="21" max="27" width="10.7109375" style="7" customWidth="1"/>
    <col min="28" max="32" width="9.140625" style="7"/>
    <col min="33" max="33" width="106.28515625" style="7" bestFit="1" customWidth="1"/>
    <col min="34" max="34" width="42.28515625" style="7" bestFit="1" customWidth="1"/>
    <col min="35" max="59" width="9.140625" style="7"/>
    <col min="60" max="16384" width="9.140625" style="2"/>
  </cols>
  <sheetData>
    <row r="1" spans="1:61" x14ac:dyDescent="0.25">
      <c r="A1" s="4" t="str">
        <f>Inputs!A1</f>
        <v>Pfizer</v>
      </c>
      <c r="B1" s="2"/>
      <c r="C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row>
    <row r="2" spans="1:61" x14ac:dyDescent="0.25">
      <c r="A2" s="5" t="s">
        <v>225</v>
      </c>
      <c r="B2" s="2"/>
      <c r="C2" s="2"/>
      <c r="I2" s="20"/>
      <c r="N2" s="2"/>
      <c r="O2" s="2"/>
      <c r="P2" s="2"/>
      <c r="Q2" s="2"/>
      <c r="R2" s="2"/>
      <c r="S2" s="2"/>
      <c r="T2" s="2"/>
      <c r="U2" s="254"/>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row>
    <row r="3" spans="1:61" x14ac:dyDescent="0.25">
      <c r="A3" s="6" t="s">
        <v>290</v>
      </c>
    </row>
    <row r="4" spans="1:61" s="81" customFormat="1" ht="15.75" thickBot="1" x14ac:dyDescent="0.3">
      <c r="A4" s="80" t="str">
        <f>CONCATENATE("Fiscal Years Ending ",Inputs!B7)</f>
        <v>Fiscal Years Ending Dec. 31</v>
      </c>
      <c r="B4" s="81">
        <v>2012</v>
      </c>
      <c r="C4" s="81">
        <v>2013</v>
      </c>
      <c r="D4" s="81">
        <v>2014</v>
      </c>
      <c r="E4" s="81">
        <v>2015</v>
      </c>
      <c r="F4" s="81">
        <v>2016</v>
      </c>
      <c r="G4" s="81">
        <v>2017</v>
      </c>
      <c r="H4" s="81">
        <v>2018</v>
      </c>
      <c r="I4" s="81">
        <v>2019</v>
      </c>
      <c r="J4" s="81">
        <v>2020</v>
      </c>
      <c r="K4" s="81">
        <v>2021</v>
      </c>
      <c r="L4" s="81">
        <v>2022</v>
      </c>
      <c r="M4" s="81" t="s">
        <v>28</v>
      </c>
      <c r="N4" s="81" t="s">
        <v>29</v>
      </c>
      <c r="O4" s="81" t="s">
        <v>30</v>
      </c>
      <c r="P4" s="81" t="s">
        <v>31</v>
      </c>
      <c r="Q4" s="81" t="s">
        <v>32</v>
      </c>
      <c r="R4" s="81" t="s">
        <v>33</v>
      </c>
      <c r="S4" s="81" t="s">
        <v>34</v>
      </c>
      <c r="T4" s="81" t="s">
        <v>35</v>
      </c>
    </row>
    <row r="5" spans="1:61" s="9" customFormat="1" x14ac:dyDescent="0.25">
      <c r="A5" s="174" t="s">
        <v>291</v>
      </c>
      <c r="F5" s="400"/>
      <c r="G5" s="400"/>
      <c r="H5" s="400"/>
      <c r="I5" s="400"/>
      <c r="J5" s="400"/>
      <c r="K5" s="400"/>
      <c r="L5" s="400"/>
      <c r="M5" s="403"/>
      <c r="N5" s="403"/>
    </row>
    <row r="6" spans="1:61" x14ac:dyDescent="0.25">
      <c r="A6" s="168" t="s">
        <v>226</v>
      </c>
      <c r="B6" s="9"/>
      <c r="C6" s="9"/>
      <c r="D6" s="9"/>
      <c r="E6" s="9"/>
      <c r="F6" s="243">
        <v>2595</v>
      </c>
      <c r="G6" s="243">
        <v>1342</v>
      </c>
      <c r="H6" s="243">
        <v>1139</v>
      </c>
      <c r="I6" s="243">
        <v>1305</v>
      </c>
      <c r="J6" s="243">
        <v>1784</v>
      </c>
      <c r="K6" s="243">
        <v>1944</v>
      </c>
      <c r="L6" s="243">
        <v>416</v>
      </c>
      <c r="M6" s="482">
        <f>CF_F!B45</f>
        <v>7530.6145155892082</v>
      </c>
      <c r="N6" s="482">
        <f>CF_F!C45</f>
        <v>4308.0204735981679</v>
      </c>
      <c r="O6" s="482">
        <f>CF_F!D45</f>
        <v>5004.7849721881266</v>
      </c>
      <c r="P6" s="482">
        <f>CF_F!E45</f>
        <v>6696.3457156332715</v>
      </c>
      <c r="Q6" s="482">
        <f>CF_F!F45</f>
        <v>8404.2517552187001</v>
      </c>
      <c r="R6" s="482">
        <f>CF_F!G45</f>
        <v>7882.0093181979464</v>
      </c>
      <c r="S6" s="482">
        <f>CF_F!H45</f>
        <v>5604.2823882504927</v>
      </c>
      <c r="T6" s="482">
        <f>CF_F!I45</f>
        <v>2959.6686074723748</v>
      </c>
      <c r="U6" s="254"/>
      <c r="V6" s="31"/>
      <c r="W6" s="31"/>
      <c r="X6" s="31"/>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row>
    <row r="7" spans="1:61" x14ac:dyDescent="0.25">
      <c r="A7" s="168" t="s">
        <v>227</v>
      </c>
      <c r="B7" s="163"/>
      <c r="C7" s="163"/>
      <c r="D7" s="18"/>
      <c r="F7" s="243">
        <v>15255</v>
      </c>
      <c r="G7" s="243">
        <v>18650</v>
      </c>
      <c r="H7" s="243">
        <v>17694</v>
      </c>
      <c r="I7" s="243">
        <v>8525</v>
      </c>
      <c r="J7" s="243">
        <v>10437</v>
      </c>
      <c r="K7" s="243">
        <v>29125</v>
      </c>
      <c r="L7" s="243">
        <v>22316</v>
      </c>
      <c r="M7" s="482">
        <f>L7*(1+Inputs!$B$22)+22000</f>
        <v>45349.230800000005</v>
      </c>
      <c r="N7" s="482">
        <f>M7*(1+Inputs!$B$22)</f>
        <v>47448.900186040002</v>
      </c>
      <c r="O7" s="482">
        <f>N7*(1+Inputs!$B$22)</f>
        <v>49645.784264653652</v>
      </c>
      <c r="P7" s="482">
        <f>O7*(1+Inputs!$B$22)</f>
        <v>51944.384076107119</v>
      </c>
      <c r="Q7" s="482">
        <f>P7*(1+Inputs!$B$22)</f>
        <v>54349.409058830875</v>
      </c>
      <c r="R7" s="482">
        <f>Q7*(1+Inputs!$B$22)</f>
        <v>56865.786698254742</v>
      </c>
      <c r="S7" s="482">
        <f>R7*(1+Inputs!$B$22)</f>
        <v>59498.672622383936</v>
      </c>
      <c r="T7" s="482">
        <f>S7*(1+Inputs!$B$22)</f>
        <v>62253.461164800312</v>
      </c>
      <c r="U7" s="6"/>
      <c r="V7" s="31"/>
      <c r="W7" s="31"/>
      <c r="X7" s="31"/>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row>
    <row r="8" spans="1:61" s="1" customFormat="1" x14ac:dyDescent="0.25">
      <c r="A8" s="196" t="s">
        <v>230</v>
      </c>
      <c r="B8" s="73"/>
      <c r="C8" s="73"/>
      <c r="D8" s="73"/>
      <c r="E8" s="73"/>
      <c r="F8" s="243">
        <v>8225</v>
      </c>
      <c r="G8" s="243">
        <v>8221</v>
      </c>
      <c r="H8" s="243">
        <v>8025</v>
      </c>
      <c r="I8" s="243">
        <v>8724</v>
      </c>
      <c r="J8" s="243">
        <v>7930</v>
      </c>
      <c r="K8" s="243">
        <v>11479</v>
      </c>
      <c r="L8" s="243">
        <v>10952</v>
      </c>
      <c r="M8" s="482">
        <f>M9-M10</f>
        <v>8619.7788957379926</v>
      </c>
      <c r="N8" s="482">
        <f t="shared" ref="N8:T8" si="0">N9-N10</f>
        <v>7880.7660229497442</v>
      </c>
      <c r="O8" s="482">
        <f t="shared" si="0"/>
        <v>7322.8762637610989</v>
      </c>
      <c r="P8" s="482">
        <f t="shared" si="0"/>
        <v>7107.3626855539778</v>
      </c>
      <c r="Q8" s="482">
        <f t="shared" si="0"/>
        <v>7046.2240818072778</v>
      </c>
      <c r="R8" s="482">
        <f t="shared" si="0"/>
        <v>6783.3280856964639</v>
      </c>
      <c r="S8" s="482">
        <f t="shared" si="0"/>
        <v>6553.2940890995014</v>
      </c>
      <c r="T8" s="482">
        <f t="shared" si="0"/>
        <v>6583.0991584260182</v>
      </c>
      <c r="U8" s="254"/>
      <c r="V8" s="73"/>
      <c r="W8" s="73"/>
      <c r="X8" s="73"/>
    </row>
    <row r="9" spans="1:61" s="1" customFormat="1" x14ac:dyDescent="0.25">
      <c r="A9" s="224" t="s">
        <v>228</v>
      </c>
      <c r="B9" s="163"/>
      <c r="C9" s="163"/>
      <c r="D9" s="18"/>
      <c r="E9" s="18"/>
      <c r="F9" s="243">
        <v>8834</v>
      </c>
      <c r="G9" s="243">
        <v>8805</v>
      </c>
      <c r="H9" s="243">
        <v>8566</v>
      </c>
      <c r="I9" s="243">
        <v>9251</v>
      </c>
      <c r="J9" s="243">
        <v>8438</v>
      </c>
      <c r="K9" s="243">
        <v>11971</v>
      </c>
      <c r="L9" s="243">
        <v>11401</v>
      </c>
      <c r="M9" s="482">
        <f>IS_Sorted!M$5*AVERAGE('CS_BS (% sales)'!$F9:$L9)</f>
        <v>9147.9624936489254</v>
      </c>
      <c r="N9" s="482">
        <f>IS_Sorted!N$5*AVERAGE('CS_BS (% sales)'!$F9:$L9)</f>
        <v>8363.6660372823571</v>
      </c>
      <c r="O9" s="482">
        <f>IS_Sorted!O$5*AVERAGE('CS_BS (% sales)'!$F9:$L9)</f>
        <v>7771.5911529518571</v>
      </c>
      <c r="P9" s="482">
        <f>IS_Sorted!P$5*AVERAGE('CS_BS (% sales)'!$F9:$L9)</f>
        <v>7542.8718140734991</v>
      </c>
      <c r="Q9" s="482">
        <f>IS_Sorted!Q$5*AVERAGE('CS_BS (% sales)'!$F9:$L9)</f>
        <v>7477.9868952427596</v>
      </c>
      <c r="R9" s="482">
        <f>IS_Sorted!R$5*AVERAGE('CS_BS (% sales)'!$F9:$L9)</f>
        <v>7198.9817442705789</v>
      </c>
      <c r="S9" s="482">
        <f>IS_Sorted!S$5*AVERAGE('CS_BS (% sales)'!$F9:$L9)</f>
        <v>6954.85223716992</v>
      </c>
      <c r="T9" s="482">
        <f>IS_Sorted!T$5*AVERAGE('CS_BS (% sales)'!$F9:$L9)</f>
        <v>6986.4836350999058</v>
      </c>
      <c r="U9" s="2"/>
      <c r="V9" s="73"/>
      <c r="W9" s="73"/>
      <c r="X9" s="73"/>
    </row>
    <row r="10" spans="1:61" s="1" customFormat="1" x14ac:dyDescent="0.25">
      <c r="A10" s="224" t="s">
        <v>229</v>
      </c>
      <c r="B10" s="89"/>
      <c r="C10" s="89"/>
      <c r="D10" s="89"/>
      <c r="E10" s="89"/>
      <c r="F10" s="243">
        <v>609</v>
      </c>
      <c r="G10" s="481">
        <v>584</v>
      </c>
      <c r="H10" s="481">
        <v>541</v>
      </c>
      <c r="I10" s="481">
        <v>527</v>
      </c>
      <c r="J10" s="481">
        <v>508</v>
      </c>
      <c r="K10" s="481">
        <v>492</v>
      </c>
      <c r="L10" s="481">
        <v>449</v>
      </c>
      <c r="M10" s="482">
        <f>IS_Sorted!M$5*AVERAGE('CS_BS (% sales)'!$F10:$L10)</f>
        <v>528.18359791093292</v>
      </c>
      <c r="N10" s="482">
        <f>IS_Sorted!N$5*AVERAGE('CS_BS (% sales)'!$F10:$L10)</f>
        <v>482.90001433261278</v>
      </c>
      <c r="O10" s="482">
        <f>IS_Sorted!O$5*AVERAGE('CS_BS (% sales)'!$F10:$L10)</f>
        <v>448.71488919075796</v>
      </c>
      <c r="P10" s="482">
        <f>IS_Sorted!P$5*AVERAGE('CS_BS (% sales)'!$F10:$L10)</f>
        <v>435.50912851952086</v>
      </c>
      <c r="Q10" s="482">
        <f>IS_Sorted!Q$5*AVERAGE('CS_BS (% sales)'!$F10:$L10)</f>
        <v>431.76281343548197</v>
      </c>
      <c r="R10" s="482">
        <f>IS_Sorted!R$5*AVERAGE('CS_BS (% sales)'!$F10:$L10)</f>
        <v>415.65365857411473</v>
      </c>
      <c r="S10" s="482">
        <f>IS_Sorted!S$5*AVERAGE('CS_BS (% sales)'!$F10:$L10)</f>
        <v>401.55814807041844</v>
      </c>
      <c r="T10" s="482">
        <f>IS_Sorted!T$5*AVERAGE('CS_BS (% sales)'!$F10:$L10)</f>
        <v>403.38447667388738</v>
      </c>
      <c r="U10" s="4"/>
      <c r="V10" s="73"/>
      <c r="W10" s="73"/>
      <c r="X10" s="73"/>
    </row>
    <row r="11" spans="1:61" x14ac:dyDescent="0.25">
      <c r="A11" s="168" t="s">
        <v>234</v>
      </c>
      <c r="B11" s="73"/>
      <c r="C11" s="73"/>
      <c r="D11" s="73"/>
      <c r="E11" s="73"/>
      <c r="F11" s="243">
        <v>6783</v>
      </c>
      <c r="G11" s="243">
        <v>7578</v>
      </c>
      <c r="H11" s="243">
        <v>7508</v>
      </c>
      <c r="I11" s="243">
        <v>8283</v>
      </c>
      <c r="J11" s="243">
        <v>8046</v>
      </c>
      <c r="K11" s="243">
        <v>9059</v>
      </c>
      <c r="L11" s="243">
        <v>8981</v>
      </c>
      <c r="M11" s="482">
        <f>Rev!N5*AVERAGE('CS_BS (% sales)'!$F$11:$L$11)</f>
        <v>7779.1566293553651</v>
      </c>
      <c r="N11" s="482">
        <f>Rev!O5*AVERAGE('CS_BS (% sales)'!$F$11:$L$11)</f>
        <v>7112.2141290817026</v>
      </c>
      <c r="O11" s="482">
        <f>Rev!P5*AVERAGE('CS_BS (% sales)'!$F$11:$L$11)</f>
        <v>6608.7311661036538</v>
      </c>
      <c r="P11" s="482">
        <f>Rev!Q5*AVERAGE('CS_BS (% sales)'!$F$11:$L$11)</f>
        <v>6414.2350078025438</v>
      </c>
      <c r="Q11" s="482">
        <f>Rev!R5*AVERAGE('CS_BS (% sales)'!$F$11:$L$11)</f>
        <v>6359.0587926816615</v>
      </c>
      <c r="R11" s="482">
        <f>Rev!S5*AVERAGE('CS_BS (% sales)'!$F$11:$L$11)</f>
        <v>6121.8010676618687</v>
      </c>
      <c r="S11" s="482">
        <f>Rev!T5*AVERAGE('CS_BS (% sales)'!$F$11:$L$11)</f>
        <v>5914.2005582695501</v>
      </c>
      <c r="T11" s="482">
        <f>Rev!U5*AVERAGE('CS_BS (% sales)'!$F$11:$L$11)</f>
        <v>5941.0989631409802</v>
      </c>
      <c r="U11" s="254"/>
      <c r="V11" s="31"/>
      <c r="W11" s="31"/>
      <c r="X11" s="31"/>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row>
    <row r="12" spans="1:61" s="1" customFormat="1" x14ac:dyDescent="0.25">
      <c r="A12" s="168" t="s">
        <v>235</v>
      </c>
      <c r="B12" s="31"/>
      <c r="C12" s="31"/>
      <c r="D12" s="31"/>
      <c r="E12" s="31"/>
      <c r="F12" s="243">
        <v>3041</v>
      </c>
      <c r="G12" s="243">
        <v>3050</v>
      </c>
      <c r="H12" s="243">
        <v>3374</v>
      </c>
      <c r="I12" s="243">
        <v>3344</v>
      </c>
      <c r="J12" s="243">
        <v>3264</v>
      </c>
      <c r="K12" s="243">
        <v>4266</v>
      </c>
      <c r="L12" s="243">
        <v>3577</v>
      </c>
      <c r="M12" s="482" cm="1">
        <f t="array" ref="M12">AVERAGE($F12:$L12/IS_Sorted!$F$22:$L$22)*IS_Sorted!M$22</f>
        <v>6536.5960925733016</v>
      </c>
      <c r="N12" s="482" cm="1">
        <f t="array" ref="N12">AVERAGE($F12:$L12/IS_Sorted!$F$22:$L$22)*IS_Sorted!N$22</f>
        <v>10173.550092303884</v>
      </c>
      <c r="O12" s="482" cm="1">
        <f t="array" ref="O12">AVERAGE($F12:$L12/IS_Sorted!$F$22:$L$22)*IS_Sorted!O$22</f>
        <v>9448.4715204422882</v>
      </c>
      <c r="P12" s="482" cm="1">
        <f t="array" ref="P12">AVERAGE($F12:$L12/IS_Sorted!$F$22:$L$22)*IS_Sorted!P$22</f>
        <v>9111.7840888222199</v>
      </c>
      <c r="Q12" s="482" cm="1">
        <f t="array" ref="Q12">AVERAGE($F12:$L12/IS_Sorted!$F$22:$L$22)*IS_Sorted!Q$22</f>
        <v>9107.4401747681786</v>
      </c>
      <c r="R12" s="482" cm="1">
        <f t="array" ref="R12">AVERAGE($F12:$L12/IS_Sorted!$F$22:$L$22)*IS_Sorted!R$22</f>
        <v>9094.8998366516062</v>
      </c>
      <c r="S12" s="482" cm="1">
        <f t="array" ref="S12">AVERAGE($F12:$L12/IS_Sorted!$F$22:$L$22)*IS_Sorted!S$22</f>
        <v>8916.5937804636105</v>
      </c>
      <c r="T12" s="482" cm="1">
        <f t="array" ref="T12">AVERAGE($F12:$L12/IS_Sorted!$F$22:$L$22)*IS_Sorted!T$22</f>
        <v>9213.6892183874061</v>
      </c>
      <c r="U12" s="31"/>
      <c r="V12" s="155"/>
      <c r="W12" s="155"/>
      <c r="X12" s="155"/>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row>
    <row r="13" spans="1:61" x14ac:dyDescent="0.25">
      <c r="A13" s="168" t="s">
        <v>738</v>
      </c>
      <c r="B13" s="167"/>
      <c r="C13" s="167"/>
      <c r="D13" s="167"/>
      <c r="E13" s="167"/>
      <c r="F13" s="532" t="s">
        <v>54</v>
      </c>
      <c r="G13" s="532" t="s">
        <v>54</v>
      </c>
      <c r="H13" s="532" t="s">
        <v>54</v>
      </c>
      <c r="I13" s="532" t="s">
        <v>54</v>
      </c>
      <c r="J13" s="243">
        <v>167</v>
      </c>
      <c r="K13" s="532" t="s">
        <v>54</v>
      </c>
      <c r="L13" s="532" t="s">
        <v>54</v>
      </c>
      <c r="M13" s="484" t="s">
        <v>54</v>
      </c>
      <c r="N13" s="484" t="s">
        <v>54</v>
      </c>
      <c r="O13" s="484" t="s">
        <v>54</v>
      </c>
      <c r="P13" s="484" t="s">
        <v>54</v>
      </c>
      <c r="Q13" s="484" t="s">
        <v>54</v>
      </c>
      <c r="R13" s="484" t="s">
        <v>54</v>
      </c>
      <c r="S13" s="484" t="s">
        <v>54</v>
      </c>
      <c r="T13" s="484" t="s">
        <v>54</v>
      </c>
      <c r="U13" s="233"/>
      <c r="V13" s="155"/>
      <c r="W13" s="155"/>
      <c r="X13" s="155"/>
      <c r="BH13" s="7"/>
      <c r="BI13" s="7"/>
    </row>
    <row r="14" spans="1:61" x14ac:dyDescent="0.25">
      <c r="A14" s="168" t="s">
        <v>237</v>
      </c>
      <c r="B14" s="167"/>
      <c r="C14" s="167"/>
      <c r="D14" s="167"/>
      <c r="E14" s="167"/>
      <c r="F14" s="243">
        <v>801</v>
      </c>
      <c r="G14" s="243">
        <v>12</v>
      </c>
      <c r="H14" s="243">
        <v>9725</v>
      </c>
      <c r="I14" s="243">
        <v>21</v>
      </c>
      <c r="J14" s="532" t="s">
        <v>54</v>
      </c>
      <c r="K14" s="532" t="s">
        <v>54</v>
      </c>
      <c r="L14" s="532" t="s">
        <v>54</v>
      </c>
      <c r="M14" s="484" t="s">
        <v>54</v>
      </c>
      <c r="N14" s="484" t="s">
        <v>54</v>
      </c>
      <c r="O14" s="484" t="s">
        <v>54</v>
      </c>
      <c r="P14" s="484" t="s">
        <v>54</v>
      </c>
      <c r="Q14" s="484" t="s">
        <v>54</v>
      </c>
      <c r="R14" s="484" t="s">
        <v>54</v>
      </c>
      <c r="S14" s="484" t="s">
        <v>54</v>
      </c>
      <c r="T14" s="484" t="s">
        <v>54</v>
      </c>
      <c r="U14" s="233"/>
      <c r="V14" s="155"/>
      <c r="W14" s="155"/>
      <c r="X14" s="155"/>
      <c r="BH14" s="7"/>
      <c r="BI14" s="7"/>
    </row>
    <row r="15" spans="1:61" s="1" customFormat="1" x14ac:dyDescent="0.25">
      <c r="A15" s="198" t="s">
        <v>236</v>
      </c>
      <c r="B15" s="164" t="s">
        <v>216</v>
      </c>
      <c r="C15" s="164" t="s">
        <v>216</v>
      </c>
      <c r="D15" s="164" t="s">
        <v>216</v>
      </c>
      <c r="E15" s="164" t="s">
        <v>216</v>
      </c>
      <c r="F15" s="359">
        <v>2249</v>
      </c>
      <c r="G15" s="359">
        <v>2289</v>
      </c>
      <c r="H15" s="359">
        <v>2461</v>
      </c>
      <c r="I15" s="359">
        <v>2600</v>
      </c>
      <c r="J15" s="359">
        <v>3438</v>
      </c>
      <c r="K15" s="359">
        <v>3820</v>
      </c>
      <c r="L15" s="359">
        <v>5017</v>
      </c>
      <c r="M15" s="483">
        <f>L15*(1+Inputs!$B$22)</f>
        <v>5249.2871000000005</v>
      </c>
      <c r="N15" s="483">
        <f>M15*(1+Inputs!$B$22)</f>
        <v>5492.3290927300004</v>
      </c>
      <c r="O15" s="483">
        <f>N15*(1+Inputs!$B$22)</f>
        <v>5746.6239297233997</v>
      </c>
      <c r="P15" s="483">
        <f>O15*(1+Inputs!$B$22)</f>
        <v>6012.6926176695933</v>
      </c>
      <c r="Q15" s="483">
        <f>P15*(1+Inputs!$B$22)</f>
        <v>6291.0802858676952</v>
      </c>
      <c r="R15" s="483">
        <f>Q15*(1+Inputs!$B$22)</f>
        <v>6582.3573031033693</v>
      </c>
      <c r="S15" s="483">
        <f>R15*(1+Inputs!$B$22)</f>
        <v>6887.1204462370551</v>
      </c>
      <c r="T15" s="483">
        <f>S15*(1+Inputs!$B$22)</f>
        <v>7205.9941228978305</v>
      </c>
      <c r="U15" s="233"/>
      <c r="V15" s="155"/>
      <c r="W15" s="155"/>
      <c r="X15" s="155"/>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row>
    <row r="16" spans="1:61" x14ac:dyDescent="0.25">
      <c r="A16" s="298" t="s">
        <v>239</v>
      </c>
      <c r="B16" s="213"/>
      <c r="C16" s="213"/>
      <c r="D16" s="213"/>
      <c r="E16" s="213"/>
      <c r="F16" s="300">
        <f t="shared" ref="F16:L16" si="1">SUM(F11:F15,F6:F8)</f>
        <v>38949</v>
      </c>
      <c r="G16" s="300">
        <f t="shared" si="1"/>
        <v>41142</v>
      </c>
      <c r="H16" s="300">
        <f t="shared" si="1"/>
        <v>49926</v>
      </c>
      <c r="I16" s="300">
        <f t="shared" si="1"/>
        <v>32802</v>
      </c>
      <c r="J16" s="300">
        <f t="shared" si="1"/>
        <v>35066</v>
      </c>
      <c r="K16" s="300">
        <f t="shared" si="1"/>
        <v>59693</v>
      </c>
      <c r="L16" s="300">
        <f t="shared" si="1"/>
        <v>51259</v>
      </c>
      <c r="M16" s="299">
        <f t="shared" ref="M16:T16" si="2">SUM(M11:M15,M6:M8)</f>
        <v>81064.664033255875</v>
      </c>
      <c r="N16" s="299">
        <f t="shared" si="2"/>
        <v>82415.779996703495</v>
      </c>
      <c r="O16" s="299">
        <f t="shared" si="2"/>
        <v>83777.272116872206</v>
      </c>
      <c r="P16" s="299">
        <f t="shared" si="2"/>
        <v>87286.80419158873</v>
      </c>
      <c r="Q16" s="299">
        <f t="shared" si="2"/>
        <v>91557.464149174382</v>
      </c>
      <c r="R16" s="299">
        <f t="shared" si="2"/>
        <v>93330.182309566007</v>
      </c>
      <c r="S16" s="299">
        <f t="shared" si="2"/>
        <v>93374.163884704147</v>
      </c>
      <c r="T16" s="299">
        <f t="shared" si="2"/>
        <v>94157.011235124926</v>
      </c>
      <c r="U16" s="155"/>
      <c r="V16" s="155"/>
    </row>
    <row r="17" spans="1:59" x14ac:dyDescent="0.25">
      <c r="A17" s="168" t="s">
        <v>240</v>
      </c>
      <c r="B17" s="31"/>
      <c r="C17" s="31"/>
      <c r="D17" s="31"/>
      <c r="E17" s="31"/>
      <c r="F17" s="243" t="s">
        <v>292</v>
      </c>
      <c r="G17" s="243" t="s">
        <v>292</v>
      </c>
      <c r="H17" s="243" t="s">
        <v>292</v>
      </c>
      <c r="I17" s="243">
        <v>17133</v>
      </c>
      <c r="J17" s="243">
        <v>16856</v>
      </c>
      <c r="K17" s="243">
        <v>16472</v>
      </c>
      <c r="L17" s="243">
        <v>11033</v>
      </c>
      <c r="M17" s="253">
        <f>L17*(1+Inputs!$B$23)</f>
        <v>11529.484999999999</v>
      </c>
      <c r="N17" s="253">
        <f>M17*(1+Inputs!$B$23)</f>
        <v>12048.311824999997</v>
      </c>
      <c r="O17" s="253">
        <f>N17*(1+Inputs!$B$23)</f>
        <v>12590.485857124995</v>
      </c>
      <c r="P17" s="253">
        <f>O17*(1+Inputs!$B$23)</f>
        <v>13157.057720695619</v>
      </c>
      <c r="Q17" s="253">
        <f>P17*(1+Inputs!$B$23)</f>
        <v>13749.12531812692</v>
      </c>
      <c r="R17" s="253">
        <f>Q17*(1+Inputs!$B$23)</f>
        <v>14367.83595744263</v>
      </c>
      <c r="S17" s="253">
        <f>R17*(1+Inputs!$B$23)</f>
        <v>15014.388575527548</v>
      </c>
      <c r="T17" s="253">
        <f>S17*(1+Inputs!$B$23)</f>
        <v>15690.036061426286</v>
      </c>
      <c r="U17" s="254"/>
      <c r="V17" s="155"/>
    </row>
    <row r="18" spans="1:59" x14ac:dyDescent="0.25">
      <c r="A18" s="168" t="s">
        <v>241</v>
      </c>
      <c r="B18" s="73"/>
      <c r="C18" s="73"/>
      <c r="D18" s="73"/>
      <c r="E18" s="73"/>
      <c r="F18" s="243">
        <v>7116</v>
      </c>
      <c r="G18" s="243">
        <v>7015</v>
      </c>
      <c r="H18" s="243">
        <v>2767</v>
      </c>
      <c r="I18" s="243">
        <v>3014</v>
      </c>
      <c r="J18" s="243">
        <v>3406</v>
      </c>
      <c r="K18" s="243">
        <v>5054</v>
      </c>
      <c r="L18" s="243">
        <v>4036</v>
      </c>
      <c r="M18" s="253">
        <f>L18*(1+Inputs!$B$22)</f>
        <v>4222.8667999999998</v>
      </c>
      <c r="N18" s="253">
        <f>M18*(1+Inputs!$B$22)</f>
        <v>4418.3855328399995</v>
      </c>
      <c r="O18" s="253">
        <f>N18*(1+Inputs!$B$22)</f>
        <v>4622.9567830104916</v>
      </c>
      <c r="P18" s="253">
        <f>O18*(1+Inputs!$B$22)</f>
        <v>4836.9996820638771</v>
      </c>
      <c r="Q18" s="253">
        <f>P18*(1+Inputs!$B$22)</f>
        <v>5060.952767343435</v>
      </c>
      <c r="R18" s="253">
        <f>Q18*(1+Inputs!$B$22)</f>
        <v>5295.2748804714356</v>
      </c>
      <c r="S18" s="253">
        <f>R18*(1+Inputs!$B$22)</f>
        <v>5540.446107437263</v>
      </c>
      <c r="T18" s="253">
        <f>S18*(1+Inputs!$B$22)</f>
        <v>5796.968762211608</v>
      </c>
      <c r="U18" s="254"/>
      <c r="V18" s="155"/>
      <c r="Y18" s="231"/>
    </row>
    <row r="19" spans="1:59" x14ac:dyDescent="0.25">
      <c r="A19" s="168" t="s">
        <v>294</v>
      </c>
      <c r="B19" s="31"/>
      <c r="C19" s="31"/>
      <c r="D19" s="31"/>
      <c r="E19" s="31"/>
      <c r="F19" s="243">
        <v>13318</v>
      </c>
      <c r="G19" s="243">
        <v>13865</v>
      </c>
      <c r="H19" s="243">
        <v>13385</v>
      </c>
      <c r="I19" s="243">
        <v>13967</v>
      </c>
      <c r="J19" s="243">
        <v>13900</v>
      </c>
      <c r="K19" s="243">
        <v>14882</v>
      </c>
      <c r="L19" s="243">
        <v>16274</v>
      </c>
      <c r="M19" s="482">
        <f t="shared" ref="M19:T19" si="3">M20-M21</f>
        <v>15540.358451723445</v>
      </c>
      <c r="N19" s="482">
        <f t="shared" si="3"/>
        <v>14917.147750011518</v>
      </c>
      <c r="O19" s="482">
        <f t="shared" si="3"/>
        <v>14394.017949114401</v>
      </c>
      <c r="P19" s="482">
        <f t="shared" si="3"/>
        <v>13961.741459319219</v>
      </c>
      <c r="Q19" s="482">
        <f t="shared" si="3"/>
        <v>13612.097278724599</v>
      </c>
      <c r="R19" s="482">
        <f t="shared" si="3"/>
        <v>13337.767366478034</v>
      </c>
      <c r="S19" s="482">
        <f t="shared" si="3"/>
        <v>13132.243891208633</v>
      </c>
      <c r="T19" s="482">
        <f t="shared" si="3"/>
        <v>12989.74622069782</v>
      </c>
      <c r="U19" s="155"/>
      <c r="V19" s="155"/>
    </row>
    <row r="20" spans="1:59" x14ac:dyDescent="0.25">
      <c r="A20" s="205" t="s">
        <v>293</v>
      </c>
      <c r="B20" s="165"/>
      <c r="C20" s="165"/>
      <c r="D20" s="165"/>
      <c r="E20" s="165"/>
      <c r="F20" s="481">
        <v>28125</v>
      </c>
      <c r="G20" s="481">
        <v>30037</v>
      </c>
      <c r="H20" s="481">
        <v>29977</v>
      </c>
      <c r="I20" s="481">
        <v>30756</v>
      </c>
      <c r="J20" s="481">
        <v>28711</v>
      </c>
      <c r="K20" s="481">
        <v>29955</v>
      </c>
      <c r="L20" s="481">
        <v>31448</v>
      </c>
      <c r="M20" s="482">
        <f>L20+Inputs!D42</f>
        <v>32414</v>
      </c>
      <c r="N20" s="482">
        <f>M20+Inputs!E42</f>
        <v>33413.81</v>
      </c>
      <c r="O20" s="482">
        <f>N20+Inputs!F42</f>
        <v>34448.61335</v>
      </c>
      <c r="P20" s="482">
        <f>O20+Inputs!G42</f>
        <v>35519.63481725</v>
      </c>
      <c r="Q20" s="482">
        <f>P20+Inputs!H42</f>
        <v>36628.142035853751</v>
      </c>
      <c r="R20" s="482">
        <f>Q20+Inputs!I42</f>
        <v>37775.447007108633</v>
      </c>
      <c r="S20" s="482">
        <f>R20+Inputs!J42</f>
        <v>38962.907652357433</v>
      </c>
      <c r="T20" s="482">
        <f>S20+Inputs!K42</f>
        <v>40191.929420189939</v>
      </c>
      <c r="U20" s="254"/>
      <c r="V20" s="155"/>
    </row>
    <row r="21" spans="1:59" x14ac:dyDescent="0.25">
      <c r="A21" s="205" t="s">
        <v>248</v>
      </c>
      <c r="B21" s="166"/>
      <c r="C21" s="166"/>
      <c r="D21" s="166"/>
      <c r="E21" s="166"/>
      <c r="F21" s="481">
        <v>14807</v>
      </c>
      <c r="G21" s="481">
        <v>16172</v>
      </c>
      <c r="H21" s="481">
        <v>16591</v>
      </c>
      <c r="I21" s="481">
        <v>16789</v>
      </c>
      <c r="J21" s="481">
        <v>14812</v>
      </c>
      <c r="K21" s="481">
        <v>15074</v>
      </c>
      <c r="L21" s="481">
        <v>15174</v>
      </c>
      <c r="M21" s="482">
        <f>L21+IS_Sorted!M9</f>
        <v>16873.641548276555</v>
      </c>
      <c r="N21" s="482">
        <f>M21+IS_Sorted!N9</f>
        <v>18496.66224998848</v>
      </c>
      <c r="O21" s="482">
        <f>N21+IS_Sorted!O9</f>
        <v>20054.595400885599</v>
      </c>
      <c r="P21" s="482">
        <f>O21+IS_Sorted!P9</f>
        <v>21557.893357930781</v>
      </c>
      <c r="Q21" s="482">
        <f>P21+IS_Sorted!Q9</f>
        <v>23016.044757129152</v>
      </c>
      <c r="R21" s="482">
        <f>Q21+IS_Sorted!R9</f>
        <v>24437.679640630598</v>
      </c>
      <c r="S21" s="482">
        <f>R21+IS_Sorted!S9</f>
        <v>25830.6637611488</v>
      </c>
      <c r="T21" s="482">
        <f>S21+IS_Sorted!T9</f>
        <v>27202.183199492119</v>
      </c>
      <c r="U21" s="254"/>
      <c r="V21" s="155"/>
    </row>
    <row r="22" spans="1:59" s="1" customFormat="1" x14ac:dyDescent="0.25">
      <c r="A22" s="168" t="s">
        <v>250</v>
      </c>
      <c r="B22" s="31"/>
      <c r="C22" s="31"/>
      <c r="D22" s="31"/>
      <c r="E22" s="31"/>
      <c r="F22" s="243">
        <v>52648</v>
      </c>
      <c r="G22" s="243">
        <v>48741</v>
      </c>
      <c r="H22" s="243">
        <v>35211</v>
      </c>
      <c r="I22" s="243">
        <v>35370</v>
      </c>
      <c r="J22" s="243">
        <v>28471</v>
      </c>
      <c r="K22" s="243">
        <v>25146</v>
      </c>
      <c r="L22" s="243">
        <v>43370</v>
      </c>
      <c r="M22" s="253">
        <f>L22-IS_Sorted!M10</f>
        <v>39147</v>
      </c>
      <c r="N22" s="253">
        <f>M22-IS_Sorted!N10</f>
        <v>35166</v>
      </c>
      <c r="O22" s="253">
        <f>N22-IS_Sorted!O10</f>
        <v>31386</v>
      </c>
      <c r="P22" s="253">
        <f>O22-IS_Sorted!P10</f>
        <v>27672</v>
      </c>
      <c r="Q22" s="253">
        <f>P22-IS_Sorted!Q10</f>
        <v>24169</v>
      </c>
      <c r="R22" s="253">
        <f>Q22-IS_Sorted!R10</f>
        <v>21424.106673897331</v>
      </c>
      <c r="S22" s="253">
        <f>R22-IS_Sorted!S10</f>
        <v>18990.953153814069</v>
      </c>
      <c r="T22" s="253">
        <f>S22-IS_Sorted!T10</f>
        <v>16834.134892064198</v>
      </c>
      <c r="U22" s="233"/>
      <c r="V22" s="155"/>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row>
    <row r="23" spans="1:59" x14ac:dyDescent="0.25">
      <c r="A23" s="168" t="s">
        <v>251</v>
      </c>
      <c r="B23" s="31"/>
      <c r="C23" s="31"/>
      <c r="D23" s="31"/>
      <c r="E23" s="31"/>
      <c r="F23" s="243">
        <v>54449</v>
      </c>
      <c r="G23" s="243">
        <v>55952</v>
      </c>
      <c r="H23" s="243">
        <v>53411</v>
      </c>
      <c r="I23" s="243">
        <v>58653</v>
      </c>
      <c r="J23" s="243">
        <v>49577</v>
      </c>
      <c r="K23" s="243">
        <v>49208</v>
      </c>
      <c r="L23" s="243">
        <v>51375</v>
      </c>
      <c r="M23" s="253">
        <v>51375</v>
      </c>
      <c r="N23" s="253">
        <v>51375</v>
      </c>
      <c r="O23" s="253">
        <v>51375</v>
      </c>
      <c r="P23" s="253">
        <v>51375</v>
      </c>
      <c r="Q23" s="253">
        <v>51375</v>
      </c>
      <c r="R23" s="253">
        <v>51375</v>
      </c>
      <c r="S23" s="253">
        <v>51375</v>
      </c>
      <c r="T23" s="253">
        <v>51375</v>
      </c>
      <c r="U23" s="254"/>
      <c r="V23" s="155"/>
    </row>
    <row r="24" spans="1:59" x14ac:dyDescent="0.25">
      <c r="A24" s="168" t="s">
        <v>739</v>
      </c>
      <c r="B24" s="31"/>
      <c r="C24" s="31"/>
      <c r="D24" s="31"/>
      <c r="E24" s="31"/>
      <c r="F24" s="243">
        <v>1812</v>
      </c>
      <c r="G24" s="243">
        <v>1855</v>
      </c>
      <c r="H24" s="243">
        <v>1924</v>
      </c>
      <c r="I24" s="243">
        <v>2099</v>
      </c>
      <c r="J24" s="243">
        <v>2383</v>
      </c>
      <c r="K24" s="243">
        <v>3341</v>
      </c>
      <c r="L24" s="243">
        <v>6693</v>
      </c>
      <c r="M24" s="482">
        <f>(AVERAGE($F$12:$L$12)/AVERAGE(IS_Sorted!$F$21:$L$21))*IS_Sorted!M21</f>
        <v>2152.9727390351013</v>
      </c>
      <c r="N24" s="482">
        <f>(AVERAGE($F$12:$L$12)/AVERAGE(IS_Sorted!$F$21:$L$21))*IS_Sorted!N21</f>
        <v>3350.8841142600668</v>
      </c>
      <c r="O24" s="482">
        <f>(AVERAGE($F$12:$L$12)/AVERAGE(IS_Sorted!$F$21:$L$21))*IS_Sorted!O21</f>
        <v>3112.0634227612959</v>
      </c>
      <c r="P24" s="482">
        <f>(AVERAGE($F$12:$L$12)/AVERAGE(IS_Sorted!$F$21:$L$21))*IS_Sorted!P21</f>
        <v>3001.1679579677257</v>
      </c>
      <c r="Q24" s="482">
        <f>(AVERAGE($F$12:$L$12)/AVERAGE(IS_Sorted!$F$21:$L$21))*IS_Sorted!Q21</f>
        <v>2999.7371936361665</v>
      </c>
      <c r="R24" s="482">
        <f>(AVERAGE($F$12:$L$12)/AVERAGE(IS_Sorted!$F$21:$L$21))*IS_Sorted!R21</f>
        <v>2995.6067554507722</v>
      </c>
      <c r="S24" s="482">
        <f>(AVERAGE($F$12:$L$12)/AVERAGE(IS_Sorted!$F$21:$L$21))*IS_Sorted!S21</f>
        <v>2936.8777055384212</v>
      </c>
      <c r="T24" s="482">
        <f>(AVERAGE($F$12:$L$12)/AVERAGE(IS_Sorted!$F$21:$L$21))*IS_Sorted!T21</f>
        <v>3034.7326700616791</v>
      </c>
      <c r="U24" s="254"/>
      <c r="V24" s="155"/>
    </row>
    <row r="25" spans="1:59" x14ac:dyDescent="0.25">
      <c r="A25" s="168" t="s">
        <v>253</v>
      </c>
      <c r="B25" s="31"/>
      <c r="C25" s="31"/>
      <c r="D25" s="31"/>
      <c r="E25" s="31"/>
      <c r="F25" s="243">
        <v>3323</v>
      </c>
      <c r="G25" s="243">
        <v>3227</v>
      </c>
      <c r="H25" s="243">
        <v>2799</v>
      </c>
      <c r="I25" s="243">
        <v>4450</v>
      </c>
      <c r="J25" s="243">
        <v>4569</v>
      </c>
      <c r="K25" s="243">
        <v>7679</v>
      </c>
      <c r="L25" s="243">
        <v>13163</v>
      </c>
      <c r="M25" s="482">
        <f>IS_Sorted!M$5*AVERAGE('CS_BS (% sales)'!$F25:$L25)</f>
        <v>4811.0798012828518</v>
      </c>
      <c r="N25" s="482">
        <f>IS_Sorted!N$5*AVERAGE('CS_BS (% sales)'!$F25:$L25)</f>
        <v>4398.6040350056537</v>
      </c>
      <c r="O25" s="482">
        <f>IS_Sorted!O$5*AVERAGE('CS_BS (% sales)'!$F25:$L25)</f>
        <v>4087.2210883848111</v>
      </c>
      <c r="P25" s="482">
        <f>IS_Sorted!P$5*AVERAGE('CS_BS (% sales)'!$F25:$L25)</f>
        <v>3966.933429553198</v>
      </c>
      <c r="Q25" s="482">
        <f>IS_Sorted!Q$5*AVERAGE('CS_BS (% sales)'!$F25:$L25)</f>
        <v>3932.8092710194069</v>
      </c>
      <c r="R25" s="482">
        <f>IS_Sorted!R$5*AVERAGE('CS_BS (% sales)'!$F25:$L25)</f>
        <v>3786.0753893241058</v>
      </c>
      <c r="S25" s="482">
        <f>IS_Sorted!S$5*AVERAGE('CS_BS (% sales)'!$F25:$L25)</f>
        <v>3657.6832428407174</v>
      </c>
      <c r="T25" s="482">
        <f>IS_Sorted!T$5*AVERAGE('CS_BS (% sales)'!$F25:$L25)</f>
        <v>3674.3187701259403</v>
      </c>
      <c r="U25" s="155"/>
      <c r="V25" s="155"/>
    </row>
    <row r="26" spans="1:59" x14ac:dyDescent="0.25">
      <c r="A26" s="224" t="s">
        <v>295</v>
      </c>
      <c r="B26" s="31"/>
      <c r="C26" s="31"/>
      <c r="D26" s="31"/>
      <c r="E26" s="31"/>
      <c r="F26" s="243">
        <f>Leases!I13</f>
        <v>2260.512918945572</v>
      </c>
      <c r="G26" s="243">
        <f>Leases!J13</f>
        <v>1231.9057240850525</v>
      </c>
      <c r="H26" s="243">
        <f>Leases!K13</f>
        <v>1320.5335820969335</v>
      </c>
      <c r="I26" s="243">
        <v>1289</v>
      </c>
      <c r="J26" s="243">
        <v>1386</v>
      </c>
      <c r="K26" s="243">
        <v>2839</v>
      </c>
      <c r="L26" s="243">
        <v>3002</v>
      </c>
      <c r="M26" s="482">
        <f>(1+((M19-L19)/M19))*L26</f>
        <v>2860.2792067011833</v>
      </c>
      <c r="N26" s="482">
        <f t="shared" ref="N26:R26" si="4">(1+((N19-M19)/N19))*M26</f>
        <v>2740.7820587629053</v>
      </c>
      <c r="O26" s="482">
        <f t="shared" si="4"/>
        <v>2641.1722918603123</v>
      </c>
      <c r="P26" s="482">
        <f t="shared" si="4"/>
        <v>2559.3976299675728</v>
      </c>
      <c r="Q26" s="482">
        <f t="shared" si="4"/>
        <v>2493.6562185728353</v>
      </c>
      <c r="R26" s="482">
        <f t="shared" si="4"/>
        <v>2442.3669380794968</v>
      </c>
      <c r="S26" s="484" t="s">
        <v>54</v>
      </c>
      <c r="T26" s="484" t="s">
        <v>54</v>
      </c>
      <c r="U26" s="254"/>
      <c r="V26" s="155"/>
      <c r="W26" s="231"/>
    </row>
    <row r="27" spans="1:59" s="1" customFormat="1" x14ac:dyDescent="0.25">
      <c r="A27" s="206" t="s">
        <v>296</v>
      </c>
      <c r="B27" s="341" t="s">
        <v>216</v>
      </c>
      <c r="C27" s="341" t="s">
        <v>216</v>
      </c>
      <c r="D27" s="341" t="s">
        <v>216</v>
      </c>
      <c r="E27" s="341" t="s">
        <v>216</v>
      </c>
      <c r="F27" s="533">
        <f t="shared" ref="F27:M27" si="5">SUM(F16:F19,F22:F25)</f>
        <v>171615</v>
      </c>
      <c r="G27" s="533">
        <f t="shared" si="5"/>
        <v>171797</v>
      </c>
      <c r="H27" s="533">
        <f t="shared" si="5"/>
        <v>159423</v>
      </c>
      <c r="I27" s="533">
        <f t="shared" si="5"/>
        <v>167488</v>
      </c>
      <c r="J27" s="533">
        <f t="shared" si="5"/>
        <v>154228</v>
      </c>
      <c r="K27" s="533">
        <f t="shared" si="5"/>
        <v>181475</v>
      </c>
      <c r="L27" s="533">
        <f t="shared" si="5"/>
        <v>197203</v>
      </c>
      <c r="M27" s="534">
        <f t="shared" si="5"/>
        <v>209843.42682529724</v>
      </c>
      <c r="N27" s="534">
        <f t="shared" ref="N27:T27" si="6">SUM(N16:N19,N22:N25)</f>
        <v>208090.11325382069</v>
      </c>
      <c r="O27" s="534">
        <f t="shared" si="6"/>
        <v>205345.01721726821</v>
      </c>
      <c r="P27" s="534">
        <f t="shared" si="6"/>
        <v>205257.7044411884</v>
      </c>
      <c r="Q27" s="534">
        <f>SUM(Q16:Q19,Q22:Q25)</f>
        <v>206456.18597802491</v>
      </c>
      <c r="R27" s="534">
        <f t="shared" si="6"/>
        <v>205911.84933263031</v>
      </c>
      <c r="S27" s="534">
        <f t="shared" si="6"/>
        <v>204021.7565610708</v>
      </c>
      <c r="T27" s="534">
        <f t="shared" si="6"/>
        <v>203551.94861171246</v>
      </c>
      <c r="U27" s="254"/>
      <c r="V27" s="155"/>
      <c r="W27" s="251"/>
      <c r="X27" s="252"/>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row>
    <row r="28" spans="1:59" s="9" customFormat="1" x14ac:dyDescent="0.25">
      <c r="A28" s="174" t="s">
        <v>297</v>
      </c>
      <c r="B28" s="169"/>
      <c r="C28" s="169"/>
      <c r="D28" s="169"/>
      <c r="E28" s="169"/>
      <c r="F28" s="243"/>
      <c r="G28" s="243"/>
      <c r="H28" s="243"/>
      <c r="I28" s="243"/>
      <c r="J28" s="243"/>
      <c r="K28" s="243"/>
      <c r="L28" s="243"/>
      <c r="M28" s="482"/>
      <c r="N28" s="482"/>
      <c r="O28" s="253"/>
      <c r="P28" s="253"/>
      <c r="Q28" s="253"/>
      <c r="R28" s="253"/>
      <c r="S28" s="253"/>
      <c r="T28" s="253"/>
      <c r="U28" s="155"/>
      <c r="V28" s="155"/>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row>
    <row r="29" spans="1:59" s="9" customFormat="1" x14ac:dyDescent="0.25">
      <c r="A29" s="168" t="s">
        <v>255</v>
      </c>
      <c r="B29" s="170"/>
      <c r="C29" s="170"/>
      <c r="D29" s="170"/>
      <c r="E29" s="170"/>
      <c r="F29" s="243">
        <v>10688</v>
      </c>
      <c r="G29" s="243">
        <v>9953</v>
      </c>
      <c r="H29" s="243">
        <v>8831</v>
      </c>
      <c r="I29" s="243">
        <v>16195</v>
      </c>
      <c r="J29" s="243">
        <v>2703</v>
      </c>
      <c r="K29" s="243">
        <v>2241</v>
      </c>
      <c r="L29" s="243">
        <v>2945</v>
      </c>
      <c r="M29" s="482" cm="1">
        <f t="array" ref="M29">AVERAGE($F$29:$L$29/IS_Sorted!$F$5:$L$5)*IS_Sorted!M5</f>
        <v>7981.724899015655</v>
      </c>
      <c r="N29" s="482" cm="1">
        <f t="array" ref="N29">AVERAGE($F$29:$L$29/IS_Sorted!$F$5:$L$5)*IS_Sorted!N5</f>
        <v>7297.4152991089131</v>
      </c>
      <c r="O29" s="482" cm="1">
        <f t="array" ref="O29">AVERAGE($F$29:$L$29/IS_Sorted!$F$5:$L$5)*IS_Sorted!O5</f>
        <v>6780.8217024885189</v>
      </c>
      <c r="P29" s="482" cm="1">
        <f t="array" ref="P29">AVERAGE($F$29:$L$29/IS_Sorted!$F$5:$L$5)*IS_Sorted!P5</f>
        <v>6581.2608884515994</v>
      </c>
      <c r="Q29" s="482" cm="1">
        <f t="array" ref="Q29">AVERAGE($F$29:$L$29/IS_Sorted!$F$5:$L$5)*IS_Sorted!Q5</f>
        <v>6524.6478915616935</v>
      </c>
      <c r="R29" s="482" cm="1">
        <f t="array" ref="R29">AVERAGE($F$29:$L$29/IS_Sorted!$F$5:$L$5)*IS_Sorted!R5</f>
        <v>6281.212004935096</v>
      </c>
      <c r="S29" s="482" cm="1">
        <f t="array" ref="S29">AVERAGE($F$29:$L$29/IS_Sorted!$F$5:$L$5)*IS_Sorted!S5</f>
        <v>6068.2056041368241</v>
      </c>
      <c r="T29" s="482" cm="1">
        <f t="array" ref="T29">AVERAGE($F$29:$L$29/IS_Sorted!$F$5:$L$5)*IS_Sorted!T5</f>
        <v>6095.8044401206535</v>
      </c>
      <c r="U29" s="254"/>
      <c r="V29" s="155"/>
      <c r="W29" s="7"/>
      <c r="X29" s="7"/>
      <c r="Y29" s="7"/>
      <c r="Z29" s="7"/>
      <c r="AA29" s="7"/>
      <c r="AB29" s="7"/>
      <c r="AC29" s="7"/>
      <c r="AD29" s="7"/>
      <c r="AE29" s="7"/>
      <c r="AF29" s="7"/>
      <c r="AG29" s="258"/>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row>
    <row r="30" spans="1:59" s="9" customFormat="1" x14ac:dyDescent="0.25">
      <c r="A30" s="168" t="s">
        <v>256</v>
      </c>
      <c r="B30" s="167"/>
      <c r="C30" s="167"/>
      <c r="D30" s="167"/>
      <c r="E30" s="167"/>
      <c r="F30" s="243">
        <v>4536</v>
      </c>
      <c r="G30" s="243">
        <v>4656</v>
      </c>
      <c r="H30" s="243">
        <v>4674</v>
      </c>
      <c r="I30" s="243">
        <v>4220</v>
      </c>
      <c r="J30" s="243">
        <v>4309</v>
      </c>
      <c r="K30" s="243">
        <v>5578</v>
      </c>
      <c r="L30" s="243">
        <v>6809</v>
      </c>
      <c r="M30" s="482">
        <f>IS_Sorted!M$5*AVERAGE('CS_BS (% sales)'!$F30:$L30)</f>
        <v>4692.5139155137758</v>
      </c>
      <c r="N30" s="482">
        <f>IS_Sorted!N$5*AVERAGE('CS_BS (% sales)'!$F30:$L30)</f>
        <v>4290.2033422092436</v>
      </c>
      <c r="O30" s="482">
        <f>IS_Sorted!O$5*AVERAGE('CS_BS (% sales)'!$F30:$L30)</f>
        <v>3986.4942227549432</v>
      </c>
      <c r="P30" s="482">
        <f>IS_Sorted!P$5*AVERAGE('CS_BS (% sales)'!$F30:$L30)</f>
        <v>3869.1709738698569</v>
      </c>
      <c r="Q30" s="482">
        <f>IS_Sorted!Q$5*AVERAGE('CS_BS (% sales)'!$F30:$L30)</f>
        <v>3835.8877826967832</v>
      </c>
      <c r="R30" s="482">
        <f>IS_Sorted!R$5*AVERAGE('CS_BS (% sales)'!$F30:$L30)</f>
        <v>3692.7700606525646</v>
      </c>
      <c r="S30" s="482">
        <f>IS_Sorted!S$5*AVERAGE('CS_BS (% sales)'!$F30:$L30)</f>
        <v>3567.5420538638737</v>
      </c>
      <c r="T30" s="482">
        <f>IS_Sorted!T$5*AVERAGE('CS_BS (% sales)'!$F30:$L30)</f>
        <v>3583.7676095607471</v>
      </c>
      <c r="U30" s="254"/>
      <c r="V30" s="155"/>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row>
    <row r="31" spans="1:59" s="9" customFormat="1" x14ac:dyDescent="0.25">
      <c r="A31" s="168" t="s">
        <v>257</v>
      </c>
      <c r="B31" s="167"/>
      <c r="C31" s="167"/>
      <c r="D31" s="167"/>
      <c r="E31" s="167"/>
      <c r="F31" s="243">
        <v>1944</v>
      </c>
      <c r="G31" s="243">
        <v>2029</v>
      </c>
      <c r="H31" s="243">
        <v>2047</v>
      </c>
      <c r="I31" s="243">
        <v>2104</v>
      </c>
      <c r="J31" s="243">
        <v>2162</v>
      </c>
      <c r="K31" s="243">
        <v>2249</v>
      </c>
      <c r="L31" s="243">
        <v>2303</v>
      </c>
      <c r="M31" s="482" cm="1">
        <f t="array" ref="M31">AVERAGE($F$31:$L$31/(IS_Sorted!$F$34:$L$34*IS_Sorted!$F$35:$L$35))*(IS_Sorted!M34*IS_Sorted!M35)</f>
        <v>2400.3992958053386</v>
      </c>
      <c r="N31" s="482" cm="1">
        <f t="array" ref="N31">AVERAGE($F$31:$L$31/(IS_Sorted!$F$34:$L$34*IS_Sorted!$F$35:$L$35))*(IS_Sorted!N34*IS_Sorted!N35)</f>
        <v>2452.0967722763448</v>
      </c>
      <c r="O31" s="482" cm="1">
        <f t="array" ref="O31">AVERAGE($F$31:$L$31/(IS_Sorted!$F$34:$L$34*IS_Sorted!$F$35:$L$35))*(IS_Sorted!O34*IS_Sorted!O35)</f>
        <v>2498.1992597408134</v>
      </c>
      <c r="P31" s="482" cm="1">
        <f t="array" ref="P31">AVERAGE($F$31:$L$31/(IS_Sorted!$F$34:$L$34*IS_Sorted!$F$35:$L$35))*(IS_Sorted!P34*IS_Sorted!P35)</f>
        <v>2544.4062003216627</v>
      </c>
      <c r="Q31" s="482" cm="1">
        <f t="array" ref="Q31">AVERAGE($F$31:$L$31/(IS_Sorted!$F$34:$L$34*IS_Sorted!$F$35:$L$35))*(IS_Sorted!Q34*IS_Sorted!Q35)</f>
        <v>2591.4630966287746</v>
      </c>
      <c r="R31" s="482" cm="1">
        <f t="array" ref="R31">AVERAGE($F$31:$L$31/(IS_Sorted!$F$34:$L$34*IS_Sorted!$F$35:$L$35))*(IS_Sorted!R34*IS_Sorted!R35)</f>
        <v>2639.3854830269261</v>
      </c>
      <c r="S31" s="482" cm="1">
        <f t="array" ref="S31">AVERAGE($F$31:$L$31/(IS_Sorted!$F$34:$L$34*IS_Sorted!$F$35:$L$35))*(IS_Sorted!S34*IS_Sorted!S35)</f>
        <v>2688.1891756466121</v>
      </c>
      <c r="T31" s="482" cm="1">
        <f t="array" ref="T31">AVERAGE($F$31:$L$31/(IS_Sorted!$F$34:$L$34*IS_Sorted!$F$35:$L$35))*(IS_Sorted!T34*IS_Sorted!T35)</f>
        <v>2737.8902774483022</v>
      </c>
      <c r="U31" s="254"/>
      <c r="V31" s="155"/>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row>
    <row r="32" spans="1:59" s="16" customFormat="1" x14ac:dyDescent="0.25">
      <c r="A32" s="168" t="s">
        <v>258</v>
      </c>
      <c r="B32" s="171"/>
      <c r="C32" s="171"/>
      <c r="D32" s="171"/>
      <c r="E32" s="171"/>
      <c r="F32" s="243">
        <v>437</v>
      </c>
      <c r="G32" s="243">
        <v>477</v>
      </c>
      <c r="H32" s="243">
        <v>1265</v>
      </c>
      <c r="I32" s="243">
        <v>980</v>
      </c>
      <c r="J32" s="243">
        <v>1049</v>
      </c>
      <c r="K32" s="243">
        <v>1266</v>
      </c>
      <c r="L32" s="243">
        <v>1587</v>
      </c>
      <c r="M32" s="482">
        <f>(AVERAGE($F32:$L32)/AVERAGE(IS_Sorted!$F$21:$L$21))*IS_Sorted!M$21</f>
        <v>635.64728676730431</v>
      </c>
      <c r="N32" s="482">
        <f>(AVERAGE($F32:$L32)/AVERAGE(IS_Sorted!$F$21:$L$21))*IS_Sorted!N$21</f>
        <v>989.32065273416663</v>
      </c>
      <c r="O32" s="482">
        <f>(AVERAGE($F32:$L32)/AVERAGE(IS_Sorted!$F$21:$L$21))*IS_Sorted!O$21</f>
        <v>918.81083074584001</v>
      </c>
      <c r="P32" s="482">
        <f>(AVERAGE($F32:$L32)/AVERAGE(IS_Sorted!$F$21:$L$21))*IS_Sorted!P$21</f>
        <v>886.06986750334966</v>
      </c>
      <c r="Q32" s="482">
        <f>(AVERAGE($F32:$L32)/AVERAGE(IS_Sorted!$F$21:$L$21))*IS_Sorted!Q$21</f>
        <v>885.64744623954562</v>
      </c>
      <c r="R32" s="482">
        <f>(AVERAGE($F32:$L32)/AVERAGE(IS_Sorted!$F$21:$L$21))*IS_Sorted!R$21</f>
        <v>884.4279687338144</v>
      </c>
      <c r="S32" s="482">
        <f>(AVERAGE($F32:$L32)/AVERAGE(IS_Sorted!$F$21:$L$21))*IS_Sorted!S$21</f>
        <v>867.08870541925035</v>
      </c>
      <c r="T32" s="482">
        <f>(AVERAGE($F32:$L32)/AVERAGE(IS_Sorted!$F$21:$L$21))*IS_Sorted!T$21</f>
        <v>895.97956946418788</v>
      </c>
      <c r="U32" s="254"/>
      <c r="V32" s="155"/>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row>
    <row r="33" spans="1:28" x14ac:dyDescent="0.25">
      <c r="A33" s="168" t="s">
        <v>259</v>
      </c>
      <c r="B33" s="171"/>
      <c r="C33" s="171"/>
      <c r="D33" s="171"/>
      <c r="E33" s="171"/>
      <c r="F33" s="243">
        <v>2487</v>
      </c>
      <c r="G33" s="243">
        <v>2196</v>
      </c>
      <c r="H33" s="243">
        <v>2397</v>
      </c>
      <c r="I33" s="243">
        <v>2720</v>
      </c>
      <c r="J33" s="243">
        <v>3058</v>
      </c>
      <c r="K33" s="243">
        <v>3332</v>
      </c>
      <c r="L33" s="243">
        <v>3407</v>
      </c>
      <c r="M33" s="482">
        <f>IS_Sorted!M$5*AVERAGE('CS_BS (% sales)'!$F33:$L33)</f>
        <v>2691.1012656532789</v>
      </c>
      <c r="N33" s="482">
        <f>IS_Sorted!N$5*AVERAGE('CS_BS (% sales)'!$F33:$L33)</f>
        <v>2460.3809071208984</v>
      </c>
      <c r="O33" s="482">
        <f>IS_Sorted!O$5*AVERAGE('CS_BS (% sales)'!$F33:$L33)</f>
        <v>2286.2073169154819</v>
      </c>
      <c r="P33" s="482">
        <f>IS_Sorted!P$5*AVERAGE('CS_BS (% sales)'!$F33:$L33)</f>
        <v>2218.9238204251701</v>
      </c>
      <c r="Q33" s="482">
        <f>IS_Sorted!Q$5*AVERAGE('CS_BS (% sales)'!$F33:$L33)</f>
        <v>2199.8363036903302</v>
      </c>
      <c r="R33" s="482">
        <f>IS_Sorted!R$5*AVERAGE('CS_BS (% sales)'!$F33:$L33)</f>
        <v>2117.7599817305172</v>
      </c>
      <c r="S33" s="482">
        <f>IS_Sorted!S$5*AVERAGE('CS_BS (% sales)'!$F33:$L33)</f>
        <v>2045.9432000156812</v>
      </c>
      <c r="T33" s="482">
        <f>IS_Sorted!T$5*AVERAGE('CS_BS (% sales)'!$F33:$L33)</f>
        <v>2055.2483644239155</v>
      </c>
      <c r="U33" s="254"/>
      <c r="V33" s="155"/>
    </row>
    <row r="34" spans="1:28" x14ac:dyDescent="0.25">
      <c r="A34" s="168" t="s">
        <v>260</v>
      </c>
      <c r="B34" s="171"/>
      <c r="C34" s="171"/>
      <c r="D34" s="171"/>
      <c r="E34" s="171"/>
      <c r="F34" s="532" t="s">
        <v>54</v>
      </c>
      <c r="G34" s="532" t="s">
        <v>54</v>
      </c>
      <c r="H34" s="532" t="s">
        <v>54</v>
      </c>
      <c r="I34" s="532" t="s">
        <v>54</v>
      </c>
      <c r="J34" s="532" t="s">
        <v>54</v>
      </c>
      <c r="K34" s="243">
        <v>3067</v>
      </c>
      <c r="L34" s="243">
        <v>2520</v>
      </c>
      <c r="M34" s="482">
        <f>IS_Sorted!M$5*AVERAGE('CS_BS (% sales)'!$F34:$L34)</f>
        <v>1772.132787915051</v>
      </c>
      <c r="N34" s="482">
        <f>IS_Sorted!N$5*AVERAGE('CS_BS (% sales)'!$F34:$L34)</f>
        <v>1620.1997791453148</v>
      </c>
      <c r="O34" s="482">
        <f>IS_Sorted!O$5*AVERAGE('CS_BS (% sales)'!$F34:$L34)</f>
        <v>1505.5037125456174</v>
      </c>
      <c r="P34" s="482">
        <f>IS_Sorted!P$5*AVERAGE('CS_BS (% sales)'!$F34:$L34)</f>
        <v>1461.1964649002548</v>
      </c>
      <c r="Q34" s="482">
        <f>IS_Sorted!Q$5*AVERAGE('CS_BS (% sales)'!$F34:$L34)</f>
        <v>1448.6270329441236</v>
      </c>
      <c r="R34" s="482">
        <f>IS_Sorted!R$5*AVERAGE('CS_BS (% sales)'!$F34:$L34)</f>
        <v>1394.5784755327593</v>
      </c>
      <c r="S34" s="482">
        <f>IS_Sorted!S$5*AVERAGE('CS_BS (% sales)'!$F34:$L34)</f>
        <v>1347.2859877978156</v>
      </c>
      <c r="T34" s="482">
        <f>IS_Sorted!T$5*AVERAGE('CS_BS (% sales)'!$F34:$L34)</f>
        <v>1353.4135858764296</v>
      </c>
      <c r="U34" s="254"/>
      <c r="V34" s="155"/>
    </row>
    <row r="35" spans="1:28" x14ac:dyDescent="0.25">
      <c r="A35" s="168" t="s">
        <v>261</v>
      </c>
      <c r="B35" s="171"/>
      <c r="C35" s="171"/>
      <c r="D35" s="171"/>
      <c r="E35" s="171"/>
      <c r="F35" s="243">
        <v>11023</v>
      </c>
      <c r="G35" s="243">
        <v>11115</v>
      </c>
      <c r="H35" s="243">
        <v>10753</v>
      </c>
      <c r="I35" s="243">
        <v>11083</v>
      </c>
      <c r="J35" s="243">
        <v>12640</v>
      </c>
      <c r="K35" s="243">
        <v>24939</v>
      </c>
      <c r="L35" s="243">
        <v>22568</v>
      </c>
      <c r="M35" s="482">
        <f>IS_Sorted!M$5*AVERAGE('CS_BS (% sales)'!$F35:$L35)</f>
        <v>13439.379754183105</v>
      </c>
      <c r="N35" s="482">
        <f>IS_Sorted!N$5*AVERAGE('CS_BS (% sales)'!$F35:$L35)</f>
        <v>12287.160566108358</v>
      </c>
      <c r="O35" s="482">
        <f>IS_Sorted!O$5*AVERAGE('CS_BS (% sales)'!$F35:$L35)</f>
        <v>11417.336360012634</v>
      </c>
      <c r="P35" s="482">
        <f>IS_Sorted!P$5*AVERAGE('CS_BS (% sales)'!$F35:$L35)</f>
        <v>11081.322077657847</v>
      </c>
      <c r="Q35" s="482">
        <f>IS_Sorted!Q$5*AVERAGE('CS_BS (% sales)'!$F35:$L35)</f>
        <v>10985.998876989823</v>
      </c>
      <c r="R35" s="482">
        <f>IS_Sorted!R$5*AVERAGE('CS_BS (% sales)'!$F35:$L35)</f>
        <v>10576.109114117318</v>
      </c>
      <c r="S35" s="482">
        <f>IS_Sorted!S$5*AVERAGE('CS_BS (% sales)'!$F35:$L35)</f>
        <v>10217.455571603876</v>
      </c>
      <c r="T35" s="482">
        <f>IS_Sorted!T$5*AVERAGE('CS_BS (% sales)'!$F35:$L35)</f>
        <v>10263.925631929538</v>
      </c>
      <c r="U35" s="254"/>
      <c r="V35" s="155"/>
    </row>
    <row r="36" spans="1:28" x14ac:dyDescent="0.25">
      <c r="A36" s="198" t="s">
        <v>262</v>
      </c>
      <c r="B36" s="172" t="s">
        <v>216</v>
      </c>
      <c r="C36" s="172" t="s">
        <v>216</v>
      </c>
      <c r="D36" s="172" t="s">
        <v>216</v>
      </c>
      <c r="E36" s="172" t="s">
        <v>216</v>
      </c>
      <c r="F36" s="535" t="s">
        <v>54</v>
      </c>
      <c r="G36" s="535" t="s">
        <v>54</v>
      </c>
      <c r="H36" s="359">
        <v>1890</v>
      </c>
      <c r="I36" s="535" t="s">
        <v>54</v>
      </c>
      <c r="J36" s="535" t="s">
        <v>54</v>
      </c>
      <c r="K36" s="535" t="s">
        <v>54</v>
      </c>
      <c r="L36" s="535" t="s">
        <v>54</v>
      </c>
      <c r="M36" s="485" t="s">
        <v>54</v>
      </c>
      <c r="N36" s="485" t="s">
        <v>54</v>
      </c>
      <c r="O36" s="485" t="s">
        <v>54</v>
      </c>
      <c r="P36" s="485" t="s">
        <v>54</v>
      </c>
      <c r="Q36" s="485" t="s">
        <v>54</v>
      </c>
      <c r="R36" s="485" t="s">
        <v>54</v>
      </c>
      <c r="S36" s="485" t="s">
        <v>54</v>
      </c>
      <c r="T36" s="485" t="s">
        <v>54</v>
      </c>
      <c r="U36" s="155"/>
      <c r="V36" s="155"/>
    </row>
    <row r="37" spans="1:28" x14ac:dyDescent="0.25">
      <c r="A37" s="174" t="s">
        <v>263</v>
      </c>
      <c r="B37" s="405"/>
      <c r="C37" s="405"/>
      <c r="D37" s="405"/>
      <c r="E37" s="405"/>
      <c r="F37" s="406">
        <f t="shared" ref="F37:M37" si="7">SUM(F29:F36)</f>
        <v>31115</v>
      </c>
      <c r="G37" s="406">
        <f t="shared" si="7"/>
        <v>30426</v>
      </c>
      <c r="H37" s="406">
        <f t="shared" si="7"/>
        <v>31857</v>
      </c>
      <c r="I37" s="406">
        <f>SUM(I29:I36)</f>
        <v>37302</v>
      </c>
      <c r="J37" s="406">
        <f t="shared" si="7"/>
        <v>25921</v>
      </c>
      <c r="K37" s="406">
        <f t="shared" si="7"/>
        <v>42672</v>
      </c>
      <c r="L37" s="406">
        <f t="shared" si="7"/>
        <v>42139</v>
      </c>
      <c r="M37" s="404">
        <f t="shared" si="7"/>
        <v>33612.899204853515</v>
      </c>
      <c r="N37" s="404">
        <f t="shared" ref="N37:T37" si="8">SUM(N29:N36)</f>
        <v>31396.777318703236</v>
      </c>
      <c r="O37" s="404">
        <f t="shared" si="8"/>
        <v>29393.373405203849</v>
      </c>
      <c r="P37" s="404">
        <f t="shared" si="8"/>
        <v>28642.350293129741</v>
      </c>
      <c r="Q37" s="404">
        <f t="shared" si="8"/>
        <v>28472.108430751076</v>
      </c>
      <c r="R37" s="404">
        <f t="shared" si="8"/>
        <v>27586.243088728996</v>
      </c>
      <c r="S37" s="404">
        <f>SUM(S29:S36)</f>
        <v>26801.710298483937</v>
      </c>
      <c r="T37" s="404">
        <f t="shared" si="8"/>
        <v>26986.029478823773</v>
      </c>
      <c r="U37" s="254"/>
      <c r="V37" s="155"/>
    </row>
    <row r="38" spans="1:28" x14ac:dyDescent="0.25">
      <c r="A38" s="168" t="s">
        <v>268</v>
      </c>
      <c r="B38" s="167"/>
      <c r="C38" s="167"/>
      <c r="D38" s="167"/>
      <c r="E38" s="167"/>
      <c r="F38" s="243">
        <v>31398</v>
      </c>
      <c r="G38" s="243">
        <v>33538</v>
      </c>
      <c r="H38" s="243">
        <v>32909</v>
      </c>
      <c r="I38" s="243">
        <v>35955</v>
      </c>
      <c r="J38" s="243">
        <v>37133</v>
      </c>
      <c r="K38" s="243">
        <v>36195</v>
      </c>
      <c r="L38" s="243">
        <v>32884</v>
      </c>
      <c r="M38" s="482">
        <f>SUM(M17:M19,M22:M25,M11:M15,M7:M8)*Inputs!$N$81+22000</f>
        <v>63014.22345586466</v>
      </c>
      <c r="N38" s="482">
        <f>SUM(N17:N19,N22:N25,N11:N15,N7:N8)*Inputs!$N$81+22000</f>
        <v>63312.085943410777</v>
      </c>
      <c r="O38" s="482">
        <f>SUM(O17:O19,O22:O25,O11:O15,O7:O8)*Inputs!$N$81+22000</f>
        <v>62614.328666050831</v>
      </c>
      <c r="P38" s="482">
        <f>SUM(P17:P19,P22:P25,P11:P15,P7:P8)*Inputs!$N$81+22000</f>
        <v>62253.703378919592</v>
      </c>
      <c r="Q38" s="482">
        <f>SUM(Q17:Q19,Q22:Q25,Q11:Q15,Q7:Q8)*Inputs!$N$81+22000</f>
        <v>62150.429393692932</v>
      </c>
      <c r="R38" s="482">
        <f>SUM(R17:R19,R22:R25,R11:R15,R7:R8)*Inputs!$N$81+22000</f>
        <v>62145.950306140439</v>
      </c>
      <c r="S38" s="482">
        <f>SUM(S17:S19,S22:S25,S11:S15,S7:S8)*Inputs!$N$81+22000</f>
        <v>62224.534127944629</v>
      </c>
      <c r="T38" s="482">
        <f>SUM(T17:T19,T22:T25,T11:T15,T7:T8)*Inputs!$N$81+22000</f>
        <v>62665.425494757423</v>
      </c>
      <c r="V38" s="155"/>
    </row>
    <row r="39" spans="1:28" x14ac:dyDescent="0.25">
      <c r="A39" s="168" t="s">
        <v>271</v>
      </c>
      <c r="B39" s="167"/>
      <c r="C39" s="167"/>
      <c r="D39" s="167"/>
      <c r="E39" s="167"/>
      <c r="F39" s="532">
        <f>SUM(BS!F53:F55)</f>
        <v>8172</v>
      </c>
      <c r="G39" s="532">
        <f>SUM(BS!G53:G55)</f>
        <v>7430</v>
      </c>
      <c r="H39" s="532">
        <f>SUM(BS!H53:H55)</f>
        <v>6610</v>
      </c>
      <c r="I39" s="532">
        <f>SUM(BS!I53:I55)</f>
        <v>6762</v>
      </c>
      <c r="J39" s="532">
        <f>SUM(BS!J53:J55)</f>
        <v>5411</v>
      </c>
      <c r="K39" s="532">
        <f>SUM(BS!K53:K55)</f>
        <v>3724</v>
      </c>
      <c r="L39" s="532">
        <f>SUM(BS!L53:L55)</f>
        <v>2250</v>
      </c>
      <c r="M39" s="482">
        <f>L39*(1-Inputs!$B$24)</f>
        <v>1575</v>
      </c>
      <c r="N39" s="482">
        <f>M39*(1-Inputs!$B$24)</f>
        <v>1102.5</v>
      </c>
      <c r="O39" s="482">
        <f>N39*(1-Inputs!$B$24)</f>
        <v>771.75</v>
      </c>
      <c r="P39" s="482">
        <f>O39*(1-Inputs!$B$24)</f>
        <v>540.22499999999991</v>
      </c>
      <c r="Q39" s="482">
        <f>P39*(1-Inputs!$B$24)</f>
        <v>378.15749999999991</v>
      </c>
      <c r="R39" s="482">
        <f>Q39*(1-Inputs!$B$24)</f>
        <v>264.71024999999992</v>
      </c>
      <c r="S39" s="482">
        <f>R39*(1-Inputs!$B$24)</f>
        <v>185.29717499999992</v>
      </c>
      <c r="T39" s="482">
        <f>S39*(1-Inputs!$B$24)</f>
        <v>129.70802249999994</v>
      </c>
      <c r="U39" s="254"/>
      <c r="V39" s="155"/>
    </row>
    <row r="40" spans="1:28" x14ac:dyDescent="0.25">
      <c r="A40" s="168" t="s">
        <v>272</v>
      </c>
      <c r="B40" s="167"/>
      <c r="C40" s="167"/>
      <c r="D40" s="167"/>
      <c r="E40" s="167"/>
      <c r="F40" s="243">
        <v>30753</v>
      </c>
      <c r="G40" s="243">
        <v>3900</v>
      </c>
      <c r="H40" s="243">
        <v>3700</v>
      </c>
      <c r="I40" s="243">
        <v>5578</v>
      </c>
      <c r="J40" s="243">
        <v>4063</v>
      </c>
      <c r="K40" s="243">
        <v>349</v>
      </c>
      <c r="L40" s="243">
        <v>1023</v>
      </c>
      <c r="M40" s="482">
        <f>((L40-K40)/IS_Sorted!L22)*IS_Sorted!M22</f>
        <v>468.3206761601806</v>
      </c>
      <c r="N40" s="482">
        <f>((M40-L40)/IS_Sorted!M22)*IS_Sorted!N22</f>
        <v>-863.30221514851382</v>
      </c>
      <c r="O40" s="482">
        <f>((N40-M40)/IS_Sorted!N22)*IS_Sorted!O22</f>
        <v>-1236.7168638622156</v>
      </c>
      <c r="P40" s="482">
        <f>((O40-N40)/IS_Sorted!O22)*IS_Sorted!P22</f>
        <v>-360.10836750909476</v>
      </c>
      <c r="Q40" s="482">
        <f>((P40-O40)/IS_Sorted!P22)*IS_Sorted!Q22</f>
        <v>876.19058566405283</v>
      </c>
      <c r="R40" s="482">
        <f>((Q40-P40)/IS_Sorted!Q22)*IS_Sorted!R22</f>
        <v>1234.5966519130297</v>
      </c>
      <c r="S40" s="482">
        <f>((R40-Q40)/IS_Sorted!R22)*IS_Sorted!S22</f>
        <v>351.37949384746753</v>
      </c>
      <c r="T40" s="482">
        <f>((S40-R40)/IS_Sorted!S22)*IS_Sorted!T22</f>
        <v>-912.64541226417998</v>
      </c>
      <c r="U40" s="254"/>
    </row>
    <row r="41" spans="1:28" x14ac:dyDescent="0.25">
      <c r="A41" s="168" t="s">
        <v>273</v>
      </c>
      <c r="B41" s="167"/>
      <c r="C41" s="167"/>
      <c r="D41" s="167"/>
      <c r="E41" s="167"/>
      <c r="F41" s="243">
        <v>4000</v>
      </c>
      <c r="G41" s="243">
        <v>18697</v>
      </c>
      <c r="H41" s="243">
        <v>14737</v>
      </c>
      <c r="I41" s="243">
        <v>12126</v>
      </c>
      <c r="J41" s="243">
        <v>11560</v>
      </c>
      <c r="K41" s="243">
        <v>11331</v>
      </c>
      <c r="L41" s="243">
        <v>9812</v>
      </c>
      <c r="M41" s="482" cm="1">
        <f t="array" ref="M41">L41*(1+AVERAGE(($I$41:$L$41-$H$41:$K$41)/$I$41:$L$41))</f>
        <v>8734.3851666597893</v>
      </c>
      <c r="N41" s="482" cm="1">
        <f t="array" ref="N41">M41*(1+AVERAGE(($I$41:$L$41-$H$41:$K$41)/$I$41:$L$41))</f>
        <v>7775.1206929847685</v>
      </c>
      <c r="O41" s="482" cm="1">
        <f t="array" ref="O41">N41*(1+AVERAGE(($I$41:$L$41-$H$41:$K$41)/$I$41:$L$41))</f>
        <v>6921.2086067871733</v>
      </c>
      <c r="P41" s="482" cm="1">
        <f t="array" ref="P41">O41*(1+AVERAGE(($I$41:$L$41-$H$41:$K$41)/$I$41:$L$41))</f>
        <v>6161.0784539828728</v>
      </c>
      <c r="Q41" s="482" cm="1">
        <f t="array" ref="Q41">P41*(1+AVERAGE(($I$41:$L$41-$H$41:$K$41)/$I$41:$L$41))</f>
        <v>5484.4305196794976</v>
      </c>
      <c r="R41" s="482" cm="1">
        <f t="array" ref="R41">Q41*(1+AVERAGE(($I$41:$L$41-$H$41:$K$41)/$I$41:$L$41))</f>
        <v>4882.0962676992294</v>
      </c>
      <c r="S41" s="482" cm="1">
        <f t="array" ref="S41">R41*(1+AVERAGE(($I$41:$L$41-$H$41:$K$41)/$I$41:$L$41))</f>
        <v>4345.914107500741</v>
      </c>
      <c r="T41" s="482" cm="1">
        <f t="array" ref="T41">S41*(1+AVERAGE(($I$41:$L$41-$H$41:$K$41)/$I$41:$L$41))</f>
        <v>3868.6188051500189</v>
      </c>
      <c r="U41" s="254"/>
      <c r="V41" s="155"/>
    </row>
    <row r="42" spans="1:28" x14ac:dyDescent="0.25">
      <c r="A42" s="168" t="s">
        <v>274</v>
      </c>
      <c r="B42" s="167"/>
      <c r="C42" s="167"/>
      <c r="D42" s="167"/>
      <c r="E42" s="167"/>
      <c r="F42" s="243">
        <v>6337</v>
      </c>
      <c r="G42" s="243">
        <v>6149</v>
      </c>
      <c r="H42" s="243">
        <v>5850</v>
      </c>
      <c r="I42" s="243">
        <v>6317</v>
      </c>
      <c r="J42" s="243">
        <v>6669</v>
      </c>
      <c r="K42" s="243">
        <v>9743</v>
      </c>
      <c r="L42" s="243">
        <v>13180</v>
      </c>
      <c r="M42" s="482">
        <f>IS_Sorted!M$5*AVERAGE('CS_BS (% sales)'!$F42:$L42)</f>
        <v>7077.2346625238815</v>
      </c>
      <c r="N42" s="482">
        <f>IS_Sorted!N$5*AVERAGE('CS_BS (% sales)'!$F42:$L42)</f>
        <v>6470.4711268681849</v>
      </c>
      <c r="O42" s="482">
        <f>IS_Sorted!O$5*AVERAGE('CS_BS (% sales)'!$F42:$L42)</f>
        <v>6012.4179924021482</v>
      </c>
      <c r="P42" s="482">
        <f>IS_Sorted!P$5*AVERAGE('CS_BS (% sales)'!$F42:$L42)</f>
        <v>5835.4714390878707</v>
      </c>
      <c r="Q42" s="482">
        <f>IS_Sorted!Q$5*AVERAGE('CS_BS (% sales)'!$F42:$L42)</f>
        <v>5785.2738353107707</v>
      </c>
      <c r="R42" s="482">
        <f>IS_Sorted!R$5*AVERAGE('CS_BS (% sales)'!$F42:$L42)</f>
        <v>5569.4241390692414</v>
      </c>
      <c r="S42" s="482">
        <f>IS_Sorted!S$5*AVERAGE('CS_BS (% sales)'!$F42:$L42)</f>
        <v>5380.5556548579025</v>
      </c>
      <c r="T42" s="482">
        <f>IS_Sorted!T$5*AVERAGE('CS_BS (% sales)'!$F42:$L42)</f>
        <v>5405.0269866992385</v>
      </c>
      <c r="U42" s="254"/>
      <c r="V42" s="155"/>
      <c r="AB42" s="231"/>
    </row>
    <row r="43" spans="1:28" x14ac:dyDescent="0.25">
      <c r="A43" s="206" t="s">
        <v>298</v>
      </c>
      <c r="B43" s="207" t="s">
        <v>216</v>
      </c>
      <c r="C43" s="207" t="s">
        <v>216</v>
      </c>
      <c r="D43" s="207" t="s">
        <v>216</v>
      </c>
      <c r="E43" s="207" t="s">
        <v>216</v>
      </c>
      <c r="F43" s="533">
        <f t="shared" ref="F43:L43" si="9">SUM(F37:F42)</f>
        <v>111775</v>
      </c>
      <c r="G43" s="533">
        <f t="shared" si="9"/>
        <v>100140</v>
      </c>
      <c r="H43" s="533">
        <f t="shared" si="9"/>
        <v>95663</v>
      </c>
      <c r="I43" s="533">
        <f t="shared" si="9"/>
        <v>104040</v>
      </c>
      <c r="J43" s="533">
        <f t="shared" si="9"/>
        <v>90757</v>
      </c>
      <c r="K43" s="533">
        <f t="shared" si="9"/>
        <v>104014</v>
      </c>
      <c r="L43" s="533">
        <f t="shared" si="9"/>
        <v>101288</v>
      </c>
      <c r="M43" s="534">
        <f t="shared" ref="M43:T43" si="10">SUM(M37:M42)</f>
        <v>114482.06316606203</v>
      </c>
      <c r="N43" s="534">
        <f t="shared" si="10"/>
        <v>109193.65286681845</v>
      </c>
      <c r="O43" s="534">
        <f t="shared" si="10"/>
        <v>104476.36180658179</v>
      </c>
      <c r="P43" s="534">
        <f t="shared" si="10"/>
        <v>103072.72019761099</v>
      </c>
      <c r="Q43" s="534">
        <f t="shared" si="10"/>
        <v>103146.59026509833</v>
      </c>
      <c r="R43" s="534">
        <f t="shared" si="10"/>
        <v>101683.02070355095</v>
      </c>
      <c r="S43" s="534">
        <f>SUM(S37:S42)</f>
        <v>99289.390857634688</v>
      </c>
      <c r="T43" s="534">
        <f t="shared" si="10"/>
        <v>98142.163375666278</v>
      </c>
      <c r="U43" s="155"/>
      <c r="V43" s="155"/>
    </row>
    <row r="44" spans="1:28" x14ac:dyDescent="0.25">
      <c r="A44" s="168" t="s">
        <v>276</v>
      </c>
      <c r="B44" s="167"/>
      <c r="C44" s="167"/>
      <c r="D44" s="167"/>
      <c r="E44" s="167"/>
      <c r="F44" s="243">
        <v>24</v>
      </c>
      <c r="G44" s="243">
        <v>21</v>
      </c>
      <c r="H44" s="243">
        <v>19</v>
      </c>
      <c r="I44" s="243">
        <v>17</v>
      </c>
      <c r="J44" s="532" t="s">
        <v>54</v>
      </c>
      <c r="K44" s="532" t="s">
        <v>54</v>
      </c>
      <c r="L44" s="532" t="s">
        <v>54</v>
      </c>
      <c r="M44" s="484" t="s">
        <v>54</v>
      </c>
      <c r="N44" s="484" t="s">
        <v>54</v>
      </c>
      <c r="O44" s="484" t="s">
        <v>54</v>
      </c>
      <c r="P44" s="484" t="s">
        <v>54</v>
      </c>
      <c r="Q44" s="484" t="s">
        <v>54</v>
      </c>
      <c r="R44" s="484" t="s">
        <v>54</v>
      </c>
      <c r="S44" s="484" t="s">
        <v>54</v>
      </c>
      <c r="T44" s="484" t="s">
        <v>54</v>
      </c>
      <c r="U44" s="155"/>
      <c r="V44" s="155"/>
    </row>
    <row r="45" spans="1:28" x14ac:dyDescent="0.25">
      <c r="A45" s="168" t="s">
        <v>299</v>
      </c>
      <c r="B45" s="167"/>
      <c r="C45" s="167"/>
      <c r="D45" s="167"/>
      <c r="E45" s="167"/>
      <c r="F45" s="243">
        <f>BS!F61+BS!F62</f>
        <v>83146</v>
      </c>
      <c r="G45" s="243">
        <f>BS!G61+BS!G62+1</f>
        <v>84743</v>
      </c>
      <c r="H45" s="243">
        <f>BS!H61+BS!H62+1</f>
        <v>86721</v>
      </c>
      <c r="I45" s="243">
        <f>BS!I61+BS!I62+3</f>
        <v>87899</v>
      </c>
      <c r="J45" s="243">
        <f>BS!J61+BS!J62-2</f>
        <v>89142</v>
      </c>
      <c r="K45" s="243">
        <f>BS!K61+BS!K62-1</f>
        <v>91063</v>
      </c>
      <c r="L45" s="243">
        <f>BS!L61+BS!L62-2</f>
        <v>92276</v>
      </c>
      <c r="M45" s="482">
        <f>L45+'Share Change'!E15</f>
        <v>92804.695999999996</v>
      </c>
      <c r="N45" s="482">
        <f>M45+'Share Change'!F15</f>
        <v>93333.391999999993</v>
      </c>
      <c r="O45" s="482">
        <f>N45+'Share Change'!G15</f>
        <v>93386.261599999998</v>
      </c>
      <c r="P45" s="482">
        <f>O45+'Share Change'!H15</f>
        <v>93386.261599999998</v>
      </c>
      <c r="Q45" s="482">
        <f>P45+'Share Change'!I15</f>
        <v>93386.261599999998</v>
      </c>
      <c r="R45" s="482">
        <f>Q45+'Share Change'!J15</f>
        <v>93386.261599999998</v>
      </c>
      <c r="S45" s="482">
        <f>R45+'Share Change'!K15</f>
        <v>93386.261599999998</v>
      </c>
      <c r="T45" s="482">
        <f>S45+'Share Change'!L15</f>
        <v>93386.261599999998</v>
      </c>
      <c r="U45" s="254"/>
      <c r="V45" s="155"/>
    </row>
    <row r="46" spans="1:28" x14ac:dyDescent="0.25">
      <c r="A46" s="168" t="s">
        <v>279</v>
      </c>
      <c r="B46" s="167"/>
      <c r="C46" s="167"/>
      <c r="D46" s="167"/>
      <c r="E46" s="167"/>
      <c r="F46" s="243">
        <v>84364</v>
      </c>
      <c r="G46" s="243">
        <v>89425</v>
      </c>
      <c r="H46" s="243">
        <v>101610</v>
      </c>
      <c r="I46" s="243">
        <v>110801</v>
      </c>
      <c r="J46" s="243">
        <v>110988</v>
      </c>
      <c r="K46" s="243">
        <v>111361</v>
      </c>
      <c r="L46" s="243">
        <v>113969</v>
      </c>
      <c r="M46" s="482">
        <f>L46+Inputs!D44</f>
        <v>113969</v>
      </c>
      <c r="N46" s="482">
        <f>M46+(Inputs!E44)</f>
        <v>114219</v>
      </c>
      <c r="O46" s="482">
        <f>N46+(Inputs!F44)</f>
        <v>114474</v>
      </c>
      <c r="P46" s="482">
        <f>O46+(Inputs!G44)</f>
        <v>114734.1</v>
      </c>
      <c r="Q46" s="482">
        <f>P46+(Inputs!H44)</f>
        <v>114999.402</v>
      </c>
      <c r="R46" s="482">
        <f>Q46+(Inputs!I44)</f>
        <v>115270.01004000001</v>
      </c>
      <c r="S46" s="482">
        <f>R46+(Inputs!J44)</f>
        <v>115546.03024080001</v>
      </c>
      <c r="T46" s="482">
        <f>S46+(Inputs!K44)</f>
        <v>115827.57084561601</v>
      </c>
      <c r="U46" s="254"/>
      <c r="V46" s="155"/>
    </row>
    <row r="47" spans="1:28" x14ac:dyDescent="0.25">
      <c r="A47" s="168" t="s">
        <v>280</v>
      </c>
      <c r="B47" s="167"/>
      <c r="C47" s="167"/>
      <c r="D47" s="167"/>
      <c r="E47" s="167"/>
      <c r="F47" s="243">
        <v>71774</v>
      </c>
      <c r="G47" s="243">
        <v>85291</v>
      </c>
      <c r="H47" s="243">
        <v>89554</v>
      </c>
      <c r="I47" s="243">
        <v>97670</v>
      </c>
      <c r="J47" s="243">
        <v>96770</v>
      </c>
      <c r="K47" s="243">
        <v>103394</v>
      </c>
      <c r="L47" s="243">
        <v>125656</v>
      </c>
      <c r="M47" s="482">
        <f>L47+IS_Sorted!M31-(IS_Sorted!M34*IS_Sorted!M35)</f>
        <v>124595.22817222499</v>
      </c>
      <c r="N47" s="482">
        <f>M47+IS_Sorted!N31-(IS_Sorted!N34*IS_Sorted!N35)</f>
        <v>127885.18565580354</v>
      </c>
      <c r="O47" s="482">
        <f>N47+IS_Sorted!O31-(IS_Sorted!O34*IS_Sorted!O35)</f>
        <v>130090.67621346026</v>
      </c>
      <c r="P47" s="482">
        <f>O47+IS_Sorted!P31-(IS_Sorted!P34*IS_Sorted!P35)</f>
        <v>131697.15963996915</v>
      </c>
      <c r="Q47" s="482">
        <f>P47+IS_Sorted!Q31-(IS_Sorted!Q34*IS_Sorted!Q35)</f>
        <v>133117.1133748343</v>
      </c>
      <c r="R47" s="482">
        <f>Q47+IS_Sorted!R31-(IS_Sorted!R34*IS_Sorted!R35)</f>
        <v>134336.95323305958</v>
      </c>
      <c r="S47" s="482">
        <f>R47+IS_Sorted!S31-(IS_Sorted!S34*IS_Sorted!S35)</f>
        <v>135145.92128001642</v>
      </c>
      <c r="T47" s="482">
        <f>S47+IS_Sorted!T31-(IS_Sorted!T34*IS_Sorted!T35)</f>
        <v>136135.27213812695</v>
      </c>
      <c r="U47" s="254"/>
      <c r="V47" s="155"/>
    </row>
    <row r="48" spans="1:28" x14ac:dyDescent="0.25">
      <c r="A48" s="198" t="s">
        <v>286</v>
      </c>
      <c r="B48" s="172" t="s">
        <v>216</v>
      </c>
      <c r="C48" s="172" t="s">
        <v>216</v>
      </c>
      <c r="D48" s="172" t="s">
        <v>216</v>
      </c>
      <c r="E48" s="172" t="s">
        <v>216</v>
      </c>
      <c r="F48" s="359">
        <v>-11036</v>
      </c>
      <c r="G48" s="359">
        <v>-9321</v>
      </c>
      <c r="H48" s="359">
        <v>-11275</v>
      </c>
      <c r="I48" s="359">
        <v>-11640</v>
      </c>
      <c r="J48" s="359">
        <v>-11688</v>
      </c>
      <c r="K48" s="359">
        <v>-5897</v>
      </c>
      <c r="L48" s="359">
        <v>-8304</v>
      </c>
      <c r="M48" s="282">
        <v>-8304</v>
      </c>
      <c r="N48" s="282">
        <v>-8304</v>
      </c>
      <c r="O48" s="282">
        <v>-8304</v>
      </c>
      <c r="P48" s="282">
        <v>-8304</v>
      </c>
      <c r="Q48" s="282">
        <v>-8304</v>
      </c>
      <c r="R48" s="282">
        <v>-8304</v>
      </c>
      <c r="S48" s="282">
        <v>-8304</v>
      </c>
      <c r="T48" s="282">
        <v>-8304</v>
      </c>
      <c r="U48" s="254"/>
      <c r="V48" s="155"/>
    </row>
    <row r="49" spans="1:22" x14ac:dyDescent="0.25">
      <c r="A49" s="179" t="s">
        <v>300</v>
      </c>
      <c r="B49" s="167"/>
      <c r="C49" s="167"/>
      <c r="D49" s="167"/>
      <c r="E49" s="167"/>
      <c r="F49" s="244">
        <f>F45-F46+F47+F48+F44</f>
        <v>59544</v>
      </c>
      <c r="G49" s="244">
        <f>G45-G46+G47+G48+G44</f>
        <v>71309</v>
      </c>
      <c r="H49" s="244">
        <f>H45-H46+H47+H48+H44</f>
        <v>63409</v>
      </c>
      <c r="I49" s="244">
        <f>I45-I46+I47+I48+I44</f>
        <v>63145</v>
      </c>
      <c r="J49" s="244">
        <f>J45-J46+J47+J48</f>
        <v>63236</v>
      </c>
      <c r="K49" s="244">
        <f>K45-K46+K47+K48</f>
        <v>77199</v>
      </c>
      <c r="L49" s="244">
        <f>L45-L46+L47+L48</f>
        <v>95659</v>
      </c>
      <c r="M49" s="293">
        <f>M45-M46+M47+M48</f>
        <v>95126.924172224986</v>
      </c>
      <c r="N49" s="293">
        <f t="shared" ref="N49:T49" si="11">N45-N46+N47+N48</f>
        <v>98695.577655803529</v>
      </c>
      <c r="O49" s="293">
        <f t="shared" si="11"/>
        <v>100698.93781346026</v>
      </c>
      <c r="P49" s="293">
        <f t="shared" si="11"/>
        <v>102045.32123996914</v>
      </c>
      <c r="Q49" s="293">
        <f t="shared" si="11"/>
        <v>103199.97297483429</v>
      </c>
      <c r="R49" s="293">
        <f t="shared" si="11"/>
        <v>104149.20479305957</v>
      </c>
      <c r="S49" s="293">
        <f>S45-S46+S47+S48</f>
        <v>104682.15263921641</v>
      </c>
      <c r="T49" s="293">
        <f t="shared" si="11"/>
        <v>105389.96289251094</v>
      </c>
      <c r="U49" s="155"/>
      <c r="V49" s="155"/>
    </row>
    <row r="50" spans="1:22" x14ac:dyDescent="0.25">
      <c r="A50" s="168" t="s">
        <v>288</v>
      </c>
      <c r="B50" s="167"/>
      <c r="C50" s="167"/>
      <c r="D50" s="167"/>
      <c r="E50" s="167"/>
      <c r="F50" s="243">
        <v>296</v>
      </c>
      <c r="G50" s="243">
        <v>348</v>
      </c>
      <c r="H50" s="243">
        <v>351</v>
      </c>
      <c r="I50" s="243">
        <v>303</v>
      </c>
      <c r="J50" s="243">
        <v>235</v>
      </c>
      <c r="K50" s="243">
        <v>262</v>
      </c>
      <c r="L50" s="243">
        <v>256</v>
      </c>
      <c r="M50" s="482">
        <f>L50+IS_Sorted!M28</f>
        <v>234.43948701025349</v>
      </c>
      <c r="N50" s="482">
        <f>M50+IS_Sorted!N28</f>
        <v>200.88273119874319</v>
      </c>
      <c r="O50" s="482">
        <f>N50+IS_Sorted!O28</f>
        <v>169.71759722615462</v>
      </c>
      <c r="P50" s="482">
        <f>O50+IS_Sorted!P28</f>
        <v>139.66300360822811</v>
      </c>
      <c r="Q50" s="482">
        <f>P50+IS_Sorted!Q28</f>
        <v>109.62273809227732</v>
      </c>
      <c r="R50" s="482">
        <f>Q50+IS_Sorted!R28</f>
        <v>79.623836019780725</v>
      </c>
      <c r="S50" s="482">
        <f>R50+IS_Sorted!S28</f>
        <v>50.213064219699106</v>
      </c>
      <c r="T50" s="482">
        <f>S50+IS_Sorted!T28</f>
        <v>19.822343535238939</v>
      </c>
      <c r="U50" s="254"/>
      <c r="V50" s="155"/>
    </row>
    <row r="51" spans="1:22" x14ac:dyDescent="0.25">
      <c r="A51" s="407" t="s">
        <v>301</v>
      </c>
      <c r="B51" s="408"/>
      <c r="C51" s="408"/>
      <c r="D51" s="408"/>
      <c r="E51" s="408"/>
      <c r="F51" s="536">
        <f t="shared" ref="F51:L51" si="12">F49+F50</f>
        <v>59840</v>
      </c>
      <c r="G51" s="536">
        <f t="shared" si="12"/>
        <v>71657</v>
      </c>
      <c r="H51" s="536">
        <f t="shared" si="12"/>
        <v>63760</v>
      </c>
      <c r="I51" s="536">
        <f t="shared" si="12"/>
        <v>63448</v>
      </c>
      <c r="J51" s="536">
        <f t="shared" si="12"/>
        <v>63471</v>
      </c>
      <c r="K51" s="536">
        <f t="shared" si="12"/>
        <v>77461</v>
      </c>
      <c r="L51" s="536">
        <f t="shared" si="12"/>
        <v>95915</v>
      </c>
      <c r="M51" s="486">
        <f>SUM(M49:M50)</f>
        <v>95361.363659235241</v>
      </c>
      <c r="N51" s="486">
        <f t="shared" ref="N51:R51" si="13">SUM(N49:N50)</f>
        <v>98896.460387002269</v>
      </c>
      <c r="O51" s="486">
        <f t="shared" si="13"/>
        <v>100868.65541068642</v>
      </c>
      <c r="P51" s="486">
        <f t="shared" si="13"/>
        <v>102184.98424357738</v>
      </c>
      <c r="Q51" s="486">
        <f t="shared" si="13"/>
        <v>103309.59571292657</v>
      </c>
      <c r="R51" s="486">
        <f t="shared" si="13"/>
        <v>104228.82862907935</v>
      </c>
      <c r="S51" s="486">
        <f>SUM(S49:S50)</f>
        <v>104732.36570343611</v>
      </c>
      <c r="T51" s="486">
        <f>SUM(T49:T50)</f>
        <v>105409.78523604618</v>
      </c>
      <c r="U51" s="254"/>
      <c r="V51" s="155"/>
    </row>
    <row r="52" spans="1:22" x14ac:dyDescent="0.25">
      <c r="A52" s="206" t="s">
        <v>302</v>
      </c>
      <c r="B52" s="175"/>
      <c r="C52" s="175"/>
      <c r="D52" s="175"/>
      <c r="E52" s="175"/>
      <c r="F52" s="533">
        <f t="shared" ref="F52:T52" si="14">SUM(F51,F43)</f>
        <v>171615</v>
      </c>
      <c r="G52" s="533">
        <f t="shared" si="14"/>
        <v>171797</v>
      </c>
      <c r="H52" s="533">
        <f t="shared" si="14"/>
        <v>159423</v>
      </c>
      <c r="I52" s="533">
        <f t="shared" si="14"/>
        <v>167488</v>
      </c>
      <c r="J52" s="533">
        <f t="shared" si="14"/>
        <v>154228</v>
      </c>
      <c r="K52" s="533">
        <f>SUM(K51,K43)</f>
        <v>181475</v>
      </c>
      <c r="L52" s="533">
        <f t="shared" si="14"/>
        <v>197203</v>
      </c>
      <c r="M52" s="534">
        <f t="shared" si="14"/>
        <v>209843.42682529727</v>
      </c>
      <c r="N52" s="534">
        <f t="shared" si="14"/>
        <v>208090.11325382072</v>
      </c>
      <c r="O52" s="534">
        <f t="shared" si="14"/>
        <v>205345.01721726821</v>
      </c>
      <c r="P52" s="534">
        <f t="shared" si="14"/>
        <v>205257.70444118837</v>
      </c>
      <c r="Q52" s="534">
        <f t="shared" si="14"/>
        <v>206456.18597802491</v>
      </c>
      <c r="R52" s="534">
        <f t="shared" si="14"/>
        <v>205911.84933263029</v>
      </c>
      <c r="S52" s="534">
        <f t="shared" si="14"/>
        <v>204021.7565610708</v>
      </c>
      <c r="T52" s="534">
        <f t="shared" si="14"/>
        <v>203551.94861171246</v>
      </c>
      <c r="U52" s="254"/>
      <c r="V52" s="155"/>
    </row>
    <row r="53" spans="1:22" x14ac:dyDescent="0.25">
      <c r="B53" s="2"/>
      <c r="C53" s="2"/>
      <c r="M53" s="204"/>
      <c r="N53" s="2"/>
    </row>
    <row r="54" spans="1:22" x14ac:dyDescent="0.25">
      <c r="B54" s="2"/>
      <c r="C54" s="2"/>
      <c r="M54" s="265"/>
      <c r="N54" s="265"/>
      <c r="O54" s="265"/>
      <c r="P54" s="265"/>
      <c r="Q54" s="265"/>
      <c r="R54" s="265"/>
      <c r="S54" s="265"/>
      <c r="T54" s="265"/>
    </row>
    <row r="55" spans="1:22" x14ac:dyDescent="0.25">
      <c r="B55" s="2"/>
      <c r="C55" s="2"/>
      <c r="F55" s="236"/>
      <c r="K55" s="264"/>
      <c r="N55" s="266"/>
      <c r="O55" s="266"/>
      <c r="P55" s="266"/>
      <c r="Q55" s="266"/>
      <c r="R55" s="266"/>
      <c r="S55" s="266"/>
      <c r="T55" s="266"/>
    </row>
    <row r="56" spans="1:22" x14ac:dyDescent="0.25">
      <c r="B56" s="2"/>
      <c r="C56" s="2"/>
    </row>
    <row r="57" spans="1:22" x14ac:dyDescent="0.25">
      <c r="B57" s="2"/>
      <c r="C57" s="2"/>
      <c r="F57" s="204"/>
      <c r="M57" s="204"/>
      <c r="N57" s="204"/>
      <c r="O57" s="204"/>
      <c r="P57" s="204"/>
      <c r="Q57" s="204"/>
      <c r="R57" s="204"/>
      <c r="S57" s="204"/>
      <c r="T57" s="204"/>
    </row>
    <row r="58" spans="1:22" x14ac:dyDescent="0.25">
      <c r="B58" s="2"/>
      <c r="C58" s="2"/>
    </row>
    <row r="59" spans="1:22" x14ac:dyDescent="0.25">
      <c r="B59" s="2"/>
      <c r="C59" s="2"/>
      <c r="M59" s="268"/>
      <c r="N59" s="269"/>
      <c r="O59" s="269"/>
      <c r="P59" s="269"/>
      <c r="Q59" s="266"/>
      <c r="R59" s="266"/>
      <c r="S59" s="266"/>
      <c r="T59" s="266"/>
    </row>
    <row r="60" spans="1:22" x14ac:dyDescent="0.25">
      <c r="B60" s="2"/>
      <c r="C60" s="2"/>
      <c r="M60" s="267"/>
      <c r="N60" s="267"/>
      <c r="O60" s="267"/>
      <c r="P60" s="267"/>
      <c r="Q60" s="267"/>
      <c r="R60" s="267"/>
      <c r="S60" s="267"/>
      <c r="T60" s="267"/>
    </row>
    <row r="61" spans="1:22" x14ac:dyDescent="0.25">
      <c r="B61" s="2"/>
      <c r="C61" s="2"/>
    </row>
    <row r="62" spans="1:22" x14ac:dyDescent="0.25">
      <c r="B62" s="2"/>
      <c r="C62" s="2"/>
    </row>
    <row r="63" spans="1:22" x14ac:dyDescent="0.25">
      <c r="B63" s="2"/>
      <c r="C63" s="2"/>
    </row>
    <row r="64" spans="1:22" x14ac:dyDescent="0.25">
      <c r="B64" s="2"/>
      <c r="C64" s="2"/>
    </row>
    <row r="65" spans="2:3" x14ac:dyDescent="0.25">
      <c r="B65" s="2"/>
      <c r="C65" s="2"/>
    </row>
    <row r="66" spans="2:3" x14ac:dyDescent="0.25">
      <c r="B66" s="2"/>
      <c r="C66" s="2"/>
    </row>
    <row r="67" spans="2:3" x14ac:dyDescent="0.25">
      <c r="B67" s="2"/>
      <c r="C67" s="2"/>
    </row>
    <row r="68" spans="2:3" x14ac:dyDescent="0.25">
      <c r="B68" s="2"/>
      <c r="C68" s="2"/>
    </row>
    <row r="69" spans="2:3" x14ac:dyDescent="0.25">
      <c r="B69" s="2"/>
      <c r="C69" s="2"/>
    </row>
    <row r="70" spans="2:3" x14ac:dyDescent="0.25">
      <c r="B70" s="2"/>
      <c r="C70" s="2"/>
    </row>
    <row r="71" spans="2:3" x14ac:dyDescent="0.25">
      <c r="B71" s="2"/>
      <c r="C71" s="2"/>
    </row>
    <row r="72" spans="2:3" x14ac:dyDescent="0.25">
      <c r="B72" s="2"/>
      <c r="C72" s="2"/>
    </row>
    <row r="73" spans="2:3" x14ac:dyDescent="0.25">
      <c r="B73" s="2"/>
      <c r="C73" s="2"/>
    </row>
    <row r="74" spans="2:3" x14ac:dyDescent="0.25">
      <c r="B74" s="2"/>
      <c r="C74" s="2"/>
    </row>
    <row r="75" spans="2:3" x14ac:dyDescent="0.25">
      <c r="B75" s="2"/>
      <c r="C75" s="2"/>
    </row>
    <row r="76" spans="2:3" x14ac:dyDescent="0.25">
      <c r="B76" s="2"/>
      <c r="C76" s="2"/>
    </row>
    <row r="77" spans="2:3" x14ac:dyDescent="0.25">
      <c r="B77" s="2"/>
      <c r="C77" s="2"/>
    </row>
    <row r="78" spans="2:3" x14ac:dyDescent="0.25">
      <c r="B78" s="2"/>
      <c r="C78" s="2"/>
    </row>
    <row r="79" spans="2:3" x14ac:dyDescent="0.25">
      <c r="B79" s="2"/>
      <c r="C79" s="2"/>
    </row>
    <row r="80" spans="2:3" x14ac:dyDescent="0.25">
      <c r="B80" s="2"/>
      <c r="C80" s="2"/>
    </row>
    <row r="81" spans="2:3" x14ac:dyDescent="0.25">
      <c r="B81" s="2"/>
      <c r="C81" s="2"/>
    </row>
    <row r="82" spans="2:3" x14ac:dyDescent="0.25">
      <c r="B82" s="2"/>
      <c r="C82" s="2"/>
    </row>
    <row r="83" spans="2:3" x14ac:dyDescent="0.25">
      <c r="B83" s="2"/>
      <c r="C83" s="2"/>
    </row>
    <row r="84" spans="2:3" x14ac:dyDescent="0.25">
      <c r="B84" s="2"/>
      <c r="C84" s="2"/>
    </row>
    <row r="85" spans="2:3" x14ac:dyDescent="0.25">
      <c r="B85" s="2"/>
      <c r="C85" s="2"/>
    </row>
    <row r="86" spans="2:3" x14ac:dyDescent="0.25">
      <c r="B86" s="2"/>
      <c r="C86" s="2"/>
    </row>
    <row r="87" spans="2:3" x14ac:dyDescent="0.25">
      <c r="B87" s="2"/>
      <c r="C87" s="2"/>
    </row>
    <row r="88" spans="2:3" x14ac:dyDescent="0.25">
      <c r="B88" s="2"/>
      <c r="C88" s="2"/>
    </row>
    <row r="89" spans="2:3" x14ac:dyDescent="0.25">
      <c r="B89" s="2"/>
      <c r="C89" s="2"/>
    </row>
    <row r="90" spans="2:3" x14ac:dyDescent="0.25">
      <c r="B90" s="2"/>
      <c r="C90" s="2"/>
    </row>
    <row r="91" spans="2:3" x14ac:dyDescent="0.25">
      <c r="B91" s="2"/>
      <c r="C91" s="2"/>
    </row>
    <row r="92" spans="2:3" x14ac:dyDescent="0.25">
      <c r="B92" s="2"/>
      <c r="C92" s="2"/>
    </row>
    <row r="93" spans="2:3" x14ac:dyDescent="0.25">
      <c r="B93" s="2"/>
      <c r="C93" s="2"/>
    </row>
    <row r="94" spans="2:3" x14ac:dyDescent="0.25">
      <c r="B94" s="2"/>
      <c r="C94" s="2"/>
    </row>
    <row r="95" spans="2:3" x14ac:dyDescent="0.25">
      <c r="B95" s="2"/>
      <c r="C95" s="2"/>
    </row>
    <row r="96" spans="2:3" x14ac:dyDescent="0.25">
      <c r="B96" s="2"/>
      <c r="C96" s="2"/>
    </row>
    <row r="97" spans="2:3" x14ac:dyDescent="0.25">
      <c r="B97" s="2"/>
      <c r="C97" s="2"/>
    </row>
    <row r="98" spans="2:3" x14ac:dyDescent="0.25">
      <c r="B98" s="2"/>
      <c r="C98" s="2"/>
    </row>
    <row r="99" spans="2:3" x14ac:dyDescent="0.25">
      <c r="B99" s="2"/>
      <c r="C99" s="2"/>
    </row>
    <row r="100" spans="2:3" x14ac:dyDescent="0.25">
      <c r="B100" s="2"/>
      <c r="C100" s="2"/>
    </row>
    <row r="101" spans="2:3" x14ac:dyDescent="0.25">
      <c r="B101" s="2"/>
      <c r="C101" s="2"/>
    </row>
    <row r="102" spans="2:3" x14ac:dyDescent="0.25">
      <c r="B102" s="2"/>
      <c r="C102" s="2"/>
    </row>
    <row r="103" spans="2:3" x14ac:dyDescent="0.25">
      <c r="B103" s="2"/>
      <c r="C103" s="2"/>
    </row>
    <row r="104" spans="2:3" x14ac:dyDescent="0.25">
      <c r="B104" s="2"/>
      <c r="C104" s="2"/>
    </row>
    <row r="105" spans="2:3" x14ac:dyDescent="0.25">
      <c r="B105" s="2"/>
      <c r="C105" s="2"/>
    </row>
    <row r="106" spans="2:3" x14ac:dyDescent="0.25">
      <c r="B106" s="2"/>
      <c r="C106" s="2"/>
    </row>
    <row r="107" spans="2:3" x14ac:dyDescent="0.25">
      <c r="B107" s="2"/>
      <c r="C107" s="2"/>
    </row>
    <row r="108" spans="2:3" x14ac:dyDescent="0.25">
      <c r="B108" s="2"/>
      <c r="C108" s="2"/>
    </row>
    <row r="109" spans="2:3" x14ac:dyDescent="0.25">
      <c r="B109" s="2"/>
      <c r="C109" s="2"/>
    </row>
    <row r="110" spans="2:3" x14ac:dyDescent="0.25">
      <c r="B110" s="2"/>
      <c r="C110" s="2"/>
    </row>
    <row r="111" spans="2:3" x14ac:dyDescent="0.25">
      <c r="B111" s="2"/>
      <c r="C111" s="2"/>
    </row>
    <row r="112" spans="2:3" x14ac:dyDescent="0.25">
      <c r="B112" s="2"/>
      <c r="C112" s="2"/>
    </row>
    <row r="113" spans="2:3" x14ac:dyDescent="0.25">
      <c r="B113" s="2"/>
      <c r="C113" s="2"/>
    </row>
    <row r="114" spans="2:3" x14ac:dyDescent="0.25">
      <c r="B114" s="2"/>
      <c r="C114" s="2"/>
    </row>
    <row r="115" spans="2:3" x14ac:dyDescent="0.25">
      <c r="B115" s="2"/>
      <c r="C115" s="2"/>
    </row>
    <row r="116" spans="2:3" x14ac:dyDescent="0.25">
      <c r="B116" s="2"/>
      <c r="C116" s="2"/>
    </row>
    <row r="117" spans="2:3" x14ac:dyDescent="0.25">
      <c r="B117" s="2"/>
      <c r="C117" s="2"/>
    </row>
    <row r="118" spans="2:3" x14ac:dyDescent="0.25">
      <c r="B118" s="2"/>
      <c r="C118" s="2"/>
    </row>
    <row r="119" spans="2:3" x14ac:dyDescent="0.25">
      <c r="B119" s="2"/>
      <c r="C119" s="2"/>
    </row>
    <row r="120" spans="2:3" x14ac:dyDescent="0.25">
      <c r="B120" s="2"/>
      <c r="C120" s="2"/>
    </row>
    <row r="121" spans="2:3" x14ac:dyDescent="0.25">
      <c r="B121" s="2"/>
      <c r="C121" s="2"/>
    </row>
    <row r="122" spans="2:3" x14ac:dyDescent="0.25">
      <c r="B122" s="2"/>
      <c r="C122" s="2"/>
    </row>
    <row r="123" spans="2:3" x14ac:dyDescent="0.25">
      <c r="B123" s="2"/>
      <c r="C123" s="2"/>
    </row>
    <row r="124" spans="2:3" x14ac:dyDescent="0.25">
      <c r="B124" s="2"/>
      <c r="C124" s="2"/>
    </row>
    <row r="125" spans="2:3" x14ac:dyDescent="0.25">
      <c r="B125" s="2"/>
      <c r="C125" s="2"/>
    </row>
    <row r="126" spans="2:3" x14ac:dyDescent="0.25">
      <c r="B126" s="2"/>
      <c r="C126" s="2"/>
    </row>
    <row r="127" spans="2:3" x14ac:dyDescent="0.25">
      <c r="B127" s="2"/>
      <c r="C127" s="2"/>
    </row>
    <row r="128" spans="2:3" x14ac:dyDescent="0.25">
      <c r="B128" s="2"/>
      <c r="C128" s="2"/>
    </row>
    <row r="129" spans="2:3" x14ac:dyDescent="0.25">
      <c r="B129" s="2"/>
      <c r="C129" s="2"/>
    </row>
    <row r="130" spans="2:3" x14ac:dyDescent="0.25">
      <c r="B130" s="2"/>
      <c r="C130" s="2"/>
    </row>
    <row r="131" spans="2:3" x14ac:dyDescent="0.25">
      <c r="B131" s="2"/>
      <c r="C131" s="2"/>
    </row>
    <row r="132" spans="2:3" x14ac:dyDescent="0.25">
      <c r="B132" s="2"/>
      <c r="C132" s="2"/>
    </row>
    <row r="133" spans="2:3" x14ac:dyDescent="0.25">
      <c r="B133" s="2"/>
      <c r="C133" s="2"/>
    </row>
    <row r="134" spans="2:3" x14ac:dyDescent="0.25">
      <c r="B134" s="2"/>
      <c r="C134" s="2"/>
    </row>
    <row r="135" spans="2:3" x14ac:dyDescent="0.25">
      <c r="B135" s="2"/>
      <c r="C135" s="2"/>
    </row>
    <row r="136" spans="2:3" x14ac:dyDescent="0.25">
      <c r="B136" s="2"/>
      <c r="C136" s="2"/>
    </row>
    <row r="137" spans="2:3" x14ac:dyDescent="0.25">
      <c r="B137" s="2"/>
      <c r="C137" s="2"/>
    </row>
    <row r="138" spans="2:3" x14ac:dyDescent="0.25">
      <c r="B138" s="2"/>
      <c r="C138" s="2"/>
    </row>
    <row r="139" spans="2:3" x14ac:dyDescent="0.25">
      <c r="B139" s="2"/>
      <c r="C139" s="2"/>
    </row>
    <row r="140" spans="2:3" x14ac:dyDescent="0.25">
      <c r="B140" s="2"/>
      <c r="C140" s="2"/>
    </row>
    <row r="141" spans="2:3" x14ac:dyDescent="0.25">
      <c r="B141" s="2"/>
      <c r="C141" s="2"/>
    </row>
    <row r="142" spans="2:3" x14ac:dyDescent="0.25">
      <c r="B142" s="2"/>
      <c r="C142" s="2"/>
    </row>
    <row r="143" spans="2:3" x14ac:dyDescent="0.25">
      <c r="B143" s="2"/>
      <c r="C143" s="2"/>
    </row>
    <row r="144" spans="2:3" x14ac:dyDescent="0.25">
      <c r="B144" s="2"/>
      <c r="C144" s="2"/>
    </row>
    <row r="145" spans="2:3" x14ac:dyDescent="0.25">
      <c r="B145" s="2"/>
      <c r="C145" s="2"/>
    </row>
    <row r="146" spans="2:3" x14ac:dyDescent="0.25">
      <c r="B146" s="2"/>
      <c r="C146" s="2"/>
    </row>
    <row r="147" spans="2:3" x14ac:dyDescent="0.25">
      <c r="B147" s="2"/>
      <c r="C147" s="2"/>
    </row>
    <row r="148" spans="2:3" x14ac:dyDescent="0.25">
      <c r="B148" s="2"/>
      <c r="C148" s="2"/>
    </row>
    <row r="149" spans="2:3" x14ac:dyDescent="0.25">
      <c r="B149" s="2"/>
      <c r="C149" s="2"/>
    </row>
    <row r="150" spans="2:3" x14ac:dyDescent="0.25">
      <c r="B150" s="2"/>
      <c r="C150" s="2"/>
    </row>
    <row r="151" spans="2:3" x14ac:dyDescent="0.25">
      <c r="B151" s="2"/>
      <c r="C151" s="2"/>
    </row>
    <row r="152" spans="2:3" x14ac:dyDescent="0.25">
      <c r="B152" s="2"/>
      <c r="C152" s="2"/>
    </row>
    <row r="153" spans="2:3" x14ac:dyDescent="0.25">
      <c r="B153" s="2"/>
      <c r="C153" s="2"/>
    </row>
    <row r="154" spans="2:3" x14ac:dyDescent="0.25">
      <c r="B154" s="2"/>
      <c r="C154" s="2"/>
    </row>
    <row r="155" spans="2:3" x14ac:dyDescent="0.25">
      <c r="B155" s="2"/>
      <c r="C155" s="2"/>
    </row>
    <row r="156" spans="2:3" x14ac:dyDescent="0.25">
      <c r="B156" s="2"/>
      <c r="C156" s="2"/>
    </row>
    <row r="157" spans="2:3" x14ac:dyDescent="0.25">
      <c r="B157" s="2"/>
      <c r="C157" s="2"/>
    </row>
    <row r="158" spans="2:3" x14ac:dyDescent="0.25">
      <c r="B158" s="2"/>
      <c r="C158" s="2"/>
    </row>
    <row r="159" spans="2:3" x14ac:dyDescent="0.25">
      <c r="B159" s="2"/>
      <c r="C159" s="2"/>
    </row>
    <row r="160" spans="2:3" x14ac:dyDescent="0.25">
      <c r="B160" s="2"/>
      <c r="C160" s="2"/>
    </row>
    <row r="161" spans="2:3" x14ac:dyDescent="0.25">
      <c r="B161" s="2"/>
      <c r="C161" s="2"/>
    </row>
    <row r="162" spans="2:3" x14ac:dyDescent="0.25">
      <c r="B162" s="2"/>
      <c r="C162" s="2"/>
    </row>
    <row r="163" spans="2:3" x14ac:dyDescent="0.25">
      <c r="B163" s="2"/>
      <c r="C163" s="2"/>
    </row>
    <row r="164" spans="2:3" x14ac:dyDescent="0.25">
      <c r="B164" s="2"/>
      <c r="C164" s="2"/>
    </row>
    <row r="165" spans="2:3" x14ac:dyDescent="0.25">
      <c r="B165" s="2"/>
      <c r="C165" s="2"/>
    </row>
    <row r="166" spans="2:3" x14ac:dyDescent="0.25">
      <c r="B166" s="2"/>
      <c r="C166" s="2"/>
    </row>
    <row r="167" spans="2:3" x14ac:dyDescent="0.25">
      <c r="B167" s="2"/>
      <c r="C167" s="2"/>
    </row>
    <row r="168" spans="2:3" x14ac:dyDescent="0.25">
      <c r="B168" s="2"/>
      <c r="C168" s="2"/>
    </row>
    <row r="169" spans="2:3" x14ac:dyDescent="0.25">
      <c r="B169" s="2"/>
      <c r="C169" s="2"/>
    </row>
    <row r="170" spans="2:3" x14ac:dyDescent="0.25">
      <c r="B170" s="2"/>
      <c r="C170" s="2"/>
    </row>
    <row r="171" spans="2:3" x14ac:dyDescent="0.25">
      <c r="B171" s="2"/>
      <c r="C171" s="2"/>
    </row>
    <row r="172" spans="2:3" x14ac:dyDescent="0.25">
      <c r="B172" s="2"/>
      <c r="C172" s="2"/>
    </row>
    <row r="173" spans="2:3" x14ac:dyDescent="0.25">
      <c r="B173" s="2"/>
      <c r="C173" s="2"/>
    </row>
    <row r="174" spans="2:3" x14ac:dyDescent="0.25">
      <c r="B174" s="2"/>
      <c r="C174" s="2"/>
    </row>
    <row r="175" spans="2:3" x14ac:dyDescent="0.25">
      <c r="B175" s="2"/>
      <c r="C175" s="2"/>
    </row>
    <row r="176" spans="2:3" x14ac:dyDescent="0.25">
      <c r="B176" s="2"/>
      <c r="C176" s="2"/>
    </row>
    <row r="177" spans="2:3" x14ac:dyDescent="0.25">
      <c r="B177" s="2"/>
      <c r="C177" s="2"/>
    </row>
    <row r="178" spans="2:3" x14ac:dyDescent="0.25">
      <c r="B178" s="2"/>
      <c r="C178" s="2"/>
    </row>
    <row r="179" spans="2:3" x14ac:dyDescent="0.25">
      <c r="B179" s="2"/>
      <c r="C179" s="2"/>
    </row>
    <row r="180" spans="2:3" x14ac:dyDescent="0.25">
      <c r="B180" s="2"/>
      <c r="C180" s="2"/>
    </row>
    <row r="181" spans="2:3" x14ac:dyDescent="0.25">
      <c r="B181" s="2"/>
      <c r="C181" s="2"/>
    </row>
    <row r="182" spans="2:3" x14ac:dyDescent="0.25">
      <c r="B182" s="2"/>
      <c r="C182" s="2"/>
    </row>
    <row r="183" spans="2:3" x14ac:dyDescent="0.25">
      <c r="B183" s="2"/>
      <c r="C183" s="2"/>
    </row>
    <row r="184" spans="2:3" x14ac:dyDescent="0.25">
      <c r="B184" s="2"/>
      <c r="C184" s="2"/>
    </row>
    <row r="185" spans="2:3" x14ac:dyDescent="0.25">
      <c r="B185" s="2"/>
      <c r="C185" s="2"/>
    </row>
    <row r="186" spans="2:3" x14ac:dyDescent="0.25">
      <c r="B186" s="2"/>
      <c r="C186" s="2"/>
    </row>
    <row r="187" spans="2:3" x14ac:dyDescent="0.25">
      <c r="B187" s="2"/>
      <c r="C187" s="2"/>
    </row>
    <row r="188" spans="2:3" x14ac:dyDescent="0.25">
      <c r="B188" s="2"/>
      <c r="C188" s="2"/>
    </row>
    <row r="189" spans="2:3" x14ac:dyDescent="0.25">
      <c r="B189" s="2"/>
      <c r="C189" s="2"/>
    </row>
    <row r="190" spans="2:3" x14ac:dyDescent="0.25">
      <c r="B190" s="2"/>
      <c r="C190" s="2"/>
    </row>
    <row r="191" spans="2:3" x14ac:dyDescent="0.25">
      <c r="B191" s="2"/>
      <c r="C191" s="2"/>
    </row>
    <row r="192" spans="2:3" x14ac:dyDescent="0.25">
      <c r="B192" s="2"/>
      <c r="C192" s="2"/>
    </row>
    <row r="193" spans="2:3" x14ac:dyDescent="0.25">
      <c r="B193" s="2"/>
      <c r="C193" s="2"/>
    </row>
    <row r="194" spans="2:3" x14ac:dyDescent="0.25">
      <c r="B194" s="2"/>
      <c r="C194" s="2"/>
    </row>
    <row r="195" spans="2:3" x14ac:dyDescent="0.25">
      <c r="B195" s="2"/>
      <c r="C195" s="2"/>
    </row>
    <row r="196" spans="2:3" x14ac:dyDescent="0.25">
      <c r="B196" s="2"/>
      <c r="C196" s="2"/>
    </row>
    <row r="197" spans="2:3" x14ac:dyDescent="0.25">
      <c r="B197" s="2"/>
      <c r="C197" s="2"/>
    </row>
    <row r="198" spans="2:3" x14ac:dyDescent="0.25">
      <c r="B198" s="2"/>
      <c r="C198" s="2"/>
    </row>
    <row r="199" spans="2:3" x14ac:dyDescent="0.25">
      <c r="B199" s="2"/>
      <c r="C199" s="2"/>
    </row>
    <row r="200" spans="2:3" x14ac:dyDescent="0.25">
      <c r="B200" s="2"/>
      <c r="C200" s="2"/>
    </row>
    <row r="201" spans="2:3" x14ac:dyDescent="0.25">
      <c r="B201" s="2"/>
      <c r="C201" s="2"/>
    </row>
    <row r="202" spans="2:3" x14ac:dyDescent="0.25">
      <c r="B202" s="2"/>
      <c r="C202" s="2"/>
    </row>
    <row r="203" spans="2:3" x14ac:dyDescent="0.25">
      <c r="B203" s="2"/>
      <c r="C203" s="2"/>
    </row>
    <row r="204" spans="2:3" x14ac:dyDescent="0.25">
      <c r="B204" s="2"/>
      <c r="C204" s="2"/>
    </row>
    <row r="205" spans="2:3" x14ac:dyDescent="0.25">
      <c r="B205" s="2"/>
      <c r="C205" s="2"/>
    </row>
    <row r="206" spans="2:3" x14ac:dyDescent="0.25">
      <c r="B206" s="2"/>
      <c r="C206" s="2"/>
    </row>
    <row r="207" spans="2:3" x14ac:dyDescent="0.25">
      <c r="B207" s="2"/>
      <c r="C207" s="2"/>
    </row>
    <row r="208" spans="2:3" x14ac:dyDescent="0.25">
      <c r="B208" s="2"/>
      <c r="C208" s="2"/>
    </row>
    <row r="209" spans="2:3" x14ac:dyDescent="0.25">
      <c r="B209" s="2"/>
      <c r="C209" s="2"/>
    </row>
    <row r="210" spans="2:3" x14ac:dyDescent="0.25">
      <c r="B210" s="2"/>
      <c r="C210" s="2"/>
    </row>
    <row r="211" spans="2:3" x14ac:dyDescent="0.25">
      <c r="B211" s="2"/>
      <c r="C211" s="2"/>
    </row>
    <row r="212" spans="2:3" x14ac:dyDescent="0.25">
      <c r="B212" s="2"/>
      <c r="C212" s="2"/>
    </row>
    <row r="213" spans="2:3" x14ac:dyDescent="0.25">
      <c r="B213" s="2"/>
      <c r="C213" s="2"/>
    </row>
    <row r="214" spans="2:3" x14ac:dyDescent="0.25">
      <c r="B214" s="2"/>
      <c r="C214" s="2"/>
    </row>
    <row r="215" spans="2:3" x14ac:dyDescent="0.25">
      <c r="B215" s="2"/>
      <c r="C215" s="2"/>
    </row>
    <row r="216" spans="2:3" x14ac:dyDescent="0.25">
      <c r="B216" s="2"/>
      <c r="C216" s="2"/>
    </row>
    <row r="217" spans="2:3" x14ac:dyDescent="0.25">
      <c r="B217" s="2"/>
      <c r="C217" s="2"/>
    </row>
    <row r="218" spans="2:3" x14ac:dyDescent="0.25">
      <c r="B218" s="2"/>
      <c r="C218" s="2"/>
    </row>
    <row r="219" spans="2:3" x14ac:dyDescent="0.25">
      <c r="B219" s="2"/>
      <c r="C219" s="2"/>
    </row>
    <row r="220" spans="2:3" x14ac:dyDescent="0.25">
      <c r="B220" s="2"/>
      <c r="C220" s="2"/>
    </row>
    <row r="221" spans="2:3" x14ac:dyDescent="0.25">
      <c r="B221" s="2"/>
      <c r="C221" s="2"/>
    </row>
    <row r="222" spans="2:3" x14ac:dyDescent="0.25">
      <c r="B222" s="2"/>
      <c r="C222" s="2"/>
    </row>
    <row r="223" spans="2:3" x14ac:dyDescent="0.25">
      <c r="B223" s="2"/>
      <c r="C223" s="2"/>
    </row>
    <row r="224" spans="2:3" x14ac:dyDescent="0.25">
      <c r="B224" s="2"/>
      <c r="C224" s="2"/>
    </row>
    <row r="225" spans="2:3" x14ac:dyDescent="0.25">
      <c r="B225" s="2"/>
      <c r="C225" s="2"/>
    </row>
    <row r="226" spans="2:3" x14ac:dyDescent="0.25">
      <c r="B226" s="2"/>
      <c r="C226" s="2"/>
    </row>
    <row r="227" spans="2:3" x14ac:dyDescent="0.25">
      <c r="B227" s="2"/>
      <c r="C227" s="2"/>
    </row>
    <row r="228" spans="2:3" x14ac:dyDescent="0.25">
      <c r="B228" s="2"/>
      <c r="C228" s="2"/>
    </row>
    <row r="229" spans="2:3" x14ac:dyDescent="0.25">
      <c r="B229" s="2"/>
      <c r="C229" s="2"/>
    </row>
    <row r="230" spans="2:3" x14ac:dyDescent="0.25">
      <c r="B230" s="2"/>
      <c r="C230" s="2"/>
    </row>
    <row r="231" spans="2:3" x14ac:dyDescent="0.25">
      <c r="B231" s="2"/>
      <c r="C231" s="2"/>
    </row>
    <row r="232" spans="2:3" x14ac:dyDescent="0.25">
      <c r="B232" s="2"/>
      <c r="C232" s="2"/>
    </row>
    <row r="233" spans="2:3" x14ac:dyDescent="0.25">
      <c r="B233" s="2"/>
      <c r="C233" s="2"/>
    </row>
    <row r="234" spans="2:3" x14ac:dyDescent="0.25">
      <c r="B234" s="2"/>
      <c r="C234" s="2"/>
    </row>
    <row r="235" spans="2:3" x14ac:dyDescent="0.25">
      <c r="B235" s="2"/>
      <c r="C235" s="2"/>
    </row>
    <row r="236" spans="2:3" x14ac:dyDescent="0.25">
      <c r="B236" s="2"/>
      <c r="C236" s="2"/>
    </row>
    <row r="237" spans="2:3" x14ac:dyDescent="0.25">
      <c r="B237" s="2"/>
      <c r="C237" s="2"/>
    </row>
    <row r="238" spans="2:3" x14ac:dyDescent="0.25">
      <c r="B238" s="2"/>
      <c r="C238" s="2"/>
    </row>
    <row r="239" spans="2:3" x14ac:dyDescent="0.25">
      <c r="B239" s="2"/>
      <c r="C239" s="2"/>
    </row>
    <row r="240" spans="2:3" x14ac:dyDescent="0.25">
      <c r="B240" s="2"/>
      <c r="C240" s="2"/>
    </row>
    <row r="241" spans="2:3" x14ac:dyDescent="0.25">
      <c r="B241" s="2"/>
      <c r="C241" s="2"/>
    </row>
    <row r="242" spans="2:3" x14ac:dyDescent="0.25">
      <c r="B242" s="2"/>
      <c r="C242" s="2"/>
    </row>
    <row r="243" spans="2:3" x14ac:dyDescent="0.25">
      <c r="B243" s="2"/>
      <c r="C243" s="2"/>
    </row>
    <row r="244" spans="2:3" x14ac:dyDescent="0.25">
      <c r="B244" s="2"/>
      <c r="C244" s="2"/>
    </row>
    <row r="245" spans="2:3" x14ac:dyDescent="0.25">
      <c r="B245" s="2"/>
      <c r="C245" s="2"/>
    </row>
    <row r="246" spans="2:3" x14ac:dyDescent="0.25">
      <c r="B246" s="2"/>
      <c r="C246" s="2"/>
    </row>
    <row r="247" spans="2:3" x14ac:dyDescent="0.25">
      <c r="B247" s="2"/>
      <c r="C247" s="2"/>
    </row>
    <row r="248" spans="2:3" x14ac:dyDescent="0.25">
      <c r="B248" s="2"/>
      <c r="C248" s="2"/>
    </row>
    <row r="249" spans="2:3" x14ac:dyDescent="0.25">
      <c r="B249" s="2"/>
      <c r="C249" s="2"/>
    </row>
    <row r="250" spans="2:3" x14ac:dyDescent="0.25">
      <c r="B250" s="2"/>
      <c r="C250" s="2"/>
    </row>
    <row r="251" spans="2:3" x14ac:dyDescent="0.25">
      <c r="B251" s="2"/>
      <c r="C251" s="2"/>
    </row>
    <row r="252" spans="2:3" x14ac:dyDescent="0.25">
      <c r="B252" s="2"/>
      <c r="C252" s="2"/>
    </row>
    <row r="253" spans="2:3" x14ac:dyDescent="0.25">
      <c r="B253" s="2"/>
      <c r="C253" s="2"/>
    </row>
    <row r="254" spans="2:3" x14ac:dyDescent="0.25">
      <c r="B254" s="2"/>
      <c r="C254" s="2"/>
    </row>
    <row r="255" spans="2:3" x14ac:dyDescent="0.25">
      <c r="B255" s="2"/>
      <c r="C255" s="2"/>
    </row>
    <row r="256" spans="2:3" x14ac:dyDescent="0.25">
      <c r="B256" s="2"/>
      <c r="C256" s="2"/>
    </row>
    <row r="257" spans="2:3" x14ac:dyDescent="0.25">
      <c r="B257" s="2"/>
      <c r="C257" s="2"/>
    </row>
    <row r="258" spans="2:3" x14ac:dyDescent="0.25">
      <c r="B258" s="2"/>
      <c r="C258" s="2"/>
    </row>
    <row r="259" spans="2:3" x14ac:dyDescent="0.25">
      <c r="B259" s="2"/>
      <c r="C259" s="2"/>
    </row>
    <row r="260" spans="2:3" x14ac:dyDescent="0.25">
      <c r="B260" s="2"/>
      <c r="C260" s="2"/>
    </row>
    <row r="261" spans="2:3" x14ac:dyDescent="0.25">
      <c r="B261" s="2"/>
      <c r="C261" s="2"/>
    </row>
    <row r="262" spans="2:3" x14ac:dyDescent="0.25">
      <c r="B262" s="2"/>
      <c r="C262" s="2"/>
    </row>
    <row r="263" spans="2:3" x14ac:dyDescent="0.25">
      <c r="B263" s="2"/>
      <c r="C263" s="2"/>
    </row>
    <row r="264" spans="2:3" x14ac:dyDescent="0.25">
      <c r="B264" s="2"/>
      <c r="C264" s="2"/>
    </row>
    <row r="265" spans="2:3" x14ac:dyDescent="0.25">
      <c r="B265" s="2"/>
      <c r="C265" s="2"/>
    </row>
    <row r="266" spans="2:3" x14ac:dyDescent="0.25">
      <c r="B266" s="2"/>
      <c r="C266" s="2"/>
    </row>
    <row r="267" spans="2:3" x14ac:dyDescent="0.25">
      <c r="B267" s="2"/>
      <c r="C267" s="2"/>
    </row>
    <row r="268" spans="2:3" x14ac:dyDescent="0.25">
      <c r="B268" s="2"/>
      <c r="C268" s="2"/>
    </row>
    <row r="269" spans="2:3" x14ac:dyDescent="0.25">
      <c r="B269" s="2"/>
      <c r="C269" s="2"/>
    </row>
    <row r="270" spans="2:3" x14ac:dyDescent="0.25">
      <c r="B270" s="2"/>
      <c r="C270" s="2"/>
    </row>
    <row r="271" spans="2:3" x14ac:dyDescent="0.25">
      <c r="B271" s="2"/>
      <c r="C271" s="2"/>
    </row>
    <row r="272" spans="2:3" x14ac:dyDescent="0.25">
      <c r="B272" s="2"/>
      <c r="C272" s="2"/>
    </row>
    <row r="273" spans="2:3" x14ac:dyDescent="0.25">
      <c r="B273" s="2"/>
      <c r="C273" s="2"/>
    </row>
    <row r="274" spans="2:3" x14ac:dyDescent="0.25">
      <c r="B274" s="2"/>
      <c r="C274" s="2"/>
    </row>
    <row r="275" spans="2:3" x14ac:dyDescent="0.25">
      <c r="B275" s="2"/>
      <c r="C275" s="2"/>
    </row>
    <row r="276" spans="2:3" x14ac:dyDescent="0.25">
      <c r="B276" s="2"/>
      <c r="C276" s="2"/>
    </row>
    <row r="277" spans="2:3" x14ac:dyDescent="0.25">
      <c r="B277" s="2"/>
      <c r="C277" s="2"/>
    </row>
    <row r="278" spans="2:3" x14ac:dyDescent="0.25">
      <c r="B278" s="2"/>
      <c r="C278" s="2"/>
    </row>
    <row r="279" spans="2:3" x14ac:dyDescent="0.25">
      <c r="B279" s="2"/>
      <c r="C279" s="2"/>
    </row>
    <row r="280" spans="2:3" x14ac:dyDescent="0.25">
      <c r="B280" s="2"/>
      <c r="C280" s="2"/>
    </row>
    <row r="281" spans="2:3" x14ac:dyDescent="0.25">
      <c r="B281" s="2"/>
      <c r="C281" s="2"/>
    </row>
    <row r="282" spans="2:3" x14ac:dyDescent="0.25">
      <c r="B282" s="2"/>
      <c r="C282" s="2"/>
    </row>
    <row r="283" spans="2:3" x14ac:dyDescent="0.25">
      <c r="B283" s="2"/>
      <c r="C283" s="2"/>
    </row>
    <row r="284" spans="2:3" x14ac:dyDescent="0.25">
      <c r="B284" s="2"/>
      <c r="C284" s="2"/>
    </row>
    <row r="285" spans="2:3" x14ac:dyDescent="0.25">
      <c r="B285" s="2"/>
      <c r="C285" s="2"/>
    </row>
    <row r="286" spans="2:3" x14ac:dyDescent="0.25">
      <c r="B286" s="2"/>
      <c r="C286" s="2"/>
    </row>
    <row r="287" spans="2:3" x14ac:dyDescent="0.25">
      <c r="B287" s="2"/>
      <c r="C287" s="2"/>
    </row>
    <row r="288" spans="2:3" x14ac:dyDescent="0.25">
      <c r="B288" s="2"/>
      <c r="C288" s="2"/>
    </row>
    <row r="289" spans="2:3" x14ac:dyDescent="0.25">
      <c r="B289" s="2"/>
      <c r="C289" s="2"/>
    </row>
    <row r="290" spans="2:3" x14ac:dyDescent="0.25">
      <c r="B290" s="2"/>
      <c r="C290" s="2"/>
    </row>
    <row r="291" spans="2:3" x14ac:dyDescent="0.25">
      <c r="B291" s="2"/>
      <c r="C291" s="2"/>
    </row>
    <row r="292" spans="2:3" x14ac:dyDescent="0.25">
      <c r="B292" s="2"/>
      <c r="C292" s="2"/>
    </row>
    <row r="293" spans="2:3" x14ac:dyDescent="0.25">
      <c r="B293" s="2"/>
      <c r="C293" s="2"/>
    </row>
    <row r="294" spans="2:3" x14ac:dyDescent="0.25">
      <c r="B294" s="2"/>
      <c r="C294" s="2"/>
    </row>
    <row r="295" spans="2:3" x14ac:dyDescent="0.25">
      <c r="B295" s="2"/>
      <c r="C295" s="2"/>
    </row>
    <row r="296" spans="2:3" x14ac:dyDescent="0.25">
      <c r="B296" s="2"/>
      <c r="C296" s="2"/>
    </row>
    <row r="297" spans="2:3" x14ac:dyDescent="0.25">
      <c r="B297" s="2"/>
      <c r="C297" s="2"/>
    </row>
    <row r="298" spans="2:3" x14ac:dyDescent="0.25">
      <c r="B298" s="2"/>
      <c r="C298" s="2"/>
    </row>
    <row r="299" spans="2:3" x14ac:dyDescent="0.25">
      <c r="B299" s="2"/>
      <c r="C299" s="2"/>
    </row>
    <row r="300" spans="2:3" x14ac:dyDescent="0.25">
      <c r="B300" s="2"/>
      <c r="C300" s="2"/>
    </row>
    <row r="301" spans="2:3" x14ac:dyDescent="0.25">
      <c r="B301" s="2"/>
      <c r="C301" s="2"/>
    </row>
    <row r="302" spans="2:3" x14ac:dyDescent="0.25">
      <c r="B302" s="2"/>
      <c r="C302" s="2"/>
    </row>
    <row r="303" spans="2:3" x14ac:dyDescent="0.25">
      <c r="B303" s="2"/>
      <c r="C303" s="2"/>
    </row>
    <row r="304" spans="2:3" x14ac:dyDescent="0.25">
      <c r="B304" s="2"/>
      <c r="C304" s="2"/>
    </row>
    <row r="305" spans="2:3" x14ac:dyDescent="0.25">
      <c r="B305" s="2"/>
      <c r="C305" s="2"/>
    </row>
    <row r="306" spans="2:3" x14ac:dyDescent="0.25">
      <c r="B306" s="2"/>
      <c r="C306" s="2"/>
    </row>
    <row r="307" spans="2:3" x14ac:dyDescent="0.25">
      <c r="B307" s="2"/>
      <c r="C307" s="2"/>
    </row>
    <row r="308" spans="2:3" x14ac:dyDescent="0.25">
      <c r="B308" s="2"/>
      <c r="C308" s="2"/>
    </row>
    <row r="309" spans="2:3" x14ac:dyDescent="0.25">
      <c r="B309" s="2"/>
      <c r="C309" s="2"/>
    </row>
    <row r="310" spans="2:3" x14ac:dyDescent="0.25">
      <c r="B310" s="2"/>
      <c r="C310" s="2"/>
    </row>
    <row r="311" spans="2:3" x14ac:dyDescent="0.25">
      <c r="B311" s="2"/>
      <c r="C311" s="2"/>
    </row>
    <row r="312" spans="2:3" x14ac:dyDescent="0.25">
      <c r="B312" s="2"/>
      <c r="C312" s="2"/>
    </row>
    <row r="313" spans="2:3" x14ac:dyDescent="0.25">
      <c r="B313" s="2"/>
      <c r="C313" s="2"/>
    </row>
    <row r="314" spans="2:3" x14ac:dyDescent="0.25">
      <c r="B314" s="2"/>
      <c r="C314" s="2"/>
    </row>
    <row r="315" spans="2:3" x14ac:dyDescent="0.25">
      <c r="B315" s="2"/>
      <c r="C315" s="2"/>
    </row>
    <row r="316" spans="2:3" x14ac:dyDescent="0.25">
      <c r="B316" s="2"/>
      <c r="C316" s="2"/>
    </row>
    <row r="317" spans="2:3" x14ac:dyDescent="0.25">
      <c r="B317" s="2"/>
      <c r="C317" s="2"/>
    </row>
    <row r="318" spans="2:3" x14ac:dyDescent="0.25">
      <c r="B318" s="2"/>
      <c r="C318" s="2"/>
    </row>
    <row r="319" spans="2:3" x14ac:dyDescent="0.25">
      <c r="B319" s="2"/>
      <c r="C319" s="2"/>
    </row>
    <row r="320" spans="2:3" x14ac:dyDescent="0.25">
      <c r="B320" s="2"/>
      <c r="C320" s="2"/>
    </row>
    <row r="321" spans="2:3" x14ac:dyDescent="0.25">
      <c r="B321" s="2"/>
      <c r="C321" s="2"/>
    </row>
    <row r="322" spans="2:3" x14ac:dyDescent="0.25">
      <c r="B322" s="2"/>
      <c r="C322" s="2"/>
    </row>
    <row r="323" spans="2:3" x14ac:dyDescent="0.25">
      <c r="B323" s="2"/>
      <c r="C323" s="2"/>
    </row>
    <row r="324" spans="2:3" x14ac:dyDescent="0.25">
      <c r="B324" s="2"/>
      <c r="C324" s="2"/>
    </row>
    <row r="325" spans="2:3" x14ac:dyDescent="0.25">
      <c r="B325" s="2"/>
      <c r="C325" s="2"/>
    </row>
    <row r="326" spans="2:3" x14ac:dyDescent="0.25">
      <c r="B326" s="2"/>
      <c r="C326" s="2"/>
    </row>
    <row r="327" spans="2:3" x14ac:dyDescent="0.25">
      <c r="B327" s="2"/>
      <c r="C327" s="2"/>
    </row>
    <row r="328" spans="2:3" x14ac:dyDescent="0.25">
      <c r="B328" s="2"/>
      <c r="C328" s="2"/>
    </row>
    <row r="329" spans="2:3" x14ac:dyDescent="0.25">
      <c r="B329" s="2"/>
      <c r="C329" s="2"/>
    </row>
    <row r="330" spans="2:3" x14ac:dyDescent="0.25">
      <c r="B330" s="2"/>
      <c r="C330" s="2"/>
    </row>
    <row r="331" spans="2:3" x14ac:dyDescent="0.25">
      <c r="B331" s="2"/>
      <c r="C331" s="2"/>
    </row>
    <row r="332" spans="2:3" x14ac:dyDescent="0.25">
      <c r="B332" s="2"/>
      <c r="C332" s="2"/>
    </row>
    <row r="333" spans="2:3" x14ac:dyDescent="0.25">
      <c r="B333" s="2"/>
      <c r="C333" s="2"/>
    </row>
    <row r="334" spans="2:3" x14ac:dyDescent="0.25">
      <c r="B334" s="2"/>
      <c r="C334" s="2"/>
    </row>
    <row r="335" spans="2:3" x14ac:dyDescent="0.25">
      <c r="B335" s="2"/>
      <c r="C335" s="2"/>
    </row>
    <row r="336" spans="2:3" x14ac:dyDescent="0.25">
      <c r="B336" s="2"/>
      <c r="C336" s="2"/>
    </row>
    <row r="337" spans="2:3" x14ac:dyDescent="0.25">
      <c r="B337" s="2"/>
      <c r="C337" s="2"/>
    </row>
    <row r="338" spans="2:3" x14ac:dyDescent="0.25">
      <c r="B338" s="2"/>
      <c r="C338" s="2"/>
    </row>
    <row r="339" spans="2:3" x14ac:dyDescent="0.25">
      <c r="B339" s="2"/>
      <c r="C339" s="2"/>
    </row>
    <row r="340" spans="2:3" x14ac:dyDescent="0.25">
      <c r="B340" s="2"/>
      <c r="C340" s="2"/>
    </row>
    <row r="341" spans="2:3" x14ac:dyDescent="0.25">
      <c r="B341" s="2"/>
      <c r="C341" s="2"/>
    </row>
    <row r="342" spans="2:3" x14ac:dyDescent="0.25">
      <c r="B342" s="2"/>
      <c r="C342" s="2"/>
    </row>
    <row r="343" spans="2:3" x14ac:dyDescent="0.25">
      <c r="B343" s="2"/>
      <c r="C343" s="2"/>
    </row>
    <row r="344" spans="2:3" x14ac:dyDescent="0.25">
      <c r="B344" s="2"/>
      <c r="C344" s="2"/>
    </row>
    <row r="345" spans="2:3" x14ac:dyDescent="0.25">
      <c r="B345" s="2"/>
      <c r="C345" s="2"/>
    </row>
    <row r="346" spans="2:3" x14ac:dyDescent="0.25">
      <c r="B346" s="2"/>
      <c r="C346" s="2"/>
    </row>
    <row r="347" spans="2:3" x14ac:dyDescent="0.25">
      <c r="B347" s="2"/>
      <c r="C347" s="2"/>
    </row>
    <row r="348" spans="2:3" x14ac:dyDescent="0.25">
      <c r="B348" s="2"/>
      <c r="C348" s="2"/>
    </row>
    <row r="349" spans="2:3" x14ac:dyDescent="0.25">
      <c r="B349" s="2"/>
      <c r="C349" s="2"/>
    </row>
    <row r="350" spans="2:3" x14ac:dyDescent="0.25">
      <c r="B350" s="2"/>
      <c r="C350" s="2"/>
    </row>
    <row r="351" spans="2:3" x14ac:dyDescent="0.25">
      <c r="B351" s="2"/>
      <c r="C351" s="2"/>
    </row>
    <row r="352" spans="2:3" x14ac:dyDescent="0.25">
      <c r="B352" s="2"/>
      <c r="C352" s="2"/>
    </row>
    <row r="353" spans="2:3" x14ac:dyDescent="0.25">
      <c r="B353" s="2"/>
      <c r="C353" s="2"/>
    </row>
    <row r="354" spans="2:3" x14ac:dyDescent="0.25">
      <c r="B354" s="2"/>
      <c r="C354" s="2"/>
    </row>
    <row r="355" spans="2:3" x14ac:dyDescent="0.25">
      <c r="B355" s="2"/>
      <c r="C355" s="2"/>
    </row>
    <row r="356" spans="2:3" x14ac:dyDescent="0.25">
      <c r="B356" s="2"/>
      <c r="C356" s="2"/>
    </row>
    <row r="357" spans="2:3" x14ac:dyDescent="0.25">
      <c r="B357" s="2"/>
      <c r="C357" s="2"/>
    </row>
    <row r="358" spans="2:3" x14ac:dyDescent="0.25">
      <c r="B358" s="2"/>
      <c r="C358" s="2"/>
    </row>
    <row r="359" spans="2:3" x14ac:dyDescent="0.25">
      <c r="B359" s="2"/>
      <c r="C359" s="2"/>
    </row>
    <row r="360" spans="2:3" x14ac:dyDescent="0.25">
      <c r="B360" s="2"/>
      <c r="C360" s="2"/>
    </row>
    <row r="361" spans="2:3" x14ac:dyDescent="0.25">
      <c r="B361" s="2"/>
      <c r="C361" s="2"/>
    </row>
    <row r="362" spans="2:3" x14ac:dyDescent="0.25">
      <c r="B362" s="2"/>
      <c r="C362" s="2"/>
    </row>
    <row r="363" spans="2:3" x14ac:dyDescent="0.25">
      <c r="B363" s="2"/>
      <c r="C363" s="2"/>
    </row>
    <row r="364" spans="2:3" x14ac:dyDescent="0.25">
      <c r="B364" s="2"/>
      <c r="C364" s="2"/>
    </row>
    <row r="365" spans="2:3" x14ac:dyDescent="0.25">
      <c r="B365" s="2"/>
      <c r="C365" s="2"/>
    </row>
    <row r="366" spans="2:3" x14ac:dyDescent="0.25">
      <c r="B366" s="2"/>
      <c r="C366" s="2"/>
    </row>
    <row r="367" spans="2:3" x14ac:dyDescent="0.25">
      <c r="B367" s="2"/>
      <c r="C367" s="2"/>
    </row>
    <row r="368" spans="2:3" x14ac:dyDescent="0.25">
      <c r="B368" s="2"/>
      <c r="C368" s="2"/>
    </row>
    <row r="369" spans="2:3" x14ac:dyDescent="0.25">
      <c r="B369" s="2"/>
      <c r="C369" s="2"/>
    </row>
    <row r="370" spans="2:3" x14ac:dyDescent="0.25">
      <c r="B370" s="2"/>
      <c r="C370" s="2"/>
    </row>
    <row r="371" spans="2:3" x14ac:dyDescent="0.25">
      <c r="B371" s="2"/>
      <c r="C371" s="2"/>
    </row>
    <row r="372" spans="2:3" x14ac:dyDescent="0.25">
      <c r="B372" s="2"/>
      <c r="C372" s="2"/>
    </row>
    <row r="373" spans="2:3" x14ac:dyDescent="0.25">
      <c r="B373" s="2"/>
      <c r="C373" s="2"/>
    </row>
    <row r="374" spans="2:3" x14ac:dyDescent="0.25">
      <c r="B374" s="2"/>
      <c r="C374" s="2"/>
    </row>
    <row r="375" spans="2:3" x14ac:dyDescent="0.25">
      <c r="B375" s="2"/>
      <c r="C375" s="2"/>
    </row>
    <row r="376" spans="2:3" x14ac:dyDescent="0.25">
      <c r="B376" s="2"/>
      <c r="C376" s="2"/>
    </row>
    <row r="377" spans="2:3" x14ac:dyDescent="0.25">
      <c r="B377" s="2"/>
      <c r="C377" s="2"/>
    </row>
    <row r="378" spans="2:3" x14ac:dyDescent="0.25">
      <c r="B378" s="2"/>
      <c r="C378" s="2"/>
    </row>
    <row r="379" spans="2:3" x14ac:dyDescent="0.25">
      <c r="B379" s="2"/>
      <c r="C379" s="2"/>
    </row>
    <row r="380" spans="2:3" x14ac:dyDescent="0.25">
      <c r="B380" s="2"/>
      <c r="C380" s="2"/>
    </row>
    <row r="381" spans="2:3" x14ac:dyDescent="0.25">
      <c r="B381" s="2"/>
      <c r="C381" s="2"/>
    </row>
    <row r="382" spans="2:3" x14ac:dyDescent="0.25">
      <c r="B382" s="2"/>
      <c r="C382" s="2"/>
    </row>
    <row r="383" spans="2:3" x14ac:dyDescent="0.25">
      <c r="B383" s="2"/>
      <c r="C383" s="2"/>
    </row>
    <row r="384" spans="2:3" x14ac:dyDescent="0.25">
      <c r="B384" s="2"/>
      <c r="C384" s="2"/>
    </row>
    <row r="385" spans="2:3" x14ac:dyDescent="0.25">
      <c r="B385" s="2"/>
      <c r="C385" s="2"/>
    </row>
    <row r="386" spans="2:3" x14ac:dyDescent="0.25">
      <c r="B386" s="2"/>
      <c r="C386" s="2"/>
    </row>
    <row r="387" spans="2:3" x14ac:dyDescent="0.25">
      <c r="B387" s="2"/>
      <c r="C387" s="2"/>
    </row>
    <row r="388" spans="2:3" x14ac:dyDescent="0.25">
      <c r="B388" s="2"/>
      <c r="C388" s="2"/>
    </row>
    <row r="389" spans="2:3" x14ac:dyDescent="0.25">
      <c r="B389" s="2"/>
      <c r="C389" s="2"/>
    </row>
    <row r="390" spans="2:3" x14ac:dyDescent="0.25">
      <c r="B390" s="2"/>
      <c r="C390" s="2"/>
    </row>
    <row r="391" spans="2:3" x14ac:dyDescent="0.25">
      <c r="B391" s="2"/>
      <c r="C391" s="2"/>
    </row>
    <row r="392" spans="2:3" x14ac:dyDescent="0.25">
      <c r="B392" s="2"/>
      <c r="C392" s="2"/>
    </row>
    <row r="393" spans="2:3" x14ac:dyDescent="0.25">
      <c r="B393" s="2"/>
      <c r="C393" s="2"/>
    </row>
    <row r="394" spans="2:3" x14ac:dyDescent="0.25">
      <c r="B394" s="2"/>
      <c r="C394" s="2"/>
    </row>
    <row r="395" spans="2:3" x14ac:dyDescent="0.25">
      <c r="B395" s="2"/>
      <c r="C395" s="2"/>
    </row>
    <row r="396" spans="2:3" x14ac:dyDescent="0.25">
      <c r="B396" s="2"/>
      <c r="C396" s="2"/>
    </row>
    <row r="397" spans="2:3" x14ac:dyDescent="0.25">
      <c r="B397" s="2"/>
      <c r="C397" s="2"/>
    </row>
    <row r="398" spans="2:3" x14ac:dyDescent="0.25">
      <c r="B398" s="2"/>
      <c r="C398" s="2"/>
    </row>
    <row r="399" spans="2:3" x14ac:dyDescent="0.25">
      <c r="B399" s="2"/>
      <c r="C399" s="2"/>
    </row>
    <row r="400" spans="2:3" x14ac:dyDescent="0.25">
      <c r="B400" s="2"/>
      <c r="C400" s="2"/>
    </row>
    <row r="401" spans="2:3" x14ac:dyDescent="0.25">
      <c r="B401" s="2"/>
      <c r="C401" s="2"/>
    </row>
    <row r="402" spans="2:3" x14ac:dyDescent="0.25">
      <c r="B402" s="2"/>
      <c r="C402" s="2"/>
    </row>
    <row r="403" spans="2:3" x14ac:dyDescent="0.25">
      <c r="B403" s="2"/>
      <c r="C403" s="2"/>
    </row>
    <row r="404" spans="2:3" x14ac:dyDescent="0.25">
      <c r="B404" s="2"/>
      <c r="C404" s="2"/>
    </row>
    <row r="405" spans="2:3" x14ac:dyDescent="0.25">
      <c r="B405" s="2"/>
      <c r="C405" s="2"/>
    </row>
    <row r="406" spans="2:3" x14ac:dyDescent="0.25">
      <c r="B406" s="2"/>
      <c r="C406" s="2"/>
    </row>
    <row r="407" spans="2:3" x14ac:dyDescent="0.25">
      <c r="B407" s="2"/>
      <c r="C407" s="2"/>
    </row>
    <row r="408" spans="2:3" x14ac:dyDescent="0.25">
      <c r="B408" s="2"/>
      <c r="C408" s="2"/>
    </row>
    <row r="409" spans="2:3" x14ac:dyDescent="0.25">
      <c r="B409" s="2"/>
      <c r="C409" s="2"/>
    </row>
    <row r="410" spans="2:3" x14ac:dyDescent="0.25">
      <c r="B410" s="2"/>
      <c r="C410" s="2"/>
    </row>
    <row r="411" spans="2:3" x14ac:dyDescent="0.25">
      <c r="B411" s="2"/>
      <c r="C411" s="2"/>
    </row>
    <row r="412" spans="2:3" x14ac:dyDescent="0.25">
      <c r="B412" s="2"/>
      <c r="C412" s="2"/>
    </row>
    <row r="413" spans="2:3" x14ac:dyDescent="0.25">
      <c r="B413" s="2"/>
      <c r="C413" s="2"/>
    </row>
    <row r="414" spans="2:3" x14ac:dyDescent="0.25">
      <c r="B414" s="2"/>
      <c r="C414" s="2"/>
    </row>
    <row r="415" spans="2:3" x14ac:dyDescent="0.25">
      <c r="B415" s="2"/>
      <c r="C415" s="2"/>
    </row>
    <row r="416" spans="2:3" x14ac:dyDescent="0.25">
      <c r="B416" s="2"/>
      <c r="C416" s="2"/>
    </row>
    <row r="417" spans="2:3" x14ac:dyDescent="0.25">
      <c r="B417" s="2"/>
      <c r="C417" s="2"/>
    </row>
    <row r="418" spans="2:3" x14ac:dyDescent="0.25">
      <c r="B418" s="2"/>
      <c r="C418" s="2"/>
    </row>
    <row r="419" spans="2:3" x14ac:dyDescent="0.25">
      <c r="B419" s="2"/>
      <c r="C419" s="2"/>
    </row>
    <row r="420" spans="2:3" x14ac:dyDescent="0.25">
      <c r="B420" s="2"/>
      <c r="C420" s="2"/>
    </row>
    <row r="421" spans="2:3" x14ac:dyDescent="0.25">
      <c r="B421" s="2"/>
      <c r="C421" s="2"/>
    </row>
    <row r="422" spans="2:3" x14ac:dyDescent="0.25">
      <c r="B422" s="2"/>
      <c r="C422" s="2"/>
    </row>
    <row r="423" spans="2:3" x14ac:dyDescent="0.25">
      <c r="B423" s="2"/>
      <c r="C423" s="2"/>
    </row>
    <row r="424" spans="2:3" x14ac:dyDescent="0.25">
      <c r="B424" s="2"/>
      <c r="C424" s="2"/>
    </row>
    <row r="425" spans="2:3" x14ac:dyDescent="0.25">
      <c r="B425" s="2"/>
      <c r="C425" s="2"/>
    </row>
    <row r="426" spans="2:3" x14ac:dyDescent="0.25">
      <c r="B426" s="2"/>
      <c r="C426" s="2"/>
    </row>
    <row r="427" spans="2:3" x14ac:dyDescent="0.25">
      <c r="B427" s="2"/>
      <c r="C427" s="2"/>
    </row>
    <row r="428" spans="2:3" x14ac:dyDescent="0.25">
      <c r="B428" s="2"/>
      <c r="C428" s="2"/>
    </row>
    <row r="429" spans="2:3" x14ac:dyDescent="0.25">
      <c r="B429" s="2"/>
      <c r="C429" s="2"/>
    </row>
    <row r="430" spans="2:3" x14ac:dyDescent="0.25">
      <c r="B430" s="2"/>
      <c r="C430" s="2"/>
    </row>
    <row r="431" spans="2:3" x14ac:dyDescent="0.25">
      <c r="B431" s="2"/>
      <c r="C431" s="2"/>
    </row>
    <row r="432" spans="2:3" x14ac:dyDescent="0.25">
      <c r="B432" s="2"/>
      <c r="C432" s="2"/>
    </row>
    <row r="433" spans="2:3" x14ac:dyDescent="0.25">
      <c r="B433" s="2"/>
      <c r="C433" s="2"/>
    </row>
    <row r="434" spans="2:3" x14ac:dyDescent="0.25">
      <c r="B434" s="2"/>
      <c r="C434" s="2"/>
    </row>
    <row r="435" spans="2:3" x14ac:dyDescent="0.25">
      <c r="B435" s="2"/>
      <c r="C435" s="2"/>
    </row>
    <row r="436" spans="2:3" x14ac:dyDescent="0.25">
      <c r="B436" s="2"/>
      <c r="C436" s="2"/>
    </row>
    <row r="437" spans="2:3" x14ac:dyDescent="0.25">
      <c r="B437" s="2"/>
      <c r="C437" s="2"/>
    </row>
    <row r="438" spans="2:3" x14ac:dyDescent="0.25">
      <c r="B438" s="2"/>
      <c r="C438" s="2"/>
    </row>
    <row r="439" spans="2:3" x14ac:dyDescent="0.25">
      <c r="B439" s="2"/>
      <c r="C439" s="2"/>
    </row>
    <row r="440" spans="2:3" x14ac:dyDescent="0.25">
      <c r="B440" s="2"/>
      <c r="C440" s="2"/>
    </row>
    <row r="441" spans="2:3" x14ac:dyDescent="0.25">
      <c r="B441" s="2"/>
      <c r="C441" s="2"/>
    </row>
    <row r="442" spans="2:3" x14ac:dyDescent="0.25">
      <c r="B442" s="2"/>
      <c r="C442" s="2"/>
    </row>
    <row r="443" spans="2:3" x14ac:dyDescent="0.25">
      <c r="B443" s="2"/>
      <c r="C443" s="2"/>
    </row>
    <row r="444" spans="2:3" x14ac:dyDescent="0.25">
      <c r="B444" s="2"/>
      <c r="C444" s="2"/>
    </row>
    <row r="445" spans="2:3" x14ac:dyDescent="0.25">
      <c r="B445" s="2"/>
      <c r="C445" s="2"/>
    </row>
    <row r="446" spans="2:3" x14ac:dyDescent="0.25">
      <c r="B446" s="2"/>
      <c r="C446" s="2"/>
    </row>
    <row r="447" spans="2:3" x14ac:dyDescent="0.25">
      <c r="B447" s="2"/>
      <c r="C447" s="2"/>
    </row>
    <row r="448" spans="2:3" x14ac:dyDescent="0.25">
      <c r="B448" s="2"/>
      <c r="C448" s="2"/>
    </row>
    <row r="449" spans="2:3" x14ac:dyDescent="0.25">
      <c r="B449" s="2"/>
      <c r="C449" s="2"/>
    </row>
    <row r="450" spans="2:3" x14ac:dyDescent="0.25">
      <c r="B450" s="2"/>
      <c r="C450" s="2"/>
    </row>
    <row r="451" spans="2:3" x14ac:dyDescent="0.25">
      <c r="B451" s="2"/>
      <c r="C451" s="2"/>
    </row>
    <row r="452" spans="2:3" x14ac:dyDescent="0.25">
      <c r="B452" s="2"/>
      <c r="C452" s="2"/>
    </row>
    <row r="453" spans="2:3" x14ac:dyDescent="0.25">
      <c r="B453" s="2"/>
      <c r="C453" s="2"/>
    </row>
    <row r="454" spans="2:3" x14ac:dyDescent="0.25">
      <c r="B454" s="2"/>
      <c r="C454" s="2"/>
    </row>
    <row r="455" spans="2:3" x14ac:dyDescent="0.25">
      <c r="B455" s="2"/>
      <c r="C455" s="2"/>
    </row>
    <row r="456" spans="2:3" x14ac:dyDescent="0.25">
      <c r="B456" s="2"/>
      <c r="C456" s="2"/>
    </row>
    <row r="457" spans="2:3" x14ac:dyDescent="0.25">
      <c r="B457" s="2"/>
      <c r="C457" s="2"/>
    </row>
    <row r="458" spans="2:3" x14ac:dyDescent="0.25">
      <c r="B458" s="2"/>
      <c r="C458" s="2"/>
    </row>
    <row r="459" spans="2:3" x14ac:dyDescent="0.25">
      <c r="B459" s="2"/>
      <c r="C459" s="2"/>
    </row>
    <row r="460" spans="2:3" x14ac:dyDescent="0.25">
      <c r="B460" s="2"/>
      <c r="C460" s="2"/>
    </row>
    <row r="461" spans="2:3" x14ac:dyDescent="0.25">
      <c r="B461" s="2"/>
      <c r="C461" s="2"/>
    </row>
    <row r="462" spans="2:3" x14ac:dyDescent="0.25">
      <c r="B462" s="2"/>
      <c r="C462" s="2"/>
    </row>
    <row r="463" spans="2:3" x14ac:dyDescent="0.25">
      <c r="B463" s="2"/>
      <c r="C463" s="2"/>
    </row>
    <row r="464" spans="2:3" x14ac:dyDescent="0.25">
      <c r="B464" s="2"/>
      <c r="C464" s="2"/>
    </row>
    <row r="465" spans="2:3" x14ac:dyDescent="0.25">
      <c r="B465" s="2"/>
      <c r="C465" s="2"/>
    </row>
    <row r="466" spans="2:3" x14ac:dyDescent="0.25">
      <c r="B466" s="2"/>
      <c r="C466" s="2"/>
    </row>
    <row r="467" spans="2:3" x14ac:dyDescent="0.25">
      <c r="B467" s="2"/>
      <c r="C467" s="2"/>
    </row>
    <row r="468" spans="2:3" x14ac:dyDescent="0.25">
      <c r="B468" s="2"/>
      <c r="C468" s="2"/>
    </row>
    <row r="469" spans="2:3" x14ac:dyDescent="0.25">
      <c r="B469" s="2"/>
      <c r="C469" s="2"/>
    </row>
    <row r="470" spans="2:3" x14ac:dyDescent="0.25">
      <c r="B470" s="2"/>
      <c r="C470" s="2"/>
    </row>
    <row r="471" spans="2:3" x14ac:dyDescent="0.25">
      <c r="B471" s="2"/>
      <c r="C471" s="2"/>
    </row>
    <row r="472" spans="2:3" x14ac:dyDescent="0.25">
      <c r="B472" s="2"/>
      <c r="C472" s="2"/>
    </row>
    <row r="473" spans="2:3" x14ac:dyDescent="0.25">
      <c r="B473" s="2"/>
      <c r="C473" s="2"/>
    </row>
    <row r="474" spans="2:3" x14ac:dyDescent="0.25">
      <c r="B474" s="2"/>
      <c r="C474" s="2"/>
    </row>
    <row r="475" spans="2:3" x14ac:dyDescent="0.25">
      <c r="B475" s="2"/>
      <c r="C475" s="2"/>
    </row>
    <row r="476" spans="2:3" x14ac:dyDescent="0.25">
      <c r="B476" s="2"/>
      <c r="C476" s="2"/>
    </row>
    <row r="477" spans="2:3" x14ac:dyDescent="0.25">
      <c r="B477" s="2"/>
      <c r="C477" s="2"/>
    </row>
    <row r="478" spans="2:3" x14ac:dyDescent="0.25">
      <c r="B478" s="2"/>
      <c r="C478" s="2"/>
    </row>
    <row r="479" spans="2:3" x14ac:dyDescent="0.25">
      <c r="B479" s="2"/>
      <c r="C479" s="2"/>
    </row>
    <row r="480" spans="2:3" x14ac:dyDescent="0.25">
      <c r="B480" s="2"/>
      <c r="C480" s="2"/>
    </row>
    <row r="481" spans="2:3" x14ac:dyDescent="0.25">
      <c r="B481" s="2"/>
      <c r="C481" s="2"/>
    </row>
    <row r="482" spans="2:3" x14ac:dyDescent="0.25">
      <c r="B482" s="2"/>
      <c r="C482" s="2"/>
    </row>
    <row r="483" spans="2:3" x14ac:dyDescent="0.25">
      <c r="B483" s="2"/>
      <c r="C483" s="2"/>
    </row>
    <row r="484" spans="2:3" x14ac:dyDescent="0.25">
      <c r="B484" s="2"/>
      <c r="C484" s="2"/>
    </row>
    <row r="485" spans="2:3" x14ac:dyDescent="0.25">
      <c r="B485" s="2"/>
      <c r="C485" s="2"/>
    </row>
    <row r="486" spans="2:3" x14ac:dyDescent="0.25">
      <c r="B486" s="2"/>
      <c r="C486" s="2"/>
    </row>
    <row r="487" spans="2:3" x14ac:dyDescent="0.25">
      <c r="B487" s="2"/>
      <c r="C487" s="2"/>
    </row>
    <row r="488" spans="2:3" x14ac:dyDescent="0.25">
      <c r="B488" s="2"/>
      <c r="C488" s="2"/>
    </row>
    <row r="489" spans="2:3" x14ac:dyDescent="0.25">
      <c r="B489" s="2"/>
      <c r="C489" s="2"/>
    </row>
    <row r="490" spans="2:3" x14ac:dyDescent="0.25">
      <c r="B490" s="2"/>
      <c r="C490" s="2"/>
    </row>
    <row r="491" spans="2:3" x14ac:dyDescent="0.25">
      <c r="B491" s="2"/>
      <c r="C491" s="2"/>
    </row>
    <row r="492" spans="2:3" x14ac:dyDescent="0.25">
      <c r="B492" s="2"/>
      <c r="C492" s="2"/>
    </row>
    <row r="493" spans="2:3" x14ac:dyDescent="0.25">
      <c r="B493" s="2"/>
      <c r="C493" s="2"/>
    </row>
    <row r="494" spans="2:3" x14ac:dyDescent="0.25">
      <c r="B494" s="2"/>
      <c r="C494" s="2"/>
    </row>
    <row r="495" spans="2:3" x14ac:dyDescent="0.25">
      <c r="B495" s="2"/>
      <c r="C495" s="2"/>
    </row>
    <row r="496" spans="2:3" x14ac:dyDescent="0.25">
      <c r="B496" s="2"/>
      <c r="C496" s="2"/>
    </row>
    <row r="497" spans="2:3" x14ac:dyDescent="0.25">
      <c r="B497" s="2"/>
      <c r="C497" s="2"/>
    </row>
    <row r="498" spans="2:3" x14ac:dyDescent="0.25">
      <c r="B498" s="2"/>
      <c r="C498" s="2"/>
    </row>
    <row r="499" spans="2:3" x14ac:dyDescent="0.25">
      <c r="B499" s="2"/>
      <c r="C499" s="2"/>
    </row>
    <row r="500" spans="2:3" x14ac:dyDescent="0.25">
      <c r="B500" s="2"/>
      <c r="C500" s="2"/>
    </row>
    <row r="501" spans="2:3" x14ac:dyDescent="0.25">
      <c r="B501" s="2"/>
      <c r="C501" s="2"/>
    </row>
    <row r="502" spans="2:3" x14ac:dyDescent="0.25">
      <c r="B502" s="2"/>
      <c r="C502" s="2"/>
    </row>
    <row r="503" spans="2:3" x14ac:dyDescent="0.25">
      <c r="B503" s="2"/>
      <c r="C503" s="2"/>
    </row>
    <row r="504" spans="2:3" x14ac:dyDescent="0.25">
      <c r="B504" s="2"/>
      <c r="C504" s="2"/>
    </row>
    <row r="505" spans="2:3" x14ac:dyDescent="0.25">
      <c r="B505" s="2"/>
      <c r="C505" s="2"/>
    </row>
    <row r="506" spans="2:3" x14ac:dyDescent="0.25">
      <c r="B506" s="2"/>
      <c r="C506" s="2"/>
    </row>
    <row r="507" spans="2:3" x14ac:dyDescent="0.25">
      <c r="B507" s="2"/>
      <c r="C507" s="2"/>
    </row>
    <row r="508" spans="2:3" x14ac:dyDescent="0.25">
      <c r="B508" s="2"/>
      <c r="C508" s="2"/>
    </row>
    <row r="509" spans="2:3" x14ac:dyDescent="0.25">
      <c r="B509" s="2"/>
      <c r="C509" s="2"/>
    </row>
    <row r="510" spans="2:3" x14ac:dyDescent="0.25">
      <c r="B510" s="2"/>
      <c r="C510" s="2"/>
    </row>
    <row r="511" spans="2:3" x14ac:dyDescent="0.25">
      <c r="B511" s="2"/>
      <c r="C511" s="2"/>
    </row>
    <row r="512" spans="2:3" x14ac:dyDescent="0.25">
      <c r="B512" s="2"/>
      <c r="C512" s="2"/>
    </row>
    <row r="513" spans="2:3" x14ac:dyDescent="0.25">
      <c r="B513" s="2"/>
      <c r="C513" s="2"/>
    </row>
    <row r="514" spans="2:3" x14ac:dyDescent="0.25">
      <c r="B514" s="2"/>
      <c r="C514" s="2"/>
    </row>
    <row r="515" spans="2:3" x14ac:dyDescent="0.25">
      <c r="B515" s="2"/>
      <c r="C515" s="2"/>
    </row>
    <row r="516" spans="2:3" x14ac:dyDescent="0.25">
      <c r="B516" s="2"/>
      <c r="C516" s="2"/>
    </row>
    <row r="517" spans="2:3" x14ac:dyDescent="0.25">
      <c r="B517" s="2"/>
      <c r="C517" s="2"/>
    </row>
    <row r="518" spans="2:3" x14ac:dyDescent="0.25">
      <c r="B518" s="2"/>
      <c r="C518" s="2"/>
    </row>
    <row r="519" spans="2:3" x14ac:dyDescent="0.25">
      <c r="B519" s="2"/>
      <c r="C519" s="2"/>
    </row>
    <row r="520" spans="2:3" x14ac:dyDescent="0.25">
      <c r="B520" s="2"/>
      <c r="C520" s="2"/>
    </row>
    <row r="521" spans="2:3" x14ac:dyDescent="0.25">
      <c r="B521" s="2"/>
      <c r="C521" s="2"/>
    </row>
    <row r="522" spans="2:3" x14ac:dyDescent="0.25">
      <c r="B522" s="2"/>
      <c r="C522" s="2"/>
    </row>
    <row r="523" spans="2:3" x14ac:dyDescent="0.25">
      <c r="B523" s="2"/>
      <c r="C523" s="2"/>
    </row>
    <row r="524" spans="2:3" x14ac:dyDescent="0.25">
      <c r="B524" s="2"/>
      <c r="C524" s="2"/>
    </row>
    <row r="525" spans="2:3" x14ac:dyDescent="0.25">
      <c r="B525" s="2"/>
      <c r="C525" s="2"/>
    </row>
    <row r="526" spans="2:3" x14ac:dyDescent="0.25">
      <c r="B526" s="2"/>
      <c r="C526" s="2"/>
    </row>
    <row r="527" spans="2:3" x14ac:dyDescent="0.25">
      <c r="B527" s="2"/>
      <c r="C527" s="2"/>
    </row>
    <row r="528" spans="2:3" x14ac:dyDescent="0.25">
      <c r="B528" s="2"/>
      <c r="C528" s="2"/>
    </row>
    <row r="529" spans="2:3" x14ac:dyDescent="0.25">
      <c r="B529" s="2"/>
      <c r="C529" s="2"/>
    </row>
    <row r="530" spans="2:3" x14ac:dyDescent="0.25">
      <c r="B530" s="2"/>
      <c r="C530" s="2"/>
    </row>
    <row r="531" spans="2:3" x14ac:dyDescent="0.25">
      <c r="B531" s="2"/>
      <c r="C531" s="2"/>
    </row>
    <row r="532" spans="2:3" x14ac:dyDescent="0.25">
      <c r="B532" s="2"/>
      <c r="C532" s="2"/>
    </row>
    <row r="533" spans="2:3" x14ac:dyDescent="0.25">
      <c r="B533" s="2"/>
      <c r="C533" s="2"/>
    </row>
    <row r="534" spans="2:3" x14ac:dyDescent="0.25">
      <c r="B534" s="2"/>
      <c r="C534" s="2"/>
    </row>
    <row r="535" spans="2:3" x14ac:dyDescent="0.25">
      <c r="B535" s="2"/>
      <c r="C535" s="2"/>
    </row>
    <row r="536" spans="2:3" x14ac:dyDescent="0.25">
      <c r="B536" s="2"/>
      <c r="C536" s="2"/>
    </row>
    <row r="537" spans="2:3" x14ac:dyDescent="0.25">
      <c r="B537" s="2"/>
      <c r="C537" s="2"/>
    </row>
    <row r="538" spans="2:3" x14ac:dyDescent="0.25">
      <c r="B538" s="2"/>
      <c r="C538" s="2"/>
    </row>
    <row r="539" spans="2:3" x14ac:dyDescent="0.25">
      <c r="B539" s="2"/>
      <c r="C539" s="2"/>
    </row>
    <row r="540" spans="2:3" x14ac:dyDescent="0.25">
      <c r="B540" s="2"/>
      <c r="C540" s="2"/>
    </row>
    <row r="541" spans="2:3" x14ac:dyDescent="0.25">
      <c r="B541" s="2"/>
      <c r="C541" s="2"/>
    </row>
    <row r="542" spans="2:3" x14ac:dyDescent="0.25">
      <c r="B542" s="2"/>
      <c r="C542" s="2"/>
    </row>
    <row r="543" spans="2:3" x14ac:dyDescent="0.25">
      <c r="B543" s="2"/>
      <c r="C543" s="2"/>
    </row>
    <row r="544" spans="2:3" x14ac:dyDescent="0.25">
      <c r="B544" s="2"/>
      <c r="C544" s="2"/>
    </row>
    <row r="545" spans="2:3" x14ac:dyDescent="0.25">
      <c r="B545" s="2"/>
      <c r="C545" s="2"/>
    </row>
    <row r="546" spans="2:3" x14ac:dyDescent="0.25">
      <c r="B546" s="2"/>
      <c r="C546" s="2"/>
    </row>
    <row r="547" spans="2:3" x14ac:dyDescent="0.25">
      <c r="B547" s="2"/>
      <c r="C547" s="2"/>
    </row>
    <row r="548" spans="2:3" x14ac:dyDescent="0.25">
      <c r="B548" s="2"/>
      <c r="C548" s="2"/>
    </row>
    <row r="549" spans="2:3" x14ac:dyDescent="0.25">
      <c r="B549" s="2"/>
      <c r="C549" s="2"/>
    </row>
    <row r="550" spans="2:3" x14ac:dyDescent="0.25">
      <c r="B550" s="2"/>
      <c r="C550" s="2"/>
    </row>
    <row r="551" spans="2:3" x14ac:dyDescent="0.25">
      <c r="B551" s="2"/>
      <c r="C551" s="2"/>
    </row>
    <row r="552" spans="2:3" x14ac:dyDescent="0.25">
      <c r="B552" s="2"/>
      <c r="C552" s="2"/>
    </row>
    <row r="553" spans="2:3" x14ac:dyDescent="0.25">
      <c r="B553" s="2"/>
      <c r="C553" s="2"/>
    </row>
    <row r="554" spans="2:3" x14ac:dyDescent="0.25">
      <c r="B554" s="2"/>
      <c r="C554" s="2"/>
    </row>
    <row r="555" spans="2:3" x14ac:dyDescent="0.25">
      <c r="B555" s="2"/>
      <c r="C555" s="2"/>
    </row>
    <row r="556" spans="2:3" x14ac:dyDescent="0.25">
      <c r="B556" s="2"/>
      <c r="C556" s="2"/>
    </row>
    <row r="557" spans="2:3" x14ac:dyDescent="0.25">
      <c r="B557" s="2"/>
      <c r="C557" s="2"/>
    </row>
    <row r="558" spans="2:3" x14ac:dyDescent="0.25">
      <c r="B558" s="2"/>
      <c r="C558" s="2"/>
    </row>
    <row r="559" spans="2:3" x14ac:dyDescent="0.25">
      <c r="B559" s="2"/>
      <c r="C559" s="2"/>
    </row>
    <row r="560" spans="2:3" x14ac:dyDescent="0.25">
      <c r="B560" s="2"/>
      <c r="C560" s="2"/>
    </row>
    <row r="561" spans="2:3" x14ac:dyDescent="0.25">
      <c r="B561" s="2"/>
      <c r="C561" s="2"/>
    </row>
    <row r="562" spans="2:3" x14ac:dyDescent="0.25">
      <c r="B562" s="2"/>
      <c r="C562" s="2"/>
    </row>
    <row r="563" spans="2:3" x14ac:dyDescent="0.25">
      <c r="B563" s="2"/>
      <c r="C563" s="2"/>
    </row>
    <row r="564" spans="2:3" x14ac:dyDescent="0.25">
      <c r="B564" s="2"/>
      <c r="C564" s="2"/>
    </row>
    <row r="565" spans="2:3" x14ac:dyDescent="0.25">
      <c r="B565" s="2"/>
      <c r="C565" s="2"/>
    </row>
    <row r="566" spans="2:3" x14ac:dyDescent="0.25">
      <c r="B566" s="2"/>
      <c r="C566" s="2"/>
    </row>
    <row r="567" spans="2:3" x14ac:dyDescent="0.25">
      <c r="B567" s="2"/>
      <c r="C567" s="2"/>
    </row>
    <row r="568" spans="2:3" x14ac:dyDescent="0.25">
      <c r="B568" s="2"/>
      <c r="C568" s="2"/>
    </row>
    <row r="569" spans="2:3" x14ac:dyDescent="0.25">
      <c r="B569" s="2"/>
      <c r="C569" s="2"/>
    </row>
    <row r="570" spans="2:3" x14ac:dyDescent="0.25">
      <c r="B570" s="2"/>
      <c r="C570" s="2"/>
    </row>
    <row r="571" spans="2:3" x14ac:dyDescent="0.25">
      <c r="B571" s="2"/>
      <c r="C571" s="2"/>
    </row>
    <row r="572" spans="2:3" x14ac:dyDescent="0.25">
      <c r="B572" s="2"/>
      <c r="C572" s="2"/>
    </row>
    <row r="573" spans="2:3" x14ac:dyDescent="0.25">
      <c r="B573" s="2"/>
      <c r="C573" s="2"/>
    </row>
    <row r="574" spans="2:3" x14ac:dyDescent="0.25">
      <c r="B574" s="2"/>
      <c r="C574" s="2"/>
    </row>
    <row r="575" spans="2:3" x14ac:dyDescent="0.25">
      <c r="B575" s="2"/>
      <c r="C575" s="2"/>
    </row>
    <row r="576" spans="2:3" x14ac:dyDescent="0.25">
      <c r="B576" s="2"/>
      <c r="C576" s="2"/>
    </row>
    <row r="577" spans="2:3" x14ac:dyDescent="0.25">
      <c r="B577" s="2"/>
      <c r="C577" s="2"/>
    </row>
    <row r="578" spans="2:3" x14ac:dyDescent="0.25">
      <c r="B578" s="2"/>
      <c r="C578" s="2"/>
    </row>
    <row r="579" spans="2:3" x14ac:dyDescent="0.25">
      <c r="B579" s="2"/>
      <c r="C579" s="2"/>
    </row>
    <row r="580" spans="2:3" x14ac:dyDescent="0.25">
      <c r="B580" s="2"/>
      <c r="C580" s="2"/>
    </row>
    <row r="581" spans="2:3" x14ac:dyDescent="0.25">
      <c r="B581" s="2"/>
      <c r="C581" s="2"/>
    </row>
    <row r="582" spans="2:3" x14ac:dyDescent="0.25">
      <c r="B582" s="2"/>
      <c r="C582" s="2"/>
    </row>
    <row r="583" spans="2:3" x14ac:dyDescent="0.25">
      <c r="B583" s="2"/>
      <c r="C583" s="2"/>
    </row>
    <row r="584" spans="2:3" x14ac:dyDescent="0.25">
      <c r="B584" s="2"/>
      <c r="C584" s="2"/>
    </row>
    <row r="585" spans="2:3" x14ac:dyDescent="0.25">
      <c r="B585" s="2"/>
      <c r="C585" s="2"/>
    </row>
    <row r="586" spans="2:3" x14ac:dyDescent="0.25">
      <c r="B586" s="2"/>
      <c r="C586" s="2"/>
    </row>
    <row r="587" spans="2:3" x14ac:dyDescent="0.25">
      <c r="B587" s="2"/>
      <c r="C587" s="2"/>
    </row>
    <row r="588" spans="2:3" x14ac:dyDescent="0.25">
      <c r="B588" s="2"/>
      <c r="C588" s="2"/>
    </row>
    <row r="589" spans="2:3" x14ac:dyDescent="0.25">
      <c r="B589" s="2"/>
      <c r="C589" s="2"/>
    </row>
    <row r="590" spans="2:3" x14ac:dyDescent="0.25">
      <c r="B590" s="2"/>
      <c r="C590" s="2"/>
    </row>
    <row r="591" spans="2:3" x14ac:dyDescent="0.25">
      <c r="B591" s="2"/>
      <c r="C591" s="2"/>
    </row>
    <row r="592" spans="2:3" x14ac:dyDescent="0.25">
      <c r="B592" s="2"/>
      <c r="C592" s="2"/>
    </row>
    <row r="593" spans="2:3" x14ac:dyDescent="0.25">
      <c r="B593" s="2"/>
      <c r="C593" s="2"/>
    </row>
    <row r="594" spans="2:3" x14ac:dyDescent="0.25">
      <c r="B594" s="2"/>
      <c r="C594" s="2"/>
    </row>
    <row r="595" spans="2:3" x14ac:dyDescent="0.25">
      <c r="B595" s="2"/>
      <c r="C595" s="2"/>
    </row>
    <row r="596" spans="2:3" x14ac:dyDescent="0.25">
      <c r="B596" s="2"/>
      <c r="C596" s="2"/>
    </row>
    <row r="597" spans="2:3" x14ac:dyDescent="0.25">
      <c r="B597" s="2"/>
      <c r="C597" s="2"/>
    </row>
    <row r="598" spans="2:3" x14ac:dyDescent="0.25">
      <c r="B598" s="2"/>
      <c r="C598" s="2"/>
    </row>
    <row r="599" spans="2:3" x14ac:dyDescent="0.25">
      <c r="B599" s="2"/>
      <c r="C599" s="2"/>
    </row>
    <row r="600" spans="2:3" x14ac:dyDescent="0.25">
      <c r="B600" s="2"/>
      <c r="C600" s="2"/>
    </row>
    <row r="601" spans="2:3" x14ac:dyDescent="0.25">
      <c r="B601" s="2"/>
      <c r="C601" s="2"/>
    </row>
    <row r="602" spans="2:3" x14ac:dyDescent="0.25">
      <c r="B602" s="2"/>
      <c r="C602" s="2"/>
    </row>
    <row r="603" spans="2:3" x14ac:dyDescent="0.25">
      <c r="B603" s="2"/>
      <c r="C603" s="2"/>
    </row>
    <row r="604" spans="2:3" x14ac:dyDescent="0.25">
      <c r="B604" s="2"/>
      <c r="C604" s="2"/>
    </row>
    <row r="605" spans="2:3" x14ac:dyDescent="0.25">
      <c r="B605" s="2"/>
      <c r="C605" s="2"/>
    </row>
    <row r="606" spans="2:3" x14ac:dyDescent="0.25">
      <c r="B606" s="2"/>
      <c r="C606" s="2"/>
    </row>
    <row r="607" spans="2:3" x14ac:dyDescent="0.25">
      <c r="B607" s="2"/>
      <c r="C607" s="2"/>
    </row>
    <row r="608" spans="2:3" x14ac:dyDescent="0.25">
      <c r="B608" s="2"/>
      <c r="C608" s="2"/>
    </row>
    <row r="609" spans="2:3" x14ac:dyDescent="0.25">
      <c r="B609" s="2"/>
      <c r="C609" s="2"/>
    </row>
    <row r="610" spans="2:3" x14ac:dyDescent="0.25">
      <c r="B610" s="2"/>
      <c r="C610" s="2"/>
    </row>
    <row r="611" spans="2:3" x14ac:dyDescent="0.25">
      <c r="B611" s="2"/>
      <c r="C611" s="2"/>
    </row>
    <row r="612" spans="2:3" x14ac:dyDescent="0.25">
      <c r="B612" s="2"/>
      <c r="C612" s="2"/>
    </row>
    <row r="613" spans="2:3" x14ac:dyDescent="0.25">
      <c r="B613" s="2"/>
      <c r="C613" s="2"/>
    </row>
    <row r="614" spans="2:3" x14ac:dyDescent="0.25">
      <c r="B614" s="2"/>
      <c r="C614" s="2"/>
    </row>
    <row r="615" spans="2:3" x14ac:dyDescent="0.25">
      <c r="B615" s="2"/>
      <c r="C615" s="2"/>
    </row>
    <row r="616" spans="2:3" x14ac:dyDescent="0.25">
      <c r="B616" s="2"/>
      <c r="C616" s="2"/>
    </row>
    <row r="617" spans="2:3" x14ac:dyDescent="0.25">
      <c r="B617" s="2"/>
      <c r="C617" s="2"/>
    </row>
    <row r="618" spans="2:3" x14ac:dyDescent="0.25">
      <c r="B618" s="2"/>
      <c r="C618" s="2"/>
    </row>
    <row r="619" spans="2:3" x14ac:dyDescent="0.25">
      <c r="B619" s="2"/>
      <c r="C619" s="2"/>
    </row>
    <row r="620" spans="2:3" x14ac:dyDescent="0.25">
      <c r="B620" s="2"/>
      <c r="C620" s="2"/>
    </row>
    <row r="621" spans="2:3" x14ac:dyDescent="0.25">
      <c r="B621" s="2"/>
      <c r="C621" s="2"/>
    </row>
    <row r="622" spans="2:3" x14ac:dyDescent="0.25">
      <c r="B622" s="2"/>
      <c r="C622" s="2"/>
    </row>
    <row r="623" spans="2:3" x14ac:dyDescent="0.25">
      <c r="B623" s="2"/>
      <c r="C623" s="2"/>
    </row>
    <row r="624" spans="2:3" x14ac:dyDescent="0.25">
      <c r="B624" s="2"/>
      <c r="C624" s="2"/>
    </row>
    <row r="625" spans="2:3" x14ac:dyDescent="0.25">
      <c r="B625" s="2"/>
      <c r="C625" s="2"/>
    </row>
    <row r="626" spans="2:3" x14ac:dyDescent="0.25">
      <c r="B626" s="2"/>
      <c r="C626" s="2"/>
    </row>
    <row r="627" spans="2:3" x14ac:dyDescent="0.25">
      <c r="B627" s="2"/>
      <c r="C627" s="2"/>
    </row>
    <row r="628" spans="2:3" x14ac:dyDescent="0.25">
      <c r="B628" s="2"/>
      <c r="C628" s="2"/>
    </row>
    <row r="629" spans="2:3" x14ac:dyDescent="0.25">
      <c r="B629" s="2"/>
      <c r="C629" s="2"/>
    </row>
    <row r="630" spans="2:3" x14ac:dyDescent="0.25">
      <c r="B630" s="2"/>
      <c r="C630" s="2"/>
    </row>
    <row r="631" spans="2:3" x14ac:dyDescent="0.25">
      <c r="B631" s="2"/>
      <c r="C631" s="2"/>
    </row>
    <row r="632" spans="2:3" x14ac:dyDescent="0.25">
      <c r="B632" s="2"/>
      <c r="C632" s="2"/>
    </row>
    <row r="633" spans="2:3" x14ac:dyDescent="0.25">
      <c r="B633" s="2"/>
      <c r="C633" s="2"/>
    </row>
    <row r="634" spans="2:3" x14ac:dyDescent="0.25">
      <c r="B634" s="2"/>
      <c r="C634" s="2"/>
    </row>
    <row r="635" spans="2:3" x14ac:dyDescent="0.25">
      <c r="B635" s="2"/>
      <c r="C635" s="2"/>
    </row>
    <row r="636" spans="2:3" x14ac:dyDescent="0.25">
      <c r="B636" s="2"/>
      <c r="C636" s="2"/>
    </row>
    <row r="637" spans="2:3" x14ac:dyDescent="0.25">
      <c r="B637" s="2"/>
      <c r="C637" s="2"/>
    </row>
    <row r="638" spans="2:3" x14ac:dyDescent="0.25">
      <c r="B638" s="2"/>
      <c r="C638" s="2"/>
    </row>
    <row r="639" spans="2:3" x14ac:dyDescent="0.25">
      <c r="B639" s="2"/>
      <c r="C639" s="2"/>
    </row>
    <row r="640" spans="2:3" x14ac:dyDescent="0.25">
      <c r="B640" s="2"/>
      <c r="C640" s="2"/>
    </row>
    <row r="641" spans="2:3" x14ac:dyDescent="0.25">
      <c r="B641" s="2"/>
      <c r="C641" s="2"/>
    </row>
    <row r="642" spans="2:3" x14ac:dyDescent="0.25">
      <c r="B642" s="2"/>
      <c r="C642" s="2"/>
    </row>
    <row r="643" spans="2:3" x14ac:dyDescent="0.25">
      <c r="B643" s="2"/>
      <c r="C643" s="2"/>
    </row>
    <row r="644" spans="2:3" x14ac:dyDescent="0.25">
      <c r="B644" s="2"/>
      <c r="C644" s="2"/>
    </row>
    <row r="645" spans="2:3" x14ac:dyDescent="0.25">
      <c r="B645" s="2"/>
      <c r="C645" s="2"/>
    </row>
    <row r="646" spans="2:3" x14ac:dyDescent="0.25">
      <c r="B646" s="2"/>
      <c r="C646" s="2"/>
    </row>
    <row r="647" spans="2:3" x14ac:dyDescent="0.25">
      <c r="B647" s="2"/>
      <c r="C647" s="2"/>
    </row>
    <row r="648" spans="2:3" x14ac:dyDescent="0.25">
      <c r="B648" s="2"/>
      <c r="C648" s="2"/>
    </row>
    <row r="649" spans="2:3" x14ac:dyDescent="0.25">
      <c r="B649" s="2"/>
      <c r="C649" s="2"/>
    </row>
    <row r="650" spans="2:3" x14ac:dyDescent="0.25">
      <c r="B650" s="2"/>
      <c r="C650" s="2"/>
    </row>
    <row r="651" spans="2:3" x14ac:dyDescent="0.25">
      <c r="B651" s="2"/>
      <c r="C651" s="2"/>
    </row>
    <row r="652" spans="2:3" x14ac:dyDescent="0.25">
      <c r="B652" s="2"/>
      <c r="C652" s="2"/>
    </row>
    <row r="653" spans="2:3" x14ac:dyDescent="0.25">
      <c r="B653" s="2"/>
      <c r="C653" s="2"/>
    </row>
    <row r="654" spans="2:3" x14ac:dyDescent="0.25">
      <c r="B654" s="2"/>
      <c r="C654" s="2"/>
    </row>
    <row r="655" spans="2:3" x14ac:dyDescent="0.25">
      <c r="B655" s="2"/>
      <c r="C655" s="2"/>
    </row>
    <row r="656" spans="2:3" x14ac:dyDescent="0.25">
      <c r="B656" s="2"/>
      <c r="C656" s="2"/>
    </row>
    <row r="657" spans="2:3" x14ac:dyDescent="0.25">
      <c r="B657" s="2"/>
      <c r="C657" s="2"/>
    </row>
    <row r="658" spans="2:3" x14ac:dyDescent="0.25">
      <c r="B658" s="2"/>
      <c r="C658" s="2"/>
    </row>
    <row r="659" spans="2:3" x14ac:dyDescent="0.25">
      <c r="B659" s="2"/>
      <c r="C659" s="2"/>
    </row>
    <row r="660" spans="2:3" x14ac:dyDescent="0.25">
      <c r="B660" s="2"/>
      <c r="C660" s="2"/>
    </row>
    <row r="661" spans="2:3" x14ac:dyDescent="0.25">
      <c r="B661" s="2"/>
      <c r="C661" s="2"/>
    </row>
    <row r="662" spans="2:3" x14ac:dyDescent="0.25">
      <c r="B662" s="2"/>
      <c r="C662" s="2"/>
    </row>
    <row r="663" spans="2:3" x14ac:dyDescent="0.25">
      <c r="B663" s="2"/>
      <c r="C663" s="2"/>
    </row>
    <row r="664" spans="2:3" x14ac:dyDescent="0.25">
      <c r="B664" s="2"/>
      <c r="C664" s="2"/>
    </row>
    <row r="665" spans="2:3" x14ac:dyDescent="0.25">
      <c r="B665" s="2"/>
      <c r="C665" s="2"/>
    </row>
    <row r="666" spans="2:3" x14ac:dyDescent="0.25">
      <c r="B666" s="2"/>
      <c r="C666" s="2"/>
    </row>
    <row r="667" spans="2:3" x14ac:dyDescent="0.25">
      <c r="B667" s="2"/>
      <c r="C667" s="2"/>
    </row>
    <row r="668" spans="2:3" x14ac:dyDescent="0.25">
      <c r="B668" s="2"/>
      <c r="C668" s="2"/>
    </row>
    <row r="669" spans="2:3" x14ac:dyDescent="0.25">
      <c r="B669" s="2"/>
      <c r="C669" s="2"/>
    </row>
    <row r="670" spans="2:3" x14ac:dyDescent="0.25">
      <c r="B670" s="2"/>
      <c r="C670" s="2"/>
    </row>
    <row r="671" spans="2:3" x14ac:dyDescent="0.25">
      <c r="B671" s="2"/>
      <c r="C671" s="2"/>
    </row>
    <row r="672" spans="2:3" x14ac:dyDescent="0.25">
      <c r="B672" s="2"/>
      <c r="C672" s="2"/>
    </row>
    <row r="673" spans="2:3" x14ac:dyDescent="0.25">
      <c r="B673" s="2"/>
      <c r="C673" s="2"/>
    </row>
    <row r="674" spans="2:3" x14ac:dyDescent="0.25">
      <c r="B674" s="2"/>
      <c r="C674" s="2"/>
    </row>
    <row r="675" spans="2:3" x14ac:dyDescent="0.25">
      <c r="B675" s="2"/>
      <c r="C675" s="2"/>
    </row>
    <row r="676" spans="2:3" x14ac:dyDescent="0.25">
      <c r="B676" s="2"/>
      <c r="C676" s="2"/>
    </row>
    <row r="677" spans="2:3" x14ac:dyDescent="0.25">
      <c r="B677" s="2"/>
      <c r="C677" s="2"/>
    </row>
    <row r="678" spans="2:3" x14ac:dyDescent="0.25">
      <c r="B678" s="2"/>
      <c r="C678" s="2"/>
    </row>
    <row r="679" spans="2:3" x14ac:dyDescent="0.25">
      <c r="B679" s="2"/>
      <c r="C679" s="2"/>
    </row>
    <row r="680" spans="2:3" x14ac:dyDescent="0.25">
      <c r="B680" s="2"/>
      <c r="C680" s="2"/>
    </row>
    <row r="681" spans="2:3" x14ac:dyDescent="0.25">
      <c r="B681" s="2"/>
      <c r="C681" s="2"/>
    </row>
    <row r="682" spans="2:3" x14ac:dyDescent="0.25">
      <c r="B682" s="2"/>
      <c r="C682" s="2"/>
    </row>
    <row r="683" spans="2:3" x14ac:dyDescent="0.25">
      <c r="B683" s="2"/>
      <c r="C683" s="2"/>
    </row>
    <row r="684" spans="2:3" x14ac:dyDescent="0.25">
      <c r="B684" s="2"/>
      <c r="C684" s="2"/>
    </row>
    <row r="685" spans="2:3" x14ac:dyDescent="0.25">
      <c r="B685" s="2"/>
      <c r="C685" s="2"/>
    </row>
    <row r="686" spans="2:3" x14ac:dyDescent="0.25">
      <c r="B686" s="2"/>
      <c r="C686" s="2"/>
    </row>
    <row r="687" spans="2:3" x14ac:dyDescent="0.25">
      <c r="B687" s="2"/>
      <c r="C687" s="2"/>
    </row>
    <row r="688" spans="2:3" x14ac:dyDescent="0.25">
      <c r="B688" s="2"/>
      <c r="C688" s="2"/>
    </row>
    <row r="689" spans="2:3" x14ac:dyDescent="0.25">
      <c r="B689" s="2"/>
      <c r="C689" s="2"/>
    </row>
    <row r="690" spans="2:3" x14ac:dyDescent="0.25">
      <c r="B690" s="2"/>
      <c r="C690" s="2"/>
    </row>
    <row r="691" spans="2:3" x14ac:dyDescent="0.25">
      <c r="B691" s="2"/>
      <c r="C691" s="2"/>
    </row>
    <row r="692" spans="2:3" x14ac:dyDescent="0.25">
      <c r="B692" s="2"/>
      <c r="C692" s="2"/>
    </row>
    <row r="693" spans="2:3" x14ac:dyDescent="0.25">
      <c r="B693" s="2"/>
      <c r="C693" s="2"/>
    </row>
    <row r="694" spans="2:3" x14ac:dyDescent="0.25">
      <c r="B694" s="2"/>
      <c r="C694" s="2"/>
    </row>
    <row r="695" spans="2:3" x14ac:dyDescent="0.25">
      <c r="B695" s="2"/>
      <c r="C695" s="2"/>
    </row>
    <row r="696" spans="2:3" x14ac:dyDescent="0.25">
      <c r="B696" s="2"/>
      <c r="C696" s="2"/>
    </row>
    <row r="697" spans="2:3" x14ac:dyDescent="0.25">
      <c r="B697" s="2"/>
      <c r="C697" s="2"/>
    </row>
    <row r="698" spans="2:3" x14ac:dyDescent="0.25">
      <c r="B698" s="2"/>
      <c r="C698" s="2"/>
    </row>
    <row r="699" spans="2:3" x14ac:dyDescent="0.25">
      <c r="B699" s="2"/>
      <c r="C699" s="2"/>
    </row>
    <row r="700" spans="2:3" x14ac:dyDescent="0.25">
      <c r="B700" s="2"/>
      <c r="C700" s="2"/>
    </row>
    <row r="701" spans="2:3" x14ac:dyDescent="0.25">
      <c r="B701" s="2"/>
      <c r="C701" s="2"/>
    </row>
    <row r="702" spans="2:3" x14ac:dyDescent="0.25">
      <c r="B702" s="2"/>
      <c r="C702" s="2"/>
    </row>
    <row r="703" spans="2:3" x14ac:dyDescent="0.25">
      <c r="B703" s="2"/>
      <c r="C703" s="2"/>
    </row>
    <row r="704" spans="2:3" x14ac:dyDescent="0.25">
      <c r="B704" s="2"/>
      <c r="C704" s="2"/>
    </row>
    <row r="705" spans="2:3" x14ac:dyDescent="0.25">
      <c r="B705" s="2"/>
      <c r="C705" s="2"/>
    </row>
    <row r="706" spans="2:3" x14ac:dyDescent="0.25">
      <c r="B706" s="2"/>
      <c r="C706" s="2"/>
    </row>
    <row r="707" spans="2:3" x14ac:dyDescent="0.25">
      <c r="B707" s="2"/>
      <c r="C707" s="2"/>
    </row>
    <row r="708" spans="2:3" x14ac:dyDescent="0.25">
      <c r="B708" s="2"/>
      <c r="C708" s="2"/>
    </row>
    <row r="709" spans="2:3" x14ac:dyDescent="0.25">
      <c r="B709" s="2"/>
      <c r="C709" s="2"/>
    </row>
    <row r="710" spans="2:3" x14ac:dyDescent="0.25">
      <c r="B710" s="2"/>
      <c r="C710" s="2"/>
    </row>
    <row r="711" spans="2:3" x14ac:dyDescent="0.25">
      <c r="B711" s="2"/>
      <c r="C711" s="2"/>
    </row>
    <row r="712" spans="2:3" x14ac:dyDescent="0.25">
      <c r="B712" s="2"/>
      <c r="C712" s="2"/>
    </row>
    <row r="713" spans="2:3" x14ac:dyDescent="0.25">
      <c r="B713" s="2"/>
      <c r="C713" s="2"/>
    </row>
    <row r="714" spans="2:3" x14ac:dyDescent="0.25">
      <c r="B714" s="2"/>
      <c r="C714" s="2"/>
    </row>
    <row r="715" spans="2:3" x14ac:dyDescent="0.25">
      <c r="B715" s="2"/>
      <c r="C715" s="2"/>
    </row>
    <row r="716" spans="2:3" x14ac:dyDescent="0.25">
      <c r="B716" s="2"/>
      <c r="C716" s="2"/>
    </row>
    <row r="717" spans="2:3" x14ac:dyDescent="0.25">
      <c r="B717" s="2"/>
      <c r="C717" s="2"/>
    </row>
    <row r="718" spans="2:3" x14ac:dyDescent="0.25">
      <c r="B718" s="2"/>
      <c r="C718" s="2"/>
    </row>
    <row r="719" spans="2:3" x14ac:dyDescent="0.25">
      <c r="B719" s="2"/>
      <c r="C719" s="2"/>
    </row>
    <row r="720" spans="2:3" x14ac:dyDescent="0.25">
      <c r="B720" s="2"/>
      <c r="C720" s="2"/>
    </row>
    <row r="721" spans="2:3" x14ac:dyDescent="0.25">
      <c r="B721" s="2"/>
      <c r="C721" s="2"/>
    </row>
    <row r="722" spans="2:3" x14ac:dyDescent="0.25">
      <c r="B722" s="2"/>
      <c r="C722" s="2"/>
    </row>
    <row r="723" spans="2:3" x14ac:dyDescent="0.25">
      <c r="B723" s="2"/>
      <c r="C723" s="2"/>
    </row>
    <row r="724" spans="2:3" x14ac:dyDescent="0.25">
      <c r="B724" s="2"/>
      <c r="C724" s="2"/>
    </row>
    <row r="725" spans="2:3" x14ac:dyDescent="0.25">
      <c r="B725" s="2"/>
      <c r="C725" s="2"/>
    </row>
    <row r="726" spans="2:3" x14ac:dyDescent="0.25">
      <c r="B726" s="2"/>
      <c r="C726" s="2"/>
    </row>
    <row r="727" spans="2:3" x14ac:dyDescent="0.25">
      <c r="B727" s="2"/>
      <c r="C727" s="2"/>
    </row>
    <row r="728" spans="2:3" x14ac:dyDescent="0.25">
      <c r="B728" s="2"/>
      <c r="C728" s="2"/>
    </row>
    <row r="729" spans="2:3" x14ac:dyDescent="0.25">
      <c r="B729" s="2"/>
      <c r="C729" s="2"/>
    </row>
    <row r="730" spans="2:3" x14ac:dyDescent="0.25">
      <c r="B730" s="2"/>
      <c r="C730" s="2"/>
    </row>
    <row r="731" spans="2:3" x14ac:dyDescent="0.25">
      <c r="B731" s="2"/>
      <c r="C731" s="2"/>
    </row>
    <row r="732" spans="2:3" x14ac:dyDescent="0.25">
      <c r="B732" s="2"/>
      <c r="C732" s="2"/>
    </row>
    <row r="733" spans="2:3" x14ac:dyDescent="0.25">
      <c r="B733" s="2"/>
      <c r="C733" s="2"/>
    </row>
    <row r="734" spans="2:3" x14ac:dyDescent="0.25">
      <c r="B734" s="2"/>
      <c r="C734" s="2"/>
    </row>
    <row r="735" spans="2:3" x14ac:dyDescent="0.25">
      <c r="B735" s="2"/>
      <c r="C735" s="2"/>
    </row>
    <row r="736" spans="2:3" x14ac:dyDescent="0.25">
      <c r="B736" s="2"/>
      <c r="C736" s="2"/>
    </row>
    <row r="737" spans="2:3" x14ac:dyDescent="0.25">
      <c r="B737" s="2"/>
      <c r="C737" s="2"/>
    </row>
    <row r="738" spans="2:3" x14ac:dyDescent="0.25">
      <c r="B738" s="2"/>
      <c r="C738" s="2"/>
    </row>
    <row r="739" spans="2:3" x14ac:dyDescent="0.25">
      <c r="B739" s="2"/>
      <c r="C739" s="2"/>
    </row>
    <row r="740" spans="2:3" x14ac:dyDescent="0.25">
      <c r="B740" s="2"/>
      <c r="C740" s="2"/>
    </row>
    <row r="741" spans="2:3" x14ac:dyDescent="0.25">
      <c r="B741" s="2"/>
      <c r="C741" s="2"/>
    </row>
    <row r="742" spans="2:3" x14ac:dyDescent="0.25">
      <c r="B742" s="2"/>
      <c r="C742" s="2"/>
    </row>
    <row r="743" spans="2:3" x14ac:dyDescent="0.25">
      <c r="B743" s="2"/>
      <c r="C743" s="2"/>
    </row>
    <row r="744" spans="2:3" x14ac:dyDescent="0.25">
      <c r="B744" s="2"/>
      <c r="C744" s="2"/>
    </row>
    <row r="745" spans="2:3" x14ac:dyDescent="0.25">
      <c r="B745" s="2"/>
      <c r="C745" s="2"/>
    </row>
    <row r="746" spans="2:3" x14ac:dyDescent="0.25">
      <c r="B746" s="2"/>
      <c r="C746" s="2"/>
    </row>
    <row r="747" spans="2:3" x14ac:dyDescent="0.25">
      <c r="B747" s="2"/>
      <c r="C747" s="2"/>
    </row>
    <row r="748" spans="2:3" x14ac:dyDescent="0.25">
      <c r="B748" s="2"/>
      <c r="C748" s="2"/>
    </row>
    <row r="749" spans="2:3" x14ac:dyDescent="0.25">
      <c r="B749" s="2"/>
      <c r="C749" s="2"/>
    </row>
    <row r="750" spans="2:3" x14ac:dyDescent="0.25">
      <c r="B750" s="2"/>
      <c r="C750" s="2"/>
    </row>
    <row r="751" spans="2:3" x14ac:dyDescent="0.25">
      <c r="B751" s="2"/>
      <c r="C751" s="2"/>
    </row>
    <row r="752" spans="2:3" x14ac:dyDescent="0.25">
      <c r="B752" s="2"/>
      <c r="C752" s="2"/>
    </row>
    <row r="753" spans="2:3" x14ac:dyDescent="0.25">
      <c r="B753" s="2"/>
      <c r="C753" s="2"/>
    </row>
    <row r="754" spans="2:3" x14ac:dyDescent="0.25">
      <c r="B754" s="2"/>
      <c r="C754" s="2"/>
    </row>
    <row r="755" spans="2:3" x14ac:dyDescent="0.25">
      <c r="B755" s="2"/>
      <c r="C755" s="2"/>
    </row>
    <row r="756" spans="2:3" x14ac:dyDescent="0.25">
      <c r="B756" s="2"/>
      <c r="C756" s="2"/>
    </row>
    <row r="757" spans="2:3" x14ac:dyDescent="0.25">
      <c r="B757" s="2"/>
      <c r="C757" s="2"/>
    </row>
    <row r="758" spans="2:3" x14ac:dyDescent="0.25">
      <c r="B758" s="2"/>
      <c r="C758" s="2"/>
    </row>
    <row r="759" spans="2:3" x14ac:dyDescent="0.25">
      <c r="B759" s="2"/>
      <c r="C759" s="2"/>
    </row>
    <row r="760" spans="2:3" x14ac:dyDescent="0.25">
      <c r="B760" s="2"/>
      <c r="C760" s="2"/>
    </row>
    <row r="761" spans="2:3" x14ac:dyDescent="0.25">
      <c r="B761" s="2"/>
      <c r="C761" s="2"/>
    </row>
    <row r="762" spans="2:3" x14ac:dyDescent="0.25">
      <c r="B762" s="2"/>
      <c r="C762" s="2"/>
    </row>
    <row r="763" spans="2:3" x14ac:dyDescent="0.25">
      <c r="B763" s="2"/>
      <c r="C763" s="2"/>
    </row>
    <row r="764" spans="2:3" x14ac:dyDescent="0.25">
      <c r="B764" s="2"/>
      <c r="C764" s="2"/>
    </row>
    <row r="765" spans="2:3" x14ac:dyDescent="0.25">
      <c r="B765" s="2"/>
      <c r="C765" s="2"/>
    </row>
    <row r="766" spans="2:3" x14ac:dyDescent="0.25">
      <c r="B766" s="2"/>
      <c r="C766" s="2"/>
    </row>
    <row r="767" spans="2:3" x14ac:dyDescent="0.25">
      <c r="B767" s="2"/>
      <c r="C767" s="2"/>
    </row>
    <row r="768" spans="2:3" x14ac:dyDescent="0.25">
      <c r="B768" s="2"/>
      <c r="C768" s="2"/>
    </row>
    <row r="769" spans="2:3" x14ac:dyDescent="0.25">
      <c r="B769" s="2"/>
      <c r="C769" s="2"/>
    </row>
    <row r="770" spans="2:3" x14ac:dyDescent="0.25">
      <c r="B770" s="2"/>
      <c r="C770" s="2"/>
    </row>
    <row r="771" spans="2:3" x14ac:dyDescent="0.25">
      <c r="B771" s="2"/>
      <c r="C771" s="2"/>
    </row>
    <row r="772" spans="2:3" x14ac:dyDescent="0.25">
      <c r="B772" s="2"/>
      <c r="C772" s="2"/>
    </row>
    <row r="773" spans="2:3" x14ac:dyDescent="0.25">
      <c r="B773" s="2"/>
      <c r="C773" s="2"/>
    </row>
    <row r="774" spans="2:3" x14ac:dyDescent="0.25">
      <c r="B774" s="2"/>
      <c r="C774" s="2"/>
    </row>
    <row r="775" spans="2:3" x14ac:dyDescent="0.25">
      <c r="B775" s="2"/>
      <c r="C775" s="2"/>
    </row>
    <row r="776" spans="2:3" x14ac:dyDescent="0.25">
      <c r="B776" s="2"/>
      <c r="C776" s="2"/>
    </row>
    <row r="777" spans="2:3" x14ac:dyDescent="0.25">
      <c r="B777" s="2"/>
      <c r="C777" s="2"/>
    </row>
    <row r="778" spans="2:3" x14ac:dyDescent="0.25">
      <c r="B778" s="2"/>
      <c r="C778" s="2"/>
    </row>
    <row r="779" spans="2:3" x14ac:dyDescent="0.25">
      <c r="B779" s="2"/>
      <c r="C779" s="2"/>
    </row>
    <row r="780" spans="2:3" x14ac:dyDescent="0.25">
      <c r="B780" s="2"/>
      <c r="C780" s="2"/>
    </row>
    <row r="781" spans="2:3" x14ac:dyDescent="0.25">
      <c r="B781" s="2"/>
      <c r="C781" s="2"/>
    </row>
    <row r="782" spans="2:3" x14ac:dyDescent="0.25">
      <c r="B782" s="2"/>
      <c r="C782" s="2"/>
    </row>
    <row r="783" spans="2:3" x14ac:dyDescent="0.25">
      <c r="B783" s="2"/>
      <c r="C783" s="2"/>
    </row>
    <row r="784" spans="2:3" x14ac:dyDescent="0.25">
      <c r="B784" s="2"/>
      <c r="C784" s="2"/>
    </row>
    <row r="785" spans="2:3" x14ac:dyDescent="0.25">
      <c r="B785" s="2"/>
      <c r="C785" s="2"/>
    </row>
    <row r="786" spans="2:3" x14ac:dyDescent="0.25">
      <c r="B786" s="2"/>
      <c r="C786" s="2"/>
    </row>
    <row r="787" spans="2:3" x14ac:dyDescent="0.25">
      <c r="B787" s="2"/>
      <c r="C787" s="2"/>
    </row>
    <row r="788" spans="2:3" x14ac:dyDescent="0.25">
      <c r="B788" s="2"/>
      <c r="C788" s="2"/>
    </row>
    <row r="789" spans="2:3" x14ac:dyDescent="0.25">
      <c r="B789" s="2"/>
      <c r="C789" s="2"/>
    </row>
    <row r="790" spans="2:3" x14ac:dyDescent="0.25">
      <c r="B790" s="2"/>
      <c r="C790" s="2"/>
    </row>
    <row r="791" spans="2:3" x14ac:dyDescent="0.25">
      <c r="B791" s="2"/>
      <c r="C791" s="2"/>
    </row>
    <row r="792" spans="2:3" x14ac:dyDescent="0.25">
      <c r="B792" s="2"/>
      <c r="C792" s="2"/>
    </row>
    <row r="793" spans="2:3" x14ac:dyDescent="0.25">
      <c r="B793" s="2"/>
      <c r="C793" s="2"/>
    </row>
    <row r="794" spans="2:3" x14ac:dyDescent="0.25">
      <c r="B794" s="2"/>
      <c r="C794" s="2"/>
    </row>
    <row r="795" spans="2:3" x14ac:dyDescent="0.25">
      <c r="B795" s="2"/>
      <c r="C795" s="2"/>
    </row>
    <row r="796" spans="2:3" x14ac:dyDescent="0.25">
      <c r="B796" s="2"/>
      <c r="C796" s="2"/>
    </row>
    <row r="797" spans="2:3" x14ac:dyDescent="0.25">
      <c r="B797" s="2"/>
      <c r="C797" s="2"/>
    </row>
    <row r="798" spans="2:3" x14ac:dyDescent="0.25">
      <c r="B798" s="2"/>
      <c r="C798" s="2"/>
    </row>
    <row r="799" spans="2:3" x14ac:dyDescent="0.25">
      <c r="B799" s="2"/>
      <c r="C799" s="2"/>
    </row>
    <row r="800" spans="2:3" x14ac:dyDescent="0.25">
      <c r="B800" s="2"/>
      <c r="C800" s="2"/>
    </row>
    <row r="801" spans="2:3" x14ac:dyDescent="0.25">
      <c r="B801" s="2"/>
      <c r="C801" s="2"/>
    </row>
    <row r="802" spans="2:3" x14ac:dyDescent="0.25">
      <c r="B802" s="2"/>
      <c r="C802" s="2"/>
    </row>
    <row r="803" spans="2:3" x14ac:dyDescent="0.25">
      <c r="B803" s="2"/>
      <c r="C803" s="2"/>
    </row>
    <row r="804" spans="2:3" x14ac:dyDescent="0.25">
      <c r="B804" s="2"/>
      <c r="C804" s="2"/>
    </row>
    <row r="805" spans="2:3" x14ac:dyDescent="0.25">
      <c r="B805" s="2"/>
      <c r="C805" s="2"/>
    </row>
    <row r="806" spans="2:3" x14ac:dyDescent="0.25">
      <c r="B806" s="2"/>
      <c r="C806" s="2"/>
    </row>
    <row r="807" spans="2:3" x14ac:dyDescent="0.25">
      <c r="B807" s="2"/>
      <c r="C807" s="2"/>
    </row>
    <row r="808" spans="2:3" x14ac:dyDescent="0.25">
      <c r="B808" s="2"/>
      <c r="C808" s="2"/>
    </row>
    <row r="809" spans="2:3" x14ac:dyDescent="0.25">
      <c r="B809" s="2"/>
      <c r="C809" s="2"/>
    </row>
    <row r="810" spans="2:3" x14ac:dyDescent="0.25">
      <c r="B810" s="2"/>
      <c r="C810" s="2"/>
    </row>
    <row r="811" spans="2:3" x14ac:dyDescent="0.25">
      <c r="B811" s="2"/>
      <c r="C811" s="2"/>
    </row>
    <row r="812" spans="2:3" x14ac:dyDescent="0.25">
      <c r="B812" s="2"/>
      <c r="C812" s="2"/>
    </row>
    <row r="813" spans="2:3" x14ac:dyDescent="0.25">
      <c r="B813" s="2"/>
      <c r="C813" s="2"/>
    </row>
    <row r="814" spans="2:3" x14ac:dyDescent="0.25">
      <c r="B814" s="2"/>
      <c r="C814" s="2"/>
    </row>
    <row r="815" spans="2:3" x14ac:dyDescent="0.25">
      <c r="B815" s="2"/>
      <c r="C815" s="2"/>
    </row>
    <row r="816" spans="2:3" x14ac:dyDescent="0.25">
      <c r="B816" s="2"/>
      <c r="C816" s="2"/>
    </row>
    <row r="817" spans="2:3" x14ac:dyDescent="0.25">
      <c r="B817" s="2"/>
      <c r="C817" s="2"/>
    </row>
    <row r="818" spans="2:3" x14ac:dyDescent="0.25">
      <c r="B818" s="2"/>
      <c r="C818" s="2"/>
    </row>
    <row r="819" spans="2:3" x14ac:dyDescent="0.25">
      <c r="B819" s="2"/>
      <c r="C819" s="2"/>
    </row>
    <row r="820" spans="2:3" x14ac:dyDescent="0.25">
      <c r="B820" s="2"/>
      <c r="C820" s="2"/>
    </row>
    <row r="821" spans="2:3" x14ac:dyDescent="0.25">
      <c r="B821" s="2"/>
      <c r="C821" s="2"/>
    </row>
    <row r="822" spans="2:3" x14ac:dyDescent="0.25">
      <c r="B822" s="2"/>
      <c r="C822" s="2"/>
    </row>
    <row r="823" spans="2:3" x14ac:dyDescent="0.25">
      <c r="B823" s="2"/>
      <c r="C823" s="2"/>
    </row>
    <row r="824" spans="2:3" x14ac:dyDescent="0.25">
      <c r="B824" s="2"/>
      <c r="C824" s="2"/>
    </row>
    <row r="825" spans="2:3" x14ac:dyDescent="0.25">
      <c r="B825" s="2"/>
      <c r="C825" s="2"/>
    </row>
    <row r="826" spans="2:3" x14ac:dyDescent="0.25">
      <c r="B826" s="2"/>
      <c r="C826" s="2"/>
    </row>
    <row r="827" spans="2:3" x14ac:dyDescent="0.25">
      <c r="B827" s="2"/>
      <c r="C827" s="2"/>
    </row>
    <row r="828" spans="2:3" x14ac:dyDescent="0.25">
      <c r="B828" s="2"/>
      <c r="C828" s="2"/>
    </row>
    <row r="829" spans="2:3" x14ac:dyDescent="0.25">
      <c r="B829" s="2"/>
      <c r="C829" s="2"/>
    </row>
    <row r="830" spans="2:3" x14ac:dyDescent="0.25">
      <c r="B830" s="2"/>
      <c r="C830" s="2"/>
    </row>
    <row r="831" spans="2:3" x14ac:dyDescent="0.25">
      <c r="B831" s="2"/>
      <c r="C831" s="2"/>
    </row>
    <row r="832" spans="2:3" x14ac:dyDescent="0.25">
      <c r="B832" s="2"/>
      <c r="C832" s="2"/>
    </row>
    <row r="833" spans="2:3" x14ac:dyDescent="0.25">
      <c r="B833" s="2"/>
      <c r="C833" s="2"/>
    </row>
    <row r="834" spans="2:3" x14ac:dyDescent="0.25">
      <c r="B834" s="2"/>
      <c r="C834" s="2"/>
    </row>
    <row r="835" spans="2:3" x14ac:dyDescent="0.25">
      <c r="B835" s="2"/>
      <c r="C835" s="2"/>
    </row>
    <row r="836" spans="2:3" x14ac:dyDescent="0.25">
      <c r="B836" s="2"/>
      <c r="C836" s="2"/>
    </row>
    <row r="837" spans="2:3" x14ac:dyDescent="0.25">
      <c r="B837" s="2"/>
      <c r="C837" s="2"/>
    </row>
    <row r="838" spans="2:3" x14ac:dyDescent="0.25">
      <c r="B838" s="2"/>
      <c r="C838" s="2"/>
    </row>
    <row r="839" spans="2:3" x14ac:dyDescent="0.25">
      <c r="B839" s="2"/>
      <c r="C839" s="2"/>
    </row>
    <row r="840" spans="2:3" x14ac:dyDescent="0.25">
      <c r="B840" s="2"/>
      <c r="C840" s="2"/>
    </row>
    <row r="841" spans="2:3" x14ac:dyDescent="0.25">
      <c r="B841" s="2"/>
      <c r="C841" s="2"/>
    </row>
    <row r="842" spans="2:3" x14ac:dyDescent="0.25">
      <c r="B842" s="2"/>
      <c r="C842" s="2"/>
    </row>
    <row r="843" spans="2:3" x14ac:dyDescent="0.25">
      <c r="B843" s="2"/>
      <c r="C843" s="2"/>
    </row>
    <row r="844" spans="2:3" x14ac:dyDescent="0.25">
      <c r="B844" s="2"/>
      <c r="C844" s="2"/>
    </row>
    <row r="845" spans="2:3" x14ac:dyDescent="0.25">
      <c r="B845" s="2"/>
      <c r="C845" s="2"/>
    </row>
    <row r="846" spans="2:3" x14ac:dyDescent="0.25">
      <c r="B846" s="2"/>
      <c r="C846" s="2"/>
    </row>
    <row r="847" spans="2:3" x14ac:dyDescent="0.25">
      <c r="B847" s="2"/>
      <c r="C847" s="2"/>
    </row>
    <row r="848" spans="2:3" x14ac:dyDescent="0.25">
      <c r="B848" s="2"/>
      <c r="C848" s="2"/>
    </row>
    <row r="849" spans="2:3" x14ac:dyDescent="0.25">
      <c r="B849" s="2"/>
      <c r="C849" s="2"/>
    </row>
    <row r="850" spans="2:3" x14ac:dyDescent="0.25">
      <c r="B850" s="2"/>
      <c r="C850" s="2"/>
    </row>
    <row r="851" spans="2:3" x14ac:dyDescent="0.25">
      <c r="B851" s="2"/>
      <c r="C851" s="2"/>
    </row>
    <row r="852" spans="2:3" x14ac:dyDescent="0.25">
      <c r="B852" s="2"/>
      <c r="C852" s="2"/>
    </row>
    <row r="853" spans="2:3" x14ac:dyDescent="0.25">
      <c r="B853" s="2"/>
      <c r="C853" s="2"/>
    </row>
    <row r="854" spans="2:3" x14ac:dyDescent="0.25">
      <c r="B854" s="2"/>
      <c r="C854" s="2"/>
    </row>
    <row r="855" spans="2:3" x14ac:dyDescent="0.25">
      <c r="B855" s="2"/>
      <c r="C855" s="2"/>
    </row>
    <row r="856" spans="2:3" x14ac:dyDescent="0.25">
      <c r="B856" s="2"/>
      <c r="C856" s="2"/>
    </row>
    <row r="857" spans="2:3" x14ac:dyDescent="0.25">
      <c r="B857" s="2"/>
      <c r="C857" s="2"/>
    </row>
    <row r="858" spans="2:3" x14ac:dyDescent="0.25">
      <c r="B858" s="2"/>
      <c r="C858" s="2"/>
    </row>
    <row r="859" spans="2:3" x14ac:dyDescent="0.25">
      <c r="B859" s="2"/>
      <c r="C859" s="2"/>
    </row>
    <row r="860" spans="2:3" x14ac:dyDescent="0.25">
      <c r="B860" s="2"/>
      <c r="C860" s="2"/>
    </row>
    <row r="861" spans="2:3" x14ac:dyDescent="0.25">
      <c r="B861" s="2"/>
      <c r="C861" s="2"/>
    </row>
    <row r="862" spans="2:3" x14ac:dyDescent="0.25">
      <c r="B862" s="2"/>
      <c r="C862" s="2"/>
    </row>
    <row r="863" spans="2:3" x14ac:dyDescent="0.25">
      <c r="B863" s="2"/>
      <c r="C863" s="2"/>
    </row>
    <row r="864" spans="2:3" x14ac:dyDescent="0.25">
      <c r="B864" s="2"/>
      <c r="C864" s="2"/>
    </row>
    <row r="865" spans="2:3" x14ac:dyDescent="0.25">
      <c r="B865" s="2"/>
      <c r="C865" s="2"/>
    </row>
    <row r="866" spans="2:3" x14ac:dyDescent="0.25">
      <c r="B866" s="2"/>
      <c r="C866" s="2"/>
    </row>
    <row r="867" spans="2:3" x14ac:dyDescent="0.25">
      <c r="B867" s="2"/>
      <c r="C867" s="2"/>
    </row>
    <row r="868" spans="2:3" x14ac:dyDescent="0.25">
      <c r="B868" s="2"/>
      <c r="C868" s="2"/>
    </row>
    <row r="869" spans="2:3" x14ac:dyDescent="0.25">
      <c r="B869" s="2"/>
      <c r="C869" s="2"/>
    </row>
    <row r="870" spans="2:3" x14ac:dyDescent="0.25">
      <c r="B870" s="2"/>
      <c r="C870" s="2"/>
    </row>
    <row r="871" spans="2:3" x14ac:dyDescent="0.25">
      <c r="B871" s="2"/>
      <c r="C871" s="2"/>
    </row>
    <row r="872" spans="2:3" x14ac:dyDescent="0.25">
      <c r="B872" s="2"/>
      <c r="C872" s="2"/>
    </row>
    <row r="873" spans="2:3" x14ac:dyDescent="0.25">
      <c r="B873" s="2"/>
      <c r="C873" s="2"/>
    </row>
    <row r="874" spans="2:3" x14ac:dyDescent="0.25">
      <c r="B874" s="2"/>
      <c r="C874" s="2"/>
    </row>
    <row r="875" spans="2:3" x14ac:dyDescent="0.25">
      <c r="B875" s="2"/>
      <c r="C875" s="2"/>
    </row>
    <row r="876" spans="2:3" x14ac:dyDescent="0.25">
      <c r="B876" s="2"/>
      <c r="C876" s="2"/>
    </row>
    <row r="877" spans="2:3" x14ac:dyDescent="0.25">
      <c r="B877" s="2"/>
      <c r="C877" s="2"/>
    </row>
    <row r="878" spans="2:3" x14ac:dyDescent="0.25">
      <c r="B878" s="2"/>
      <c r="C878" s="2"/>
    </row>
    <row r="879" spans="2:3" x14ac:dyDescent="0.25">
      <c r="B879" s="2"/>
      <c r="C879" s="2"/>
    </row>
    <row r="880" spans="2:3" x14ac:dyDescent="0.25">
      <c r="B880" s="2"/>
      <c r="C880" s="2"/>
    </row>
    <row r="881" spans="2:3" x14ac:dyDescent="0.25">
      <c r="B881" s="2"/>
      <c r="C881" s="2"/>
    </row>
    <row r="882" spans="2:3" x14ac:dyDescent="0.25">
      <c r="B882" s="2"/>
      <c r="C882" s="2"/>
    </row>
    <row r="883" spans="2:3" x14ac:dyDescent="0.25">
      <c r="B883" s="2"/>
      <c r="C883" s="2"/>
    </row>
    <row r="884" spans="2:3" x14ac:dyDescent="0.25">
      <c r="B884" s="2"/>
      <c r="C884" s="2"/>
    </row>
    <row r="885" spans="2:3" x14ac:dyDescent="0.25">
      <c r="B885" s="2"/>
      <c r="C885" s="2"/>
    </row>
    <row r="886" spans="2:3" x14ac:dyDescent="0.25">
      <c r="B886" s="2"/>
      <c r="C886" s="2"/>
    </row>
    <row r="887" spans="2:3" x14ac:dyDescent="0.25">
      <c r="B887" s="2"/>
      <c r="C887" s="2"/>
    </row>
    <row r="888" spans="2:3" x14ac:dyDescent="0.25">
      <c r="B888" s="2"/>
      <c r="C888" s="2"/>
    </row>
    <row r="889" spans="2:3" x14ac:dyDescent="0.25">
      <c r="B889" s="2"/>
      <c r="C889" s="2"/>
    </row>
    <row r="890" spans="2:3" x14ac:dyDescent="0.25">
      <c r="B890" s="2"/>
      <c r="C890" s="2"/>
    </row>
    <row r="891" spans="2:3" x14ac:dyDescent="0.25">
      <c r="B891" s="2"/>
      <c r="C891" s="2"/>
    </row>
    <row r="892" spans="2:3" x14ac:dyDescent="0.25">
      <c r="B892" s="2"/>
      <c r="C892" s="2"/>
    </row>
    <row r="893" spans="2:3" x14ac:dyDescent="0.25">
      <c r="B893" s="2"/>
      <c r="C893" s="2"/>
    </row>
    <row r="894" spans="2:3" x14ac:dyDescent="0.25">
      <c r="B894" s="2"/>
      <c r="C894" s="2"/>
    </row>
    <row r="895" spans="2:3" x14ac:dyDescent="0.25">
      <c r="B895" s="2"/>
      <c r="C895" s="2"/>
    </row>
    <row r="896" spans="2:3" x14ac:dyDescent="0.25">
      <c r="B896" s="2"/>
      <c r="C896" s="2"/>
    </row>
    <row r="897" spans="2:3" x14ac:dyDescent="0.25">
      <c r="B897" s="2"/>
      <c r="C897" s="2"/>
    </row>
    <row r="898" spans="2:3" x14ac:dyDescent="0.25">
      <c r="B898" s="2"/>
      <c r="C898" s="2"/>
    </row>
    <row r="899" spans="2:3" x14ac:dyDescent="0.25">
      <c r="B899" s="2"/>
      <c r="C899" s="2"/>
    </row>
    <row r="900" spans="2:3" x14ac:dyDescent="0.25">
      <c r="B900" s="2"/>
      <c r="C900" s="2"/>
    </row>
    <row r="901" spans="2:3" x14ac:dyDescent="0.25">
      <c r="B901" s="2"/>
      <c r="C901" s="2"/>
    </row>
    <row r="902" spans="2:3" x14ac:dyDescent="0.25">
      <c r="B902" s="2"/>
      <c r="C902" s="2"/>
    </row>
    <row r="903" spans="2:3" x14ac:dyDescent="0.25">
      <c r="B903" s="2"/>
      <c r="C903" s="2"/>
    </row>
    <row r="904" spans="2:3" x14ac:dyDescent="0.25">
      <c r="B904" s="2"/>
      <c r="C904" s="2"/>
    </row>
    <row r="905" spans="2:3" x14ac:dyDescent="0.25">
      <c r="B905" s="2"/>
      <c r="C905" s="2"/>
    </row>
    <row r="906" spans="2:3" x14ac:dyDescent="0.25">
      <c r="B906" s="2"/>
      <c r="C906" s="2"/>
    </row>
    <row r="907" spans="2:3" x14ac:dyDescent="0.25">
      <c r="B907" s="2"/>
      <c r="C907" s="2"/>
    </row>
    <row r="908" spans="2:3" x14ac:dyDescent="0.25">
      <c r="B908" s="2"/>
      <c r="C908" s="2"/>
    </row>
    <row r="909" spans="2:3" x14ac:dyDescent="0.25">
      <c r="B909" s="2"/>
      <c r="C909" s="2"/>
    </row>
    <row r="910" spans="2:3" x14ac:dyDescent="0.25">
      <c r="B910" s="2"/>
      <c r="C910" s="2"/>
    </row>
    <row r="911" spans="2:3" x14ac:dyDescent="0.25">
      <c r="B911" s="2"/>
      <c r="C911" s="2"/>
    </row>
    <row r="912" spans="2:3" x14ac:dyDescent="0.25">
      <c r="B912" s="2"/>
      <c r="C912" s="2"/>
    </row>
    <row r="913" spans="2:3" x14ac:dyDescent="0.25">
      <c r="B913" s="2"/>
      <c r="C913" s="2"/>
    </row>
    <row r="914" spans="2:3" x14ac:dyDescent="0.25">
      <c r="B914" s="2"/>
      <c r="C914" s="2"/>
    </row>
    <row r="915" spans="2:3" x14ac:dyDescent="0.25">
      <c r="B915" s="2"/>
      <c r="C915" s="2"/>
    </row>
    <row r="916" spans="2:3" x14ac:dyDescent="0.25">
      <c r="B916" s="2"/>
      <c r="C916" s="2"/>
    </row>
    <row r="917" spans="2:3" x14ac:dyDescent="0.25">
      <c r="B917" s="2"/>
      <c r="C917" s="2"/>
    </row>
    <row r="918" spans="2:3" x14ac:dyDescent="0.25">
      <c r="B918" s="2"/>
      <c r="C918" s="2"/>
    </row>
    <row r="919" spans="2:3" x14ac:dyDescent="0.25">
      <c r="B919" s="2"/>
      <c r="C919" s="2"/>
    </row>
    <row r="920" spans="2:3" x14ac:dyDescent="0.25">
      <c r="B920" s="2"/>
      <c r="C920" s="2"/>
    </row>
    <row r="921" spans="2:3" x14ac:dyDescent="0.25">
      <c r="B921" s="2"/>
      <c r="C921" s="2"/>
    </row>
    <row r="922" spans="2:3" x14ac:dyDescent="0.25">
      <c r="B922" s="2"/>
      <c r="C922" s="2"/>
    </row>
    <row r="923" spans="2:3" x14ac:dyDescent="0.25">
      <c r="B923" s="2"/>
      <c r="C923" s="2"/>
    </row>
    <row r="924" spans="2:3" x14ac:dyDescent="0.25">
      <c r="B924" s="2"/>
      <c r="C924" s="2"/>
    </row>
    <row r="925" spans="2:3" x14ac:dyDescent="0.25">
      <c r="B925" s="2"/>
      <c r="C925" s="2"/>
    </row>
    <row r="926" spans="2:3" x14ac:dyDescent="0.25">
      <c r="B926" s="2"/>
      <c r="C926" s="2"/>
    </row>
    <row r="927" spans="2:3" x14ac:dyDescent="0.25">
      <c r="B927" s="2"/>
      <c r="C927" s="2"/>
    </row>
    <row r="928" spans="2:3" x14ac:dyDescent="0.25">
      <c r="B928" s="2"/>
      <c r="C928" s="2"/>
    </row>
    <row r="929" spans="2:3" x14ac:dyDescent="0.25">
      <c r="B929" s="2"/>
      <c r="C929" s="2"/>
    </row>
    <row r="930" spans="2:3" x14ac:dyDescent="0.25">
      <c r="B930" s="2"/>
      <c r="C930" s="2"/>
    </row>
    <row r="931" spans="2:3" x14ac:dyDescent="0.25">
      <c r="B931" s="2"/>
      <c r="C931" s="2"/>
    </row>
    <row r="932" spans="2:3" x14ac:dyDescent="0.25">
      <c r="B932" s="2"/>
      <c r="C932" s="2"/>
    </row>
    <row r="933" spans="2:3" x14ac:dyDescent="0.25">
      <c r="B933" s="2"/>
      <c r="C933" s="2"/>
    </row>
    <row r="934" spans="2:3" x14ac:dyDescent="0.25">
      <c r="B934" s="2"/>
      <c r="C934" s="2"/>
    </row>
    <row r="935" spans="2:3" x14ac:dyDescent="0.25">
      <c r="B935" s="2"/>
      <c r="C935" s="2"/>
    </row>
    <row r="936" spans="2:3" x14ac:dyDescent="0.25">
      <c r="B936" s="2"/>
      <c r="C936" s="2"/>
    </row>
    <row r="937" spans="2:3" x14ac:dyDescent="0.25">
      <c r="B937" s="2"/>
      <c r="C937" s="2"/>
    </row>
    <row r="938" spans="2:3" x14ac:dyDescent="0.25">
      <c r="B938" s="2"/>
      <c r="C938" s="2"/>
    </row>
    <row r="939" spans="2:3" x14ac:dyDescent="0.25">
      <c r="B939" s="2"/>
      <c r="C939" s="2"/>
    </row>
    <row r="940" spans="2:3" x14ac:dyDescent="0.25">
      <c r="B940" s="2"/>
      <c r="C940" s="2"/>
    </row>
    <row r="941" spans="2:3" x14ac:dyDescent="0.25">
      <c r="B941" s="2"/>
      <c r="C941" s="2"/>
    </row>
    <row r="942" spans="2:3" x14ac:dyDescent="0.25">
      <c r="B942" s="2"/>
      <c r="C942" s="2"/>
    </row>
    <row r="943" spans="2:3" x14ac:dyDescent="0.25">
      <c r="B943" s="2"/>
      <c r="C943" s="2"/>
    </row>
    <row r="944" spans="2:3" x14ac:dyDescent="0.25">
      <c r="B944" s="2"/>
      <c r="C944" s="2"/>
    </row>
    <row r="945" spans="2:3" x14ac:dyDescent="0.25">
      <c r="B945" s="2"/>
      <c r="C945" s="2"/>
    </row>
    <row r="946" spans="2:3" x14ac:dyDescent="0.25">
      <c r="B946" s="2"/>
      <c r="C946" s="2"/>
    </row>
    <row r="947" spans="2:3" x14ac:dyDescent="0.25">
      <c r="B947" s="2"/>
      <c r="C947" s="2"/>
    </row>
    <row r="948" spans="2:3" x14ac:dyDescent="0.25">
      <c r="B948" s="2"/>
      <c r="C948" s="2"/>
    </row>
    <row r="949" spans="2:3" x14ac:dyDescent="0.25">
      <c r="B949" s="2"/>
      <c r="C949" s="2"/>
    </row>
    <row r="950" spans="2:3" x14ac:dyDescent="0.25">
      <c r="B950" s="2"/>
      <c r="C950" s="2"/>
    </row>
    <row r="951" spans="2:3" x14ac:dyDescent="0.25">
      <c r="B951" s="2"/>
      <c r="C951" s="2"/>
    </row>
    <row r="952" spans="2:3" x14ac:dyDescent="0.25">
      <c r="B952" s="2"/>
      <c r="C952" s="2"/>
    </row>
    <row r="953" spans="2:3" x14ac:dyDescent="0.25">
      <c r="B953" s="2"/>
      <c r="C953" s="2"/>
    </row>
    <row r="954" spans="2:3" x14ac:dyDescent="0.25">
      <c r="B954" s="2"/>
      <c r="C954" s="2"/>
    </row>
    <row r="955" spans="2:3" x14ac:dyDescent="0.25">
      <c r="B955" s="2"/>
      <c r="C955" s="2"/>
    </row>
    <row r="956" spans="2:3" x14ac:dyDescent="0.25">
      <c r="B956" s="2"/>
      <c r="C956" s="2"/>
    </row>
    <row r="957" spans="2:3" x14ac:dyDescent="0.25">
      <c r="B957" s="2"/>
      <c r="C957" s="2"/>
    </row>
    <row r="958" spans="2:3" x14ac:dyDescent="0.25">
      <c r="B958" s="2"/>
      <c r="C958" s="2"/>
    </row>
    <row r="959" spans="2:3" x14ac:dyDescent="0.25">
      <c r="B959" s="2"/>
      <c r="C959" s="2"/>
    </row>
    <row r="960" spans="2:3" x14ac:dyDescent="0.25">
      <c r="B960" s="2"/>
      <c r="C960" s="2"/>
    </row>
    <row r="961" spans="2:3" x14ac:dyDescent="0.25">
      <c r="B961" s="2"/>
      <c r="C961" s="2"/>
    </row>
    <row r="962" spans="2:3" x14ac:dyDescent="0.25">
      <c r="B962" s="2"/>
      <c r="C962" s="2"/>
    </row>
    <row r="963" spans="2:3" x14ac:dyDescent="0.25">
      <c r="B963" s="2"/>
      <c r="C963" s="2"/>
    </row>
    <row r="964" spans="2:3" x14ac:dyDescent="0.25">
      <c r="B964" s="2"/>
      <c r="C964" s="2"/>
    </row>
    <row r="965" spans="2:3" x14ac:dyDescent="0.25">
      <c r="B965" s="2"/>
      <c r="C965" s="2"/>
    </row>
    <row r="966" spans="2:3" x14ac:dyDescent="0.25">
      <c r="B966" s="2"/>
      <c r="C966" s="2"/>
    </row>
    <row r="967" spans="2:3" x14ac:dyDescent="0.25">
      <c r="B967" s="2"/>
      <c r="C967" s="2"/>
    </row>
    <row r="968" spans="2:3" x14ac:dyDescent="0.25">
      <c r="B968" s="2"/>
      <c r="C968" s="2"/>
    </row>
    <row r="969" spans="2:3" x14ac:dyDescent="0.25">
      <c r="B969" s="2"/>
      <c r="C969" s="2"/>
    </row>
    <row r="970" spans="2:3" x14ac:dyDescent="0.25">
      <c r="B970" s="2"/>
      <c r="C970" s="2"/>
    </row>
    <row r="971" spans="2:3" x14ac:dyDescent="0.25">
      <c r="B971" s="2"/>
      <c r="C971" s="2"/>
    </row>
    <row r="972" spans="2:3" x14ac:dyDescent="0.25">
      <c r="B972" s="2"/>
      <c r="C972" s="2"/>
    </row>
    <row r="973" spans="2:3" x14ac:dyDescent="0.25">
      <c r="B973" s="2"/>
      <c r="C973" s="2"/>
    </row>
    <row r="974" spans="2:3" x14ac:dyDescent="0.25">
      <c r="B974" s="2"/>
      <c r="C974" s="2"/>
    </row>
    <row r="975" spans="2:3" x14ac:dyDescent="0.25">
      <c r="B975" s="2"/>
      <c r="C975" s="2"/>
    </row>
    <row r="976" spans="2:3" x14ac:dyDescent="0.25">
      <c r="B976" s="2"/>
      <c r="C976" s="2"/>
    </row>
    <row r="977" spans="2:3" x14ac:dyDescent="0.25">
      <c r="B977" s="2"/>
      <c r="C977" s="2"/>
    </row>
    <row r="978" spans="2:3" x14ac:dyDescent="0.25">
      <c r="B978" s="2"/>
      <c r="C978" s="2"/>
    </row>
    <row r="979" spans="2:3" x14ac:dyDescent="0.25">
      <c r="B979" s="2"/>
      <c r="C979" s="2"/>
    </row>
    <row r="980" spans="2:3" x14ac:dyDescent="0.25">
      <c r="B980" s="2"/>
      <c r="C980" s="2"/>
    </row>
    <row r="981" spans="2:3" x14ac:dyDescent="0.25">
      <c r="B981" s="2"/>
      <c r="C981" s="2"/>
    </row>
    <row r="982" spans="2:3" x14ac:dyDescent="0.25">
      <c r="B982" s="2"/>
      <c r="C982" s="2"/>
    </row>
    <row r="983" spans="2:3" x14ac:dyDescent="0.25">
      <c r="B983" s="2"/>
      <c r="C983" s="2"/>
    </row>
    <row r="984" spans="2:3" x14ac:dyDescent="0.25">
      <c r="B984" s="2"/>
      <c r="C984" s="2"/>
    </row>
    <row r="985" spans="2:3" x14ac:dyDescent="0.25">
      <c r="B985" s="2"/>
      <c r="C985" s="2"/>
    </row>
    <row r="986" spans="2:3" x14ac:dyDescent="0.25">
      <c r="B986" s="2"/>
      <c r="C986" s="2"/>
    </row>
    <row r="987" spans="2:3" x14ac:dyDescent="0.25">
      <c r="B987" s="2"/>
      <c r="C987" s="2"/>
    </row>
    <row r="988" spans="2:3" x14ac:dyDescent="0.25">
      <c r="B988" s="2"/>
      <c r="C988" s="2"/>
    </row>
    <row r="989" spans="2:3" x14ac:dyDescent="0.25">
      <c r="B989" s="2"/>
      <c r="C989" s="2"/>
    </row>
    <row r="990" spans="2:3" x14ac:dyDescent="0.25">
      <c r="B990" s="2"/>
      <c r="C990" s="2"/>
    </row>
    <row r="991" spans="2:3" x14ac:dyDescent="0.25">
      <c r="B991" s="2"/>
      <c r="C991" s="2"/>
    </row>
    <row r="992" spans="2:3" x14ac:dyDescent="0.25">
      <c r="B992" s="2"/>
      <c r="C992" s="2"/>
    </row>
    <row r="993" spans="2:3" x14ac:dyDescent="0.25">
      <c r="B993" s="2"/>
      <c r="C993" s="2"/>
    </row>
    <row r="994" spans="2:3" x14ac:dyDescent="0.25">
      <c r="B994" s="2"/>
      <c r="C994" s="2"/>
    </row>
    <row r="995" spans="2:3" x14ac:dyDescent="0.25">
      <c r="B995" s="2"/>
      <c r="C995" s="2"/>
    </row>
    <row r="996" spans="2:3" x14ac:dyDescent="0.25">
      <c r="B996" s="2"/>
      <c r="C996" s="2"/>
    </row>
    <row r="997" spans="2:3" x14ac:dyDescent="0.25">
      <c r="B997" s="2"/>
      <c r="C997" s="2"/>
    </row>
    <row r="998" spans="2:3" x14ac:dyDescent="0.25">
      <c r="B998" s="2"/>
      <c r="C998" s="2"/>
    </row>
    <row r="999" spans="2:3" x14ac:dyDescent="0.25">
      <c r="B999" s="2"/>
      <c r="C999" s="2"/>
    </row>
    <row r="1000" spans="2:3" x14ac:dyDescent="0.25">
      <c r="B1000" s="2"/>
      <c r="C1000" s="2"/>
    </row>
    <row r="1001" spans="2:3" x14ac:dyDescent="0.25">
      <c r="B1001" s="2"/>
      <c r="C1001" s="2"/>
    </row>
    <row r="1002" spans="2:3" x14ac:dyDescent="0.25">
      <c r="B1002" s="2"/>
      <c r="C1002" s="2"/>
    </row>
    <row r="1003" spans="2:3" x14ac:dyDescent="0.25">
      <c r="B1003" s="2"/>
      <c r="C1003" s="2"/>
    </row>
    <row r="1004" spans="2:3" x14ac:dyDescent="0.25">
      <c r="B1004" s="2"/>
      <c r="C1004" s="2"/>
    </row>
    <row r="1005" spans="2:3" x14ac:dyDescent="0.25">
      <c r="B1005" s="2"/>
      <c r="C1005" s="2"/>
    </row>
    <row r="1006" spans="2:3" x14ac:dyDescent="0.25">
      <c r="B1006" s="2"/>
      <c r="C1006" s="2"/>
    </row>
    <row r="1007" spans="2:3" x14ac:dyDescent="0.25">
      <c r="B1007" s="2"/>
      <c r="C1007" s="2"/>
    </row>
    <row r="1008" spans="2:3" x14ac:dyDescent="0.25">
      <c r="B1008" s="2"/>
      <c r="C1008" s="2"/>
    </row>
    <row r="1009" spans="2:3" x14ac:dyDescent="0.25">
      <c r="B1009" s="2"/>
      <c r="C1009" s="2"/>
    </row>
    <row r="1010" spans="2:3" x14ac:dyDescent="0.25">
      <c r="B1010" s="2"/>
      <c r="C1010" s="2"/>
    </row>
    <row r="1011" spans="2:3" x14ac:dyDescent="0.25">
      <c r="B1011" s="2"/>
      <c r="C1011" s="2"/>
    </row>
    <row r="1012" spans="2:3" x14ac:dyDescent="0.25">
      <c r="B1012" s="2"/>
      <c r="C1012" s="2"/>
    </row>
    <row r="1013" spans="2:3" x14ac:dyDescent="0.25">
      <c r="B1013" s="2"/>
      <c r="C1013" s="2"/>
    </row>
    <row r="1014" spans="2:3" x14ac:dyDescent="0.25">
      <c r="B1014" s="2"/>
      <c r="C1014" s="2"/>
    </row>
    <row r="1015" spans="2:3" x14ac:dyDescent="0.25">
      <c r="B1015" s="2"/>
      <c r="C1015" s="2"/>
    </row>
    <row r="1016" spans="2:3" x14ac:dyDescent="0.25">
      <c r="B1016" s="2"/>
      <c r="C1016" s="2"/>
    </row>
    <row r="1017" spans="2:3" x14ac:dyDescent="0.25">
      <c r="B1017" s="2"/>
      <c r="C1017" s="2"/>
    </row>
    <row r="1018" spans="2:3" x14ac:dyDescent="0.25">
      <c r="B1018" s="2"/>
      <c r="C1018" s="2"/>
    </row>
    <row r="1019" spans="2:3" x14ac:dyDescent="0.25">
      <c r="B1019" s="2"/>
      <c r="C1019" s="2"/>
    </row>
    <row r="1020" spans="2:3" x14ac:dyDescent="0.25">
      <c r="B1020" s="2"/>
      <c r="C1020" s="2"/>
    </row>
    <row r="1021" spans="2:3" x14ac:dyDescent="0.25">
      <c r="B1021" s="2"/>
      <c r="C1021" s="2"/>
    </row>
    <row r="1022" spans="2:3" x14ac:dyDescent="0.25">
      <c r="B1022" s="2"/>
      <c r="C1022" s="2"/>
    </row>
    <row r="1023" spans="2:3" x14ac:dyDescent="0.25">
      <c r="B1023" s="2"/>
      <c r="C1023" s="2"/>
    </row>
    <row r="1024" spans="2:3" x14ac:dyDescent="0.25">
      <c r="B1024" s="2"/>
      <c r="C1024" s="2"/>
    </row>
    <row r="1025" spans="2:3" x14ac:dyDescent="0.25">
      <c r="B1025" s="2"/>
      <c r="C1025" s="2"/>
    </row>
    <row r="1026" spans="2:3" x14ac:dyDescent="0.25">
      <c r="B1026" s="2"/>
      <c r="C1026" s="2"/>
    </row>
    <row r="1027" spans="2:3" x14ac:dyDescent="0.25">
      <c r="B1027" s="2"/>
      <c r="C1027" s="2"/>
    </row>
    <row r="1028" spans="2:3" x14ac:dyDescent="0.25">
      <c r="B1028" s="2"/>
      <c r="C1028" s="2"/>
    </row>
    <row r="1029" spans="2:3" x14ac:dyDescent="0.25">
      <c r="B1029" s="2"/>
      <c r="C1029" s="2"/>
    </row>
    <row r="1030" spans="2:3" x14ac:dyDescent="0.25">
      <c r="B1030" s="2"/>
      <c r="C1030" s="2"/>
    </row>
    <row r="1031" spans="2:3" x14ac:dyDescent="0.25">
      <c r="B1031" s="2"/>
      <c r="C1031" s="2"/>
    </row>
    <row r="1032" spans="2:3" x14ac:dyDescent="0.25">
      <c r="B1032" s="2"/>
      <c r="C1032" s="2"/>
    </row>
    <row r="1033" spans="2:3" x14ac:dyDescent="0.25">
      <c r="B1033" s="2"/>
      <c r="C1033" s="2"/>
    </row>
    <row r="1034" spans="2:3" x14ac:dyDescent="0.25">
      <c r="B1034" s="2"/>
      <c r="C1034" s="2"/>
    </row>
    <row r="1035" spans="2:3" x14ac:dyDescent="0.25">
      <c r="B1035" s="2"/>
      <c r="C1035" s="2"/>
    </row>
    <row r="1036" spans="2:3" x14ac:dyDescent="0.25">
      <c r="B1036" s="2"/>
      <c r="C1036" s="2"/>
    </row>
    <row r="1037" spans="2:3" x14ac:dyDescent="0.25">
      <c r="B1037" s="2"/>
      <c r="C1037" s="2"/>
    </row>
    <row r="1038" spans="2:3" x14ac:dyDescent="0.25">
      <c r="B1038" s="2"/>
      <c r="C1038" s="2"/>
    </row>
    <row r="1039" spans="2:3" x14ac:dyDescent="0.25">
      <c r="B1039" s="2"/>
      <c r="C1039" s="2"/>
    </row>
    <row r="1040" spans="2:3" x14ac:dyDescent="0.25">
      <c r="B1040" s="2"/>
      <c r="C1040" s="2"/>
    </row>
    <row r="1041" spans="2:3" x14ac:dyDescent="0.25">
      <c r="B1041" s="2"/>
      <c r="C1041" s="2"/>
    </row>
    <row r="1042" spans="2:3" x14ac:dyDescent="0.25">
      <c r="B1042" s="2"/>
      <c r="C1042" s="2"/>
    </row>
    <row r="1043" spans="2:3" x14ac:dyDescent="0.25">
      <c r="B1043" s="2"/>
      <c r="C1043" s="2"/>
    </row>
    <row r="1044" spans="2:3" x14ac:dyDescent="0.25">
      <c r="B1044" s="2"/>
      <c r="C1044" s="2"/>
    </row>
    <row r="1045" spans="2:3" x14ac:dyDescent="0.25">
      <c r="B1045" s="2"/>
      <c r="C1045" s="2"/>
    </row>
    <row r="1046" spans="2:3" x14ac:dyDescent="0.25">
      <c r="B1046" s="2"/>
      <c r="C1046" s="2"/>
    </row>
    <row r="1047" spans="2:3" x14ac:dyDescent="0.25">
      <c r="B1047" s="2"/>
      <c r="C1047" s="2"/>
    </row>
    <row r="1048" spans="2:3" x14ac:dyDescent="0.25">
      <c r="B1048" s="2"/>
      <c r="C1048" s="2"/>
    </row>
    <row r="1049" spans="2:3" x14ac:dyDescent="0.25">
      <c r="B1049" s="2"/>
      <c r="C1049" s="2"/>
    </row>
    <row r="1050" spans="2:3" x14ac:dyDescent="0.25">
      <c r="B1050" s="2"/>
      <c r="C1050" s="2"/>
    </row>
    <row r="1051" spans="2:3" x14ac:dyDescent="0.25">
      <c r="B1051" s="2"/>
      <c r="C1051" s="2"/>
    </row>
    <row r="1052" spans="2:3" x14ac:dyDescent="0.25">
      <c r="B1052" s="2"/>
      <c r="C1052" s="2"/>
    </row>
    <row r="1053" spans="2:3" x14ac:dyDescent="0.25">
      <c r="B1053" s="2"/>
      <c r="C1053" s="2"/>
    </row>
    <row r="1054" spans="2:3" x14ac:dyDescent="0.25">
      <c r="B1054" s="2"/>
      <c r="C1054" s="2"/>
    </row>
    <row r="1055" spans="2:3" x14ac:dyDescent="0.25">
      <c r="B1055" s="2"/>
      <c r="C1055" s="2"/>
    </row>
    <row r="1056" spans="2:3" x14ac:dyDescent="0.25">
      <c r="B1056" s="2"/>
      <c r="C1056" s="2"/>
    </row>
    <row r="1057" spans="2:3" x14ac:dyDescent="0.25">
      <c r="B1057" s="2"/>
      <c r="C1057" s="2"/>
    </row>
    <row r="1058" spans="2:3" x14ac:dyDescent="0.25">
      <c r="B1058" s="2"/>
      <c r="C1058" s="2"/>
    </row>
    <row r="1059" spans="2:3" x14ac:dyDescent="0.25">
      <c r="B1059" s="2"/>
      <c r="C1059" s="2"/>
    </row>
    <row r="1060" spans="2:3" x14ac:dyDescent="0.25">
      <c r="B1060" s="2"/>
      <c r="C1060" s="2"/>
    </row>
    <row r="1061" spans="2:3" x14ac:dyDescent="0.25">
      <c r="B1061" s="2"/>
      <c r="C1061" s="2"/>
    </row>
    <row r="1062" spans="2:3" x14ac:dyDescent="0.25">
      <c r="B1062" s="2"/>
      <c r="C1062" s="2"/>
    </row>
    <row r="1063" spans="2:3" x14ac:dyDescent="0.25">
      <c r="B1063" s="2"/>
      <c r="C1063" s="2"/>
    </row>
    <row r="1064" spans="2:3" x14ac:dyDescent="0.25">
      <c r="B1064" s="2"/>
      <c r="C1064" s="2"/>
    </row>
    <row r="1065" spans="2:3" x14ac:dyDescent="0.25">
      <c r="B1065" s="2"/>
      <c r="C1065" s="2"/>
    </row>
    <row r="1066" spans="2:3" x14ac:dyDescent="0.25">
      <c r="B1066" s="2"/>
      <c r="C1066" s="2"/>
    </row>
    <row r="1067" spans="2:3" x14ac:dyDescent="0.25">
      <c r="B1067" s="2"/>
      <c r="C1067" s="2"/>
    </row>
  </sheetData>
  <pageMargins left="0.75" right="0.75" top="1" bottom="1" header="0.5" footer="0.5"/>
  <pageSetup scale="61" fitToWidth="2" orientation="landscape" horizontalDpi="300"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A1:BG1094"/>
  <sheetViews>
    <sheetView workbookViewId="0"/>
  </sheetViews>
  <sheetFormatPr defaultColWidth="9.140625" defaultRowHeight="15" x14ac:dyDescent="0.25"/>
  <cols>
    <col min="1" max="1" width="29.7109375" style="6" customWidth="1"/>
    <col min="2" max="3" width="10.7109375" style="7" customWidth="1"/>
    <col min="4" max="4" width="10.7109375" style="17" customWidth="1"/>
    <col min="5" max="5" width="10.7109375" style="18" customWidth="1"/>
    <col min="6" max="13" width="10.7109375" style="17" customWidth="1"/>
    <col min="14" max="27" width="10.7109375" style="7" customWidth="1"/>
    <col min="28" max="59" width="9.140625" style="7"/>
    <col min="60" max="16384" width="9.140625" style="2"/>
  </cols>
  <sheetData>
    <row r="1" spans="1:59" x14ac:dyDescent="0.25">
      <c r="A1" s="4" t="str">
        <f>Inputs!A1</f>
        <v>Pfizer</v>
      </c>
      <c r="B1" s="2"/>
      <c r="C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row>
    <row r="2" spans="1:59" x14ac:dyDescent="0.25">
      <c r="A2" s="5" t="s">
        <v>225</v>
      </c>
      <c r="B2" s="2"/>
      <c r="C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row>
    <row r="4" spans="1:59" s="81" customFormat="1" ht="15.75" thickBot="1" x14ac:dyDescent="0.3">
      <c r="A4" s="80" t="str">
        <f>CONCATENATE("Fiscal Years Ending ",Inputs!B7)</f>
        <v>Fiscal Years Ending Dec. 31</v>
      </c>
      <c r="B4" s="81">
        <v>2012</v>
      </c>
      <c r="C4" s="81">
        <v>2013</v>
      </c>
      <c r="D4" s="81">
        <v>2014</v>
      </c>
      <c r="E4" s="81">
        <v>2015</v>
      </c>
      <c r="F4" s="81">
        <v>2016</v>
      </c>
      <c r="G4" s="81">
        <v>2017</v>
      </c>
      <c r="H4" s="81">
        <v>2018</v>
      </c>
      <c r="I4" s="81">
        <v>2019</v>
      </c>
      <c r="J4" s="81">
        <v>2020</v>
      </c>
      <c r="K4" s="81">
        <v>2021</v>
      </c>
      <c r="L4" s="81">
        <v>2022</v>
      </c>
      <c r="M4" s="81" t="s">
        <v>28</v>
      </c>
      <c r="N4" s="81" t="s">
        <v>29</v>
      </c>
      <c r="O4" s="81" t="s">
        <v>30</v>
      </c>
      <c r="P4" s="81" t="s">
        <v>31</v>
      </c>
      <c r="Q4" s="81" t="s">
        <v>32</v>
      </c>
      <c r="R4" s="81" t="s">
        <v>33</v>
      </c>
      <c r="S4" s="81" t="s">
        <v>34</v>
      </c>
      <c r="T4" s="81" t="s">
        <v>35</v>
      </c>
      <c r="U4" s="81" t="s">
        <v>36</v>
      </c>
      <c r="V4" s="81" t="s">
        <v>37</v>
      </c>
    </row>
    <row r="5" spans="1:59" s="9" customFormat="1" hidden="1" x14ac:dyDescent="0.25">
      <c r="A5" s="156" t="s">
        <v>129</v>
      </c>
      <c r="F5" s="157" t="s">
        <v>130</v>
      </c>
      <c r="G5" s="157" t="s">
        <v>131</v>
      </c>
      <c r="H5" s="157" t="s">
        <v>132</v>
      </c>
      <c r="I5" s="157" t="s">
        <v>133</v>
      </c>
      <c r="J5" s="157" t="s">
        <v>134</v>
      </c>
      <c r="K5" s="157" t="s">
        <v>135</v>
      </c>
      <c r="L5" s="157" t="s">
        <v>136</v>
      </c>
      <c r="M5" s="156"/>
      <c r="N5" s="156"/>
    </row>
    <row r="6" spans="1:59" s="9" customFormat="1" hidden="1" x14ac:dyDescent="0.25">
      <c r="A6" s="156" t="s">
        <v>145</v>
      </c>
      <c r="F6" s="157" t="s">
        <v>146</v>
      </c>
      <c r="G6" s="157" t="s">
        <v>146</v>
      </c>
      <c r="H6" s="157" t="s">
        <v>146</v>
      </c>
      <c r="I6" s="157" t="s">
        <v>146</v>
      </c>
      <c r="J6" s="157" t="s">
        <v>146</v>
      </c>
      <c r="K6" s="157" t="s">
        <v>146</v>
      </c>
      <c r="L6" s="157" t="s">
        <v>146</v>
      </c>
      <c r="M6" s="156"/>
      <c r="N6" s="156"/>
    </row>
    <row r="7" spans="1:59" s="9" customFormat="1" ht="30" hidden="1" x14ac:dyDescent="0.25">
      <c r="A7" s="156" t="s">
        <v>147</v>
      </c>
      <c r="F7" s="157" t="s">
        <v>148</v>
      </c>
      <c r="G7" s="157" t="s">
        <v>148</v>
      </c>
      <c r="H7" s="157" t="s">
        <v>148</v>
      </c>
      <c r="I7" s="157" t="s">
        <v>148</v>
      </c>
      <c r="J7" s="157" t="s">
        <v>148</v>
      </c>
      <c r="K7" s="157" t="s">
        <v>148</v>
      </c>
      <c r="L7" s="157" t="s">
        <v>148</v>
      </c>
      <c r="M7" s="156"/>
      <c r="N7" s="156"/>
    </row>
    <row r="8" spans="1:59" s="9" customFormat="1" hidden="1" x14ac:dyDescent="0.25">
      <c r="A8" s="156" t="s">
        <v>149</v>
      </c>
      <c r="F8" s="157" t="s">
        <v>150</v>
      </c>
      <c r="G8" s="157" t="s">
        <v>150</v>
      </c>
      <c r="H8" s="157" t="s">
        <v>150</v>
      </c>
      <c r="I8" s="157" t="s">
        <v>150</v>
      </c>
      <c r="J8" s="157" t="s">
        <v>150</v>
      </c>
      <c r="K8" s="157" t="s">
        <v>150</v>
      </c>
      <c r="L8" s="157" t="s">
        <v>150</v>
      </c>
      <c r="M8" s="156"/>
      <c r="N8" s="156"/>
    </row>
    <row r="9" spans="1:59" s="9" customFormat="1" hidden="1" x14ac:dyDescent="0.25">
      <c r="A9" s="156" t="s">
        <v>151</v>
      </c>
      <c r="F9" s="157" t="s">
        <v>152</v>
      </c>
      <c r="G9" s="157" t="s">
        <v>152</v>
      </c>
      <c r="H9" s="157" t="s">
        <v>152</v>
      </c>
      <c r="I9" s="157" t="s">
        <v>152</v>
      </c>
      <c r="J9" s="157" t="s">
        <v>152</v>
      </c>
      <c r="K9" s="157" t="s">
        <v>152</v>
      </c>
      <c r="L9" s="157" t="s">
        <v>152</v>
      </c>
      <c r="M9" s="156"/>
      <c r="N9" s="156"/>
    </row>
    <row r="10" spans="1:59" s="9" customFormat="1" x14ac:dyDescent="0.25">
      <c r="A10" s="158" t="s">
        <v>226</v>
      </c>
      <c r="F10" s="188">
        <v>2595</v>
      </c>
      <c r="G10" s="188">
        <v>1342</v>
      </c>
      <c r="H10" s="188">
        <v>1139</v>
      </c>
      <c r="I10" s="188">
        <v>1305</v>
      </c>
      <c r="J10" s="188">
        <v>1784</v>
      </c>
      <c r="K10" s="188">
        <v>1944</v>
      </c>
      <c r="L10" s="188">
        <v>416</v>
      </c>
      <c r="M10" s="158"/>
      <c r="N10" s="158"/>
    </row>
    <row r="11" spans="1:59" x14ac:dyDescent="0.25">
      <c r="A11" s="158" t="s">
        <v>227</v>
      </c>
      <c r="F11" s="188">
        <v>15255</v>
      </c>
      <c r="G11" s="188">
        <v>18650</v>
      </c>
      <c r="H11" s="188">
        <v>17694</v>
      </c>
      <c r="I11" s="188">
        <v>8525</v>
      </c>
      <c r="J11" s="188">
        <v>10437</v>
      </c>
      <c r="K11" s="188">
        <v>29125</v>
      </c>
      <c r="L11" s="188">
        <v>22316</v>
      </c>
      <c r="M11" s="158"/>
      <c r="N11" s="158"/>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row>
    <row r="12" spans="1:59" x14ac:dyDescent="0.25">
      <c r="A12" s="158" t="s">
        <v>228</v>
      </c>
      <c r="F12" s="188">
        <v>8834</v>
      </c>
      <c r="G12" s="188">
        <v>8805</v>
      </c>
      <c r="H12" s="188">
        <v>8566</v>
      </c>
      <c r="I12" s="188">
        <v>9251</v>
      </c>
      <c r="J12" s="188">
        <v>8438</v>
      </c>
      <c r="K12" s="188">
        <v>11971</v>
      </c>
      <c r="L12" s="188">
        <v>11401</v>
      </c>
      <c r="M12" s="158"/>
      <c r="N12" s="158"/>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row>
    <row r="13" spans="1:59" s="1" customFormat="1" x14ac:dyDescent="0.25">
      <c r="A13" s="160" t="s">
        <v>229</v>
      </c>
      <c r="F13" s="188">
        <v>609</v>
      </c>
      <c r="G13" s="188">
        <v>584</v>
      </c>
      <c r="H13" s="188">
        <v>541</v>
      </c>
      <c r="I13" s="188">
        <v>527</v>
      </c>
      <c r="J13" s="188">
        <v>508</v>
      </c>
      <c r="K13" s="188">
        <v>492</v>
      </c>
      <c r="L13" s="188">
        <v>449</v>
      </c>
      <c r="M13" s="158"/>
      <c r="N13" s="158"/>
    </row>
    <row r="14" spans="1:59" s="1" customFormat="1" x14ac:dyDescent="0.25">
      <c r="A14" s="158" t="s">
        <v>230</v>
      </c>
      <c r="F14" s="188">
        <v>8225</v>
      </c>
      <c r="G14" s="188">
        <v>8221</v>
      </c>
      <c r="H14" s="188">
        <v>8025</v>
      </c>
      <c r="I14" s="188">
        <v>8724</v>
      </c>
      <c r="J14" s="188">
        <v>7930</v>
      </c>
      <c r="K14" s="188">
        <v>11479</v>
      </c>
      <c r="L14" s="188">
        <v>10952</v>
      </c>
      <c r="M14" s="158"/>
      <c r="N14" s="158"/>
    </row>
    <row r="15" spans="1:59" s="1" customFormat="1" x14ac:dyDescent="0.25">
      <c r="A15" s="158" t="s">
        <v>231</v>
      </c>
      <c r="F15" s="188">
        <v>2293</v>
      </c>
      <c r="G15" s="188">
        <v>2883</v>
      </c>
      <c r="H15" s="188">
        <v>2262</v>
      </c>
      <c r="I15" s="188">
        <v>2750</v>
      </c>
      <c r="J15" s="188">
        <v>2878</v>
      </c>
      <c r="K15" s="188">
        <v>3641</v>
      </c>
      <c r="L15" s="188">
        <v>2603</v>
      </c>
      <c r="M15" s="158"/>
      <c r="N15" s="158"/>
    </row>
    <row r="16" spans="1:59" x14ac:dyDescent="0.25">
      <c r="A16" s="158" t="s">
        <v>232</v>
      </c>
      <c r="F16" s="188">
        <v>3696</v>
      </c>
      <c r="G16" s="188">
        <v>3908</v>
      </c>
      <c r="H16" s="188">
        <v>4701</v>
      </c>
      <c r="I16" s="188">
        <v>4743</v>
      </c>
      <c r="J16" s="188">
        <v>4430</v>
      </c>
      <c r="K16" s="188">
        <v>4424</v>
      </c>
      <c r="L16" s="188">
        <v>5519</v>
      </c>
      <c r="M16" s="158"/>
      <c r="N16" s="158"/>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row>
    <row r="17" spans="1:14" s="1" customFormat="1" x14ac:dyDescent="0.25">
      <c r="A17" s="158" t="s">
        <v>233</v>
      </c>
      <c r="F17" s="188">
        <v>793</v>
      </c>
      <c r="G17" s="188">
        <v>788</v>
      </c>
      <c r="H17" s="188">
        <v>546</v>
      </c>
      <c r="I17" s="188">
        <v>790</v>
      </c>
      <c r="J17" s="188">
        <v>738</v>
      </c>
      <c r="K17" s="188">
        <v>994</v>
      </c>
      <c r="L17" s="188">
        <v>859</v>
      </c>
      <c r="M17" s="158"/>
      <c r="N17" s="158"/>
    </row>
    <row r="18" spans="1:14" s="1" customFormat="1" x14ac:dyDescent="0.25">
      <c r="A18" s="158" t="s">
        <v>234</v>
      </c>
      <c r="F18" s="188">
        <v>6783</v>
      </c>
      <c r="G18" s="188">
        <v>7578</v>
      </c>
      <c r="H18" s="188">
        <v>7508</v>
      </c>
      <c r="I18" s="188">
        <v>8283</v>
      </c>
      <c r="J18" s="188">
        <v>8046</v>
      </c>
      <c r="K18" s="188">
        <v>9059</v>
      </c>
      <c r="L18" s="188">
        <v>8981</v>
      </c>
      <c r="M18" s="158"/>
      <c r="N18" s="158"/>
    </row>
    <row r="19" spans="1:14" s="2" customFormat="1" x14ac:dyDescent="0.25">
      <c r="A19" s="158" t="s">
        <v>235</v>
      </c>
      <c r="F19" s="188">
        <v>3041</v>
      </c>
      <c r="G19" s="188">
        <v>3050</v>
      </c>
      <c r="H19" s="188">
        <v>3374</v>
      </c>
      <c r="I19" s="188">
        <v>3344</v>
      </c>
      <c r="J19" s="188">
        <v>3264</v>
      </c>
      <c r="K19" s="188">
        <v>4266</v>
      </c>
      <c r="L19" s="188">
        <v>3577</v>
      </c>
      <c r="M19" s="158"/>
      <c r="N19" s="158"/>
    </row>
    <row r="20" spans="1:14" s="2" customFormat="1" x14ac:dyDescent="0.25">
      <c r="A20" s="158" t="s">
        <v>236</v>
      </c>
      <c r="F20" s="188">
        <v>2249</v>
      </c>
      <c r="G20" s="188">
        <v>2289</v>
      </c>
      <c r="H20" s="188">
        <v>2461</v>
      </c>
      <c r="I20" s="188">
        <v>2600</v>
      </c>
      <c r="J20" s="188">
        <v>3438</v>
      </c>
      <c r="K20" s="188">
        <v>3820</v>
      </c>
      <c r="L20" s="188">
        <v>5017</v>
      </c>
      <c r="M20" s="158"/>
      <c r="N20" s="158"/>
    </row>
    <row r="21" spans="1:14" s="2" customFormat="1" x14ac:dyDescent="0.25">
      <c r="A21" s="158" t="s">
        <v>237</v>
      </c>
      <c r="F21" s="188">
        <v>801</v>
      </c>
      <c r="G21" s="188">
        <v>12</v>
      </c>
      <c r="H21" s="188">
        <v>9725</v>
      </c>
      <c r="I21" s="188">
        <v>21</v>
      </c>
      <c r="J21" s="189" t="s">
        <v>54</v>
      </c>
      <c r="K21" s="189" t="s">
        <v>54</v>
      </c>
      <c r="L21" s="189" t="s">
        <v>54</v>
      </c>
      <c r="M21" s="158"/>
      <c r="N21" s="158"/>
    </row>
    <row r="22" spans="1:14" s="2" customFormat="1" x14ac:dyDescent="0.25">
      <c r="A22" s="161" t="s">
        <v>238</v>
      </c>
      <c r="B22" s="36"/>
      <c r="C22" s="36"/>
      <c r="D22" s="36"/>
      <c r="E22" s="36"/>
      <c r="F22" s="393" t="s">
        <v>54</v>
      </c>
      <c r="G22" s="393" t="s">
        <v>54</v>
      </c>
      <c r="H22" s="393" t="s">
        <v>54</v>
      </c>
      <c r="I22" s="393" t="s">
        <v>54</v>
      </c>
      <c r="J22" s="394">
        <v>167</v>
      </c>
      <c r="K22" s="393" t="s">
        <v>54</v>
      </c>
      <c r="L22" s="393" t="s">
        <v>54</v>
      </c>
      <c r="M22" s="158"/>
      <c r="N22" s="158"/>
    </row>
    <row r="23" spans="1:14" s="2" customFormat="1" x14ac:dyDescent="0.25">
      <c r="A23" s="162" t="s">
        <v>239</v>
      </c>
      <c r="F23" s="395">
        <v>38949</v>
      </c>
      <c r="G23" s="395">
        <v>41141</v>
      </c>
      <c r="H23" s="395">
        <v>49926</v>
      </c>
      <c r="I23" s="395">
        <v>32803</v>
      </c>
      <c r="J23" s="395">
        <v>35067</v>
      </c>
      <c r="K23" s="395">
        <v>59693</v>
      </c>
      <c r="L23" s="395">
        <v>51259</v>
      </c>
      <c r="M23" s="158"/>
      <c r="N23" s="158"/>
    </row>
    <row r="24" spans="1:14" s="2" customFormat="1" x14ac:dyDescent="0.25">
      <c r="A24" s="158" t="s">
        <v>240</v>
      </c>
      <c r="F24" s="189" t="s">
        <v>54</v>
      </c>
      <c r="G24" s="189" t="s">
        <v>54</v>
      </c>
      <c r="H24" s="189" t="s">
        <v>54</v>
      </c>
      <c r="I24" s="188">
        <v>17133</v>
      </c>
      <c r="J24" s="188">
        <v>16856</v>
      </c>
      <c r="K24" s="188">
        <v>16472</v>
      </c>
      <c r="L24" s="188">
        <v>11033</v>
      </c>
      <c r="M24" s="158"/>
      <c r="N24" s="158"/>
    </row>
    <row r="25" spans="1:14" s="1" customFormat="1" x14ac:dyDescent="0.25">
      <c r="A25" s="158" t="s">
        <v>241</v>
      </c>
      <c r="F25" s="188">
        <v>7116</v>
      </c>
      <c r="G25" s="188">
        <v>7015</v>
      </c>
      <c r="H25" s="188">
        <v>2767</v>
      </c>
      <c r="I25" s="188">
        <v>3014</v>
      </c>
      <c r="J25" s="188">
        <v>3406</v>
      </c>
      <c r="K25" s="188">
        <v>5054</v>
      </c>
      <c r="L25" s="188">
        <v>4036</v>
      </c>
      <c r="M25" s="158"/>
      <c r="N25" s="158"/>
    </row>
    <row r="26" spans="1:14" s="2" customFormat="1" x14ac:dyDescent="0.25">
      <c r="A26" s="158" t="s">
        <v>242</v>
      </c>
      <c r="F26" s="188">
        <v>530</v>
      </c>
      <c r="G26" s="188">
        <v>540</v>
      </c>
      <c r="H26" s="188">
        <v>500</v>
      </c>
      <c r="I26" s="188">
        <v>516</v>
      </c>
      <c r="J26" s="188">
        <v>444</v>
      </c>
      <c r="K26" s="188">
        <v>423</v>
      </c>
      <c r="L26" s="188">
        <v>368</v>
      </c>
      <c r="M26" s="158"/>
      <c r="N26" s="158"/>
    </row>
    <row r="27" spans="1:14" s="2" customFormat="1" x14ac:dyDescent="0.25">
      <c r="A27" s="158" t="s">
        <v>243</v>
      </c>
      <c r="F27" s="188">
        <v>9810</v>
      </c>
      <c r="G27" s="188">
        <v>10254</v>
      </c>
      <c r="H27" s="188">
        <v>9920</v>
      </c>
      <c r="I27" s="188">
        <v>10068</v>
      </c>
      <c r="J27" s="188">
        <v>9022</v>
      </c>
      <c r="K27" s="188">
        <v>9001</v>
      </c>
      <c r="L27" s="188">
        <v>8832</v>
      </c>
      <c r="M27" s="158"/>
      <c r="N27" s="158"/>
    </row>
    <row r="28" spans="1:14" s="2" customFormat="1" x14ac:dyDescent="0.25">
      <c r="A28" s="158" t="s">
        <v>244</v>
      </c>
      <c r="F28" s="188">
        <v>11248</v>
      </c>
      <c r="G28" s="188">
        <v>11902</v>
      </c>
      <c r="H28" s="188">
        <v>11871</v>
      </c>
      <c r="I28" s="188">
        <v>12281</v>
      </c>
      <c r="J28" s="188">
        <v>11153</v>
      </c>
      <c r="K28" s="188">
        <v>12252</v>
      </c>
      <c r="L28" s="188">
        <v>12881</v>
      </c>
      <c r="M28" s="158"/>
      <c r="N28" s="158"/>
    </row>
    <row r="29" spans="1:14" s="1" customFormat="1" x14ac:dyDescent="0.25">
      <c r="A29" s="158" t="s">
        <v>245</v>
      </c>
      <c r="F29" s="188">
        <v>4410</v>
      </c>
      <c r="G29" s="188">
        <v>4661</v>
      </c>
      <c r="H29" s="188">
        <v>4693</v>
      </c>
      <c r="I29" s="188">
        <v>4930</v>
      </c>
      <c r="J29" s="188">
        <v>4541</v>
      </c>
      <c r="K29" s="188">
        <v>4457</v>
      </c>
      <c r="L29" s="188">
        <v>4491</v>
      </c>
      <c r="M29" s="158"/>
      <c r="N29" s="158"/>
    </row>
    <row r="30" spans="1:14" s="1" customFormat="1" x14ac:dyDescent="0.25">
      <c r="A30" s="158" t="s">
        <v>246</v>
      </c>
      <c r="F30" s="188">
        <v>2127</v>
      </c>
      <c r="G30" s="188">
        <v>2680</v>
      </c>
      <c r="H30" s="188">
        <v>2992</v>
      </c>
      <c r="I30" s="188">
        <v>2960</v>
      </c>
      <c r="J30" s="188">
        <v>3552</v>
      </c>
      <c r="K30" s="188">
        <v>3822</v>
      </c>
      <c r="L30" s="188">
        <v>4875</v>
      </c>
      <c r="M30" s="158"/>
      <c r="N30" s="158"/>
    </row>
    <row r="31" spans="1:14" s="2" customFormat="1" x14ac:dyDescent="0.25">
      <c r="A31" s="158" t="s">
        <v>247</v>
      </c>
      <c r="F31" s="188">
        <v>28125</v>
      </c>
      <c r="G31" s="188">
        <v>30037</v>
      </c>
      <c r="H31" s="188">
        <v>29977</v>
      </c>
      <c r="I31" s="188">
        <v>30756</v>
      </c>
      <c r="J31" s="188">
        <v>28711</v>
      </c>
      <c r="K31" s="188">
        <v>29955</v>
      </c>
      <c r="L31" s="188">
        <v>31448</v>
      </c>
      <c r="M31" s="158"/>
      <c r="N31" s="158"/>
    </row>
    <row r="32" spans="1:14" s="1" customFormat="1" x14ac:dyDescent="0.25">
      <c r="A32" s="158" t="s">
        <v>248</v>
      </c>
      <c r="F32" s="188">
        <v>14807</v>
      </c>
      <c r="G32" s="188">
        <v>16172</v>
      </c>
      <c r="H32" s="188">
        <v>16591</v>
      </c>
      <c r="I32" s="188">
        <v>16789</v>
      </c>
      <c r="J32" s="188">
        <v>14812</v>
      </c>
      <c r="K32" s="188">
        <v>15074</v>
      </c>
      <c r="L32" s="188">
        <v>15174</v>
      </c>
      <c r="M32" s="158"/>
      <c r="N32" s="158"/>
    </row>
    <row r="33" spans="1:14" s="2" customFormat="1" x14ac:dyDescent="0.25">
      <c r="A33" s="158" t="s">
        <v>249</v>
      </c>
      <c r="F33" s="188">
        <v>13318</v>
      </c>
      <c r="G33" s="188">
        <v>13865</v>
      </c>
      <c r="H33" s="188">
        <v>13385</v>
      </c>
      <c r="I33" s="188">
        <v>13967</v>
      </c>
      <c r="J33" s="188">
        <v>13900</v>
      </c>
      <c r="K33" s="188">
        <v>14882</v>
      </c>
      <c r="L33" s="188">
        <v>16274</v>
      </c>
      <c r="M33" s="158"/>
      <c r="N33" s="158"/>
    </row>
    <row r="34" spans="1:14" s="2" customFormat="1" x14ac:dyDescent="0.25">
      <c r="A34" s="158" t="s">
        <v>250</v>
      </c>
      <c r="F34" s="188">
        <v>52648</v>
      </c>
      <c r="G34" s="188">
        <v>48741</v>
      </c>
      <c r="H34" s="188">
        <v>35211</v>
      </c>
      <c r="I34" s="188">
        <v>35370</v>
      </c>
      <c r="J34" s="188">
        <v>28471</v>
      </c>
      <c r="K34" s="188">
        <v>25146</v>
      </c>
      <c r="L34" s="188">
        <v>43370</v>
      </c>
      <c r="M34" s="158"/>
      <c r="N34" s="158"/>
    </row>
    <row r="35" spans="1:14" s="2" customFormat="1" x14ac:dyDescent="0.25">
      <c r="A35" s="158" t="s">
        <v>251</v>
      </c>
      <c r="F35" s="188">
        <v>54449</v>
      </c>
      <c r="G35" s="188">
        <v>55952</v>
      </c>
      <c r="H35" s="188">
        <v>53411</v>
      </c>
      <c r="I35" s="188">
        <v>58653</v>
      </c>
      <c r="J35" s="188">
        <v>49577</v>
      </c>
      <c r="K35" s="188">
        <v>49208</v>
      </c>
      <c r="L35" s="188">
        <v>51375</v>
      </c>
      <c r="M35" s="158"/>
      <c r="N35" s="158"/>
    </row>
    <row r="36" spans="1:14" s="2" customFormat="1" x14ac:dyDescent="0.25">
      <c r="A36" s="158" t="s">
        <v>252</v>
      </c>
      <c r="F36" s="188">
        <v>1812</v>
      </c>
      <c r="G36" s="188">
        <v>1855</v>
      </c>
      <c r="H36" s="188">
        <v>1924</v>
      </c>
      <c r="I36" s="188">
        <v>2099</v>
      </c>
      <c r="J36" s="188">
        <v>2383</v>
      </c>
      <c r="K36" s="188">
        <v>3341</v>
      </c>
      <c r="L36" s="188">
        <v>6693</v>
      </c>
      <c r="M36" s="158"/>
      <c r="N36" s="158"/>
    </row>
    <row r="37" spans="1:14" s="2" customFormat="1" x14ac:dyDescent="0.25">
      <c r="A37" s="158" t="s">
        <v>253</v>
      </c>
      <c r="F37" s="188">
        <v>3323</v>
      </c>
      <c r="G37" s="188">
        <v>3227</v>
      </c>
      <c r="H37" s="188">
        <v>2799</v>
      </c>
      <c r="I37" s="188">
        <v>4450</v>
      </c>
      <c r="J37" s="188">
        <v>4569</v>
      </c>
      <c r="K37" s="188">
        <v>7679</v>
      </c>
      <c r="L37" s="188">
        <v>13163</v>
      </c>
      <c r="M37" s="158"/>
      <c r="N37" s="158"/>
    </row>
    <row r="38" spans="1:14" s="2" customFormat="1" x14ac:dyDescent="0.25">
      <c r="A38" s="158" t="s">
        <v>254</v>
      </c>
      <c r="F38" s="188">
        <v>171615</v>
      </c>
      <c r="G38" s="188">
        <v>171797</v>
      </c>
      <c r="H38" s="188">
        <v>159422</v>
      </c>
      <c r="I38" s="188">
        <v>167489</v>
      </c>
      <c r="J38" s="188">
        <v>154229</v>
      </c>
      <c r="K38" s="188">
        <v>181476</v>
      </c>
      <c r="L38" s="188">
        <v>197205</v>
      </c>
      <c r="M38" s="158"/>
      <c r="N38" s="158"/>
    </row>
    <row r="39" spans="1:14" s="2" customFormat="1" x14ac:dyDescent="0.25">
      <c r="A39" s="158" t="s">
        <v>255</v>
      </c>
      <c r="F39" s="188">
        <v>10688</v>
      </c>
      <c r="G39" s="188">
        <v>9953</v>
      </c>
      <c r="H39" s="188">
        <v>8831</v>
      </c>
      <c r="I39" s="188">
        <v>16195</v>
      </c>
      <c r="J39" s="188">
        <v>2703</v>
      </c>
      <c r="K39" s="188">
        <v>2241</v>
      </c>
      <c r="L39" s="188">
        <v>2945</v>
      </c>
      <c r="M39" s="158"/>
      <c r="N39" s="158"/>
    </row>
    <row r="40" spans="1:14" s="2" customFormat="1" x14ac:dyDescent="0.25">
      <c r="A40" s="158" t="s">
        <v>256</v>
      </c>
      <c r="F40" s="188">
        <v>4536</v>
      </c>
      <c r="G40" s="188">
        <v>4656</v>
      </c>
      <c r="H40" s="188">
        <v>4674</v>
      </c>
      <c r="I40" s="188">
        <v>4220</v>
      </c>
      <c r="J40" s="188">
        <v>4309</v>
      </c>
      <c r="K40" s="188">
        <v>5578</v>
      </c>
      <c r="L40" s="188">
        <v>6809</v>
      </c>
      <c r="M40" s="158"/>
      <c r="N40" s="158"/>
    </row>
    <row r="41" spans="1:14" s="2" customFormat="1" x14ac:dyDescent="0.25">
      <c r="A41" s="158" t="s">
        <v>257</v>
      </c>
      <c r="F41" s="188">
        <v>1944</v>
      </c>
      <c r="G41" s="188">
        <v>2029</v>
      </c>
      <c r="H41" s="188">
        <v>2047</v>
      </c>
      <c r="I41" s="188">
        <v>2104</v>
      </c>
      <c r="J41" s="188">
        <v>2162</v>
      </c>
      <c r="K41" s="188">
        <v>2249</v>
      </c>
      <c r="L41" s="188">
        <v>2303</v>
      </c>
      <c r="M41" s="158"/>
      <c r="N41" s="158"/>
    </row>
    <row r="42" spans="1:14" s="9" customFormat="1" x14ac:dyDescent="0.25">
      <c r="A42" s="158" t="s">
        <v>258</v>
      </c>
      <c r="F42" s="188">
        <v>437</v>
      </c>
      <c r="G42" s="188">
        <v>477</v>
      </c>
      <c r="H42" s="188">
        <v>1265</v>
      </c>
      <c r="I42" s="188">
        <v>980</v>
      </c>
      <c r="J42" s="188">
        <v>1049</v>
      </c>
      <c r="K42" s="188">
        <v>1266</v>
      </c>
      <c r="L42" s="188">
        <v>1587</v>
      </c>
      <c r="M42" s="158"/>
      <c r="N42" s="158"/>
    </row>
    <row r="43" spans="1:14" s="9" customFormat="1" x14ac:dyDescent="0.25">
      <c r="A43" s="158" t="s">
        <v>259</v>
      </c>
      <c r="F43" s="188">
        <v>2487</v>
      </c>
      <c r="G43" s="188">
        <v>2196</v>
      </c>
      <c r="H43" s="188">
        <v>2397</v>
      </c>
      <c r="I43" s="188">
        <v>2720</v>
      </c>
      <c r="J43" s="188">
        <v>3058</v>
      </c>
      <c r="K43" s="188">
        <v>3332</v>
      </c>
      <c r="L43" s="188">
        <v>3407</v>
      </c>
      <c r="M43" s="158"/>
      <c r="N43" s="158"/>
    </row>
    <row r="44" spans="1:14" s="9" customFormat="1" x14ac:dyDescent="0.25">
      <c r="A44" s="158" t="s">
        <v>260</v>
      </c>
      <c r="F44" s="189" t="s">
        <v>54</v>
      </c>
      <c r="G44" s="189" t="s">
        <v>54</v>
      </c>
      <c r="H44" s="189" t="s">
        <v>54</v>
      </c>
      <c r="I44" s="189" t="s">
        <v>54</v>
      </c>
      <c r="J44" s="189" t="s">
        <v>54</v>
      </c>
      <c r="K44" s="188">
        <v>3067</v>
      </c>
      <c r="L44" s="188">
        <v>2520</v>
      </c>
      <c r="M44" s="158"/>
      <c r="N44" s="158"/>
    </row>
    <row r="45" spans="1:14" s="9" customFormat="1" x14ac:dyDescent="0.25">
      <c r="A45" s="158" t="s">
        <v>261</v>
      </c>
      <c r="F45" s="188">
        <v>11023</v>
      </c>
      <c r="G45" s="188">
        <v>11115</v>
      </c>
      <c r="H45" s="188">
        <v>10753</v>
      </c>
      <c r="I45" s="188">
        <v>11083</v>
      </c>
      <c r="J45" s="188">
        <v>12640</v>
      </c>
      <c r="K45" s="188">
        <v>24939</v>
      </c>
      <c r="L45" s="188">
        <v>22568</v>
      </c>
      <c r="M45" s="158"/>
      <c r="N45" s="158"/>
    </row>
    <row r="46" spans="1:14" s="16" customFormat="1" x14ac:dyDescent="0.25">
      <c r="A46" s="161" t="s">
        <v>262</v>
      </c>
      <c r="B46" s="195"/>
      <c r="C46" s="195"/>
      <c r="D46" s="195"/>
      <c r="E46" s="195"/>
      <c r="F46" s="393" t="s">
        <v>54</v>
      </c>
      <c r="G46" s="393" t="s">
        <v>54</v>
      </c>
      <c r="H46" s="394">
        <v>1890</v>
      </c>
      <c r="I46" s="393" t="s">
        <v>54</v>
      </c>
      <c r="J46" s="393" t="s">
        <v>54</v>
      </c>
      <c r="K46" s="393" t="s">
        <v>54</v>
      </c>
      <c r="L46" s="393" t="s">
        <v>54</v>
      </c>
      <c r="M46" s="158"/>
      <c r="N46" s="158"/>
    </row>
    <row r="47" spans="1:14" s="2" customFormat="1" x14ac:dyDescent="0.25">
      <c r="A47" s="162" t="s">
        <v>263</v>
      </c>
      <c r="F47" s="395">
        <v>31115</v>
      </c>
      <c r="G47" s="395">
        <v>30427</v>
      </c>
      <c r="H47" s="395">
        <v>31858</v>
      </c>
      <c r="I47" s="395">
        <v>37304</v>
      </c>
      <c r="J47" s="395">
        <v>25920</v>
      </c>
      <c r="K47" s="395">
        <v>42671</v>
      </c>
      <c r="L47" s="395">
        <v>42138</v>
      </c>
      <c r="M47" s="158"/>
      <c r="N47" s="158"/>
    </row>
    <row r="48" spans="1:14" s="2" customFormat="1" x14ac:dyDescent="0.25">
      <c r="A48" s="158" t="s">
        <v>264</v>
      </c>
      <c r="F48" s="189" t="s">
        <v>54</v>
      </c>
      <c r="G48" s="188">
        <v>32783</v>
      </c>
      <c r="H48" s="188">
        <v>32558</v>
      </c>
      <c r="I48" s="188">
        <v>34820</v>
      </c>
      <c r="J48" s="188">
        <v>35774</v>
      </c>
      <c r="K48" s="188">
        <v>34948</v>
      </c>
      <c r="L48" s="188">
        <v>32080</v>
      </c>
      <c r="M48" s="158"/>
      <c r="N48" s="158"/>
    </row>
    <row r="49" spans="1:14" s="2" customFormat="1" x14ac:dyDescent="0.25">
      <c r="A49" s="158" t="s">
        <v>265</v>
      </c>
      <c r="F49" s="189" t="s">
        <v>54</v>
      </c>
      <c r="G49" s="188">
        <v>872</v>
      </c>
      <c r="H49" s="188">
        <v>479</v>
      </c>
      <c r="I49" s="188">
        <v>1305</v>
      </c>
      <c r="J49" s="188">
        <v>1562</v>
      </c>
      <c r="K49" s="188">
        <v>1438</v>
      </c>
      <c r="L49" s="188">
        <v>959</v>
      </c>
      <c r="M49" s="158"/>
      <c r="N49" s="158"/>
    </row>
    <row r="50" spans="1:14" s="2" customFormat="1" x14ac:dyDescent="0.25">
      <c r="A50" s="158" t="s">
        <v>266</v>
      </c>
      <c r="F50" s="189" t="s">
        <v>54</v>
      </c>
      <c r="G50" s="188">
        <v>-125</v>
      </c>
      <c r="H50" s="188">
        <v>-136</v>
      </c>
      <c r="I50" s="188">
        <v>-176</v>
      </c>
      <c r="J50" s="188">
        <v>-207</v>
      </c>
      <c r="K50" s="188">
        <v>-195</v>
      </c>
      <c r="L50" s="188">
        <v>-175</v>
      </c>
      <c r="M50" s="158"/>
      <c r="N50" s="158"/>
    </row>
    <row r="51" spans="1:14" s="2" customFormat="1" x14ac:dyDescent="0.25">
      <c r="A51" s="158" t="s">
        <v>267</v>
      </c>
      <c r="F51" s="189" t="s">
        <v>54</v>
      </c>
      <c r="G51" s="188">
        <v>8</v>
      </c>
      <c r="H51" s="188">
        <v>7</v>
      </c>
      <c r="I51" s="188">
        <v>5</v>
      </c>
      <c r="J51" s="188">
        <v>4</v>
      </c>
      <c r="K51" s="188">
        <v>4</v>
      </c>
      <c r="L51" s="188">
        <v>20</v>
      </c>
      <c r="M51" s="158"/>
      <c r="N51" s="158"/>
    </row>
    <row r="52" spans="1:14" s="2" customFormat="1" x14ac:dyDescent="0.25">
      <c r="A52" s="158" t="s">
        <v>268</v>
      </c>
      <c r="F52" s="188">
        <v>31398</v>
      </c>
      <c r="G52" s="188">
        <v>33538</v>
      </c>
      <c r="H52" s="188">
        <v>32909</v>
      </c>
      <c r="I52" s="188">
        <v>35955</v>
      </c>
      <c r="J52" s="188">
        <v>37133</v>
      </c>
      <c r="K52" s="188">
        <v>36195</v>
      </c>
      <c r="L52" s="188">
        <v>32884</v>
      </c>
      <c r="M52" s="158"/>
      <c r="N52" s="158"/>
    </row>
    <row r="53" spans="1:14" s="2" customFormat="1" x14ac:dyDescent="0.25">
      <c r="A53" s="158" t="s">
        <v>269</v>
      </c>
      <c r="F53" s="188">
        <v>6406</v>
      </c>
      <c r="G53" s="188">
        <v>5926</v>
      </c>
      <c r="H53" s="188">
        <v>5272</v>
      </c>
      <c r="I53" s="188">
        <v>5638</v>
      </c>
      <c r="J53" s="188">
        <v>4766</v>
      </c>
      <c r="K53" s="188">
        <v>3489</v>
      </c>
      <c r="L53" s="189" t="s">
        <v>54</v>
      </c>
      <c r="M53" s="158"/>
      <c r="N53" s="158"/>
    </row>
    <row r="54" spans="1:14" s="2" customFormat="1" x14ac:dyDescent="0.25">
      <c r="A54" s="158" t="s">
        <v>270</v>
      </c>
      <c r="F54" s="188">
        <v>1766</v>
      </c>
      <c r="G54" s="188">
        <v>1504</v>
      </c>
      <c r="H54" s="188">
        <v>1338</v>
      </c>
      <c r="I54" s="188">
        <v>1124</v>
      </c>
      <c r="J54" s="188">
        <v>645</v>
      </c>
      <c r="K54" s="188">
        <v>235</v>
      </c>
      <c r="L54" s="189" t="s">
        <v>54</v>
      </c>
      <c r="M54" s="158"/>
      <c r="N54" s="158"/>
    </row>
    <row r="55" spans="1:14" s="2" customFormat="1" x14ac:dyDescent="0.25">
      <c r="A55" s="158" t="s">
        <v>271</v>
      </c>
      <c r="F55" s="189" t="s">
        <v>54</v>
      </c>
      <c r="G55" s="189" t="s">
        <v>54</v>
      </c>
      <c r="H55" s="189" t="s">
        <v>54</v>
      </c>
      <c r="I55" s="189" t="s">
        <v>54</v>
      </c>
      <c r="J55" s="189" t="s">
        <v>54</v>
      </c>
      <c r="K55" s="189" t="s">
        <v>54</v>
      </c>
      <c r="L55" s="188">
        <v>2250</v>
      </c>
      <c r="M55" s="158"/>
      <c r="N55" s="158"/>
    </row>
    <row r="56" spans="1:14" s="2" customFormat="1" x14ac:dyDescent="0.25">
      <c r="A56" s="158" t="s">
        <v>272</v>
      </c>
      <c r="F56" s="188">
        <v>30753</v>
      </c>
      <c r="G56" s="188">
        <v>3900</v>
      </c>
      <c r="H56" s="188">
        <v>3700</v>
      </c>
      <c r="I56" s="188">
        <v>5578</v>
      </c>
      <c r="J56" s="188">
        <v>4063</v>
      </c>
      <c r="K56" s="188">
        <v>349</v>
      </c>
      <c r="L56" s="188">
        <v>1023</v>
      </c>
      <c r="M56" s="158"/>
      <c r="N56" s="158"/>
    </row>
    <row r="57" spans="1:14" s="2" customFormat="1" x14ac:dyDescent="0.25">
      <c r="A57" s="158" t="s">
        <v>273</v>
      </c>
      <c r="F57" s="188">
        <v>4000</v>
      </c>
      <c r="G57" s="188">
        <v>18697</v>
      </c>
      <c r="H57" s="188">
        <v>14737</v>
      </c>
      <c r="I57" s="188">
        <v>12126</v>
      </c>
      <c r="J57" s="188">
        <v>11560</v>
      </c>
      <c r="K57" s="188">
        <v>11331</v>
      </c>
      <c r="L57" s="188">
        <v>9812</v>
      </c>
      <c r="M57" s="158"/>
      <c r="N57" s="158"/>
    </row>
    <row r="58" spans="1:14" s="2" customFormat="1" x14ac:dyDescent="0.25">
      <c r="A58" s="158" t="s">
        <v>274</v>
      </c>
      <c r="F58" s="188">
        <v>6337</v>
      </c>
      <c r="G58" s="188">
        <v>6149</v>
      </c>
      <c r="H58" s="188">
        <v>5850</v>
      </c>
      <c r="I58" s="188">
        <v>6317</v>
      </c>
      <c r="J58" s="188">
        <v>6669</v>
      </c>
      <c r="K58" s="188">
        <v>9743</v>
      </c>
      <c r="L58" s="188">
        <v>13180</v>
      </c>
      <c r="M58" s="158"/>
      <c r="N58" s="158"/>
    </row>
    <row r="59" spans="1:14" s="2" customFormat="1" x14ac:dyDescent="0.25">
      <c r="A59" s="194" t="s">
        <v>275</v>
      </c>
      <c r="B59" s="36"/>
      <c r="C59" s="36"/>
      <c r="D59" s="36"/>
      <c r="E59" s="36"/>
      <c r="F59" s="396">
        <v>111776</v>
      </c>
      <c r="G59" s="396">
        <v>100141</v>
      </c>
      <c r="H59" s="396">
        <v>95664</v>
      </c>
      <c r="I59" s="396">
        <v>104042</v>
      </c>
      <c r="J59" s="396">
        <v>90756</v>
      </c>
      <c r="K59" s="396">
        <v>104013</v>
      </c>
      <c r="L59" s="396">
        <v>101288</v>
      </c>
      <c r="M59" s="158"/>
      <c r="N59" s="158"/>
    </row>
    <row r="60" spans="1:14" s="2" customFormat="1" x14ac:dyDescent="0.25">
      <c r="A60" s="158" t="s">
        <v>276</v>
      </c>
      <c r="F60" s="188">
        <v>24</v>
      </c>
      <c r="G60" s="188">
        <v>21</v>
      </c>
      <c r="H60" s="188">
        <v>19</v>
      </c>
      <c r="I60" s="188">
        <v>17</v>
      </c>
      <c r="J60" s="189" t="s">
        <v>54</v>
      </c>
      <c r="K60" s="189" t="s">
        <v>54</v>
      </c>
      <c r="L60" s="189" t="s">
        <v>54</v>
      </c>
      <c r="M60" s="158"/>
      <c r="N60" s="158"/>
    </row>
    <row r="61" spans="1:14" s="2" customFormat="1" x14ac:dyDescent="0.25">
      <c r="A61" s="158" t="s">
        <v>277</v>
      </c>
      <c r="F61" s="188">
        <v>461</v>
      </c>
      <c r="G61" s="188">
        <v>464</v>
      </c>
      <c r="H61" s="188">
        <v>467</v>
      </c>
      <c r="I61" s="188">
        <v>468</v>
      </c>
      <c r="J61" s="188">
        <v>470</v>
      </c>
      <c r="K61" s="188">
        <v>473</v>
      </c>
      <c r="L61" s="188">
        <v>476</v>
      </c>
      <c r="M61" s="158"/>
      <c r="N61" s="158"/>
    </row>
    <row r="62" spans="1:14" s="2" customFormat="1" x14ac:dyDescent="0.25">
      <c r="A62" s="158" t="s">
        <v>278</v>
      </c>
      <c r="F62" s="188">
        <v>82685</v>
      </c>
      <c r="G62" s="188">
        <v>84278</v>
      </c>
      <c r="H62" s="188">
        <v>86253</v>
      </c>
      <c r="I62" s="188">
        <v>87428</v>
      </c>
      <c r="J62" s="188">
        <v>88674</v>
      </c>
      <c r="K62" s="188">
        <v>90591</v>
      </c>
      <c r="L62" s="188">
        <v>91802</v>
      </c>
      <c r="M62" s="158"/>
      <c r="N62" s="158"/>
    </row>
    <row r="63" spans="1:14" s="2" customFormat="1" x14ac:dyDescent="0.25">
      <c r="A63" s="158" t="s">
        <v>279</v>
      </c>
      <c r="F63" s="188">
        <v>84364</v>
      </c>
      <c r="G63" s="188">
        <v>89425</v>
      </c>
      <c r="H63" s="188">
        <v>101610</v>
      </c>
      <c r="I63" s="188">
        <v>110801</v>
      </c>
      <c r="J63" s="188">
        <v>110988</v>
      </c>
      <c r="K63" s="188">
        <v>111361</v>
      </c>
      <c r="L63" s="188">
        <v>113969</v>
      </c>
      <c r="M63" s="158"/>
      <c r="N63" s="158"/>
    </row>
    <row r="64" spans="1:14" s="2" customFormat="1" x14ac:dyDescent="0.25">
      <c r="A64" s="158" t="s">
        <v>280</v>
      </c>
      <c r="F64" s="188">
        <v>71774</v>
      </c>
      <c r="G64" s="188">
        <v>85291</v>
      </c>
      <c r="H64" s="188">
        <v>89554</v>
      </c>
      <c r="I64" s="188">
        <v>97670</v>
      </c>
      <c r="J64" s="188">
        <v>96770</v>
      </c>
      <c r="K64" s="188">
        <v>103394</v>
      </c>
      <c r="L64" s="188">
        <v>125656</v>
      </c>
      <c r="M64" s="158"/>
      <c r="N64" s="158"/>
    </row>
    <row r="65" spans="1:14" s="2" customFormat="1" x14ac:dyDescent="0.25">
      <c r="A65" s="158" t="s">
        <v>281</v>
      </c>
      <c r="F65" s="188">
        <v>-6659</v>
      </c>
      <c r="G65" s="188">
        <v>-5180</v>
      </c>
      <c r="H65" s="188">
        <v>-6075</v>
      </c>
      <c r="I65" s="188">
        <v>-5952</v>
      </c>
      <c r="J65" s="188">
        <v>-5321</v>
      </c>
      <c r="K65" s="188">
        <v>-6172</v>
      </c>
      <c r="L65" s="188">
        <v>-8360</v>
      </c>
      <c r="M65" s="158"/>
      <c r="N65" s="158"/>
    </row>
    <row r="66" spans="1:14" s="2" customFormat="1" x14ac:dyDescent="0.25">
      <c r="A66" s="158" t="s">
        <v>282</v>
      </c>
      <c r="F66" s="188">
        <v>348</v>
      </c>
      <c r="G66" s="188">
        <v>-30</v>
      </c>
      <c r="H66" s="188">
        <v>167</v>
      </c>
      <c r="I66" s="188">
        <v>20</v>
      </c>
      <c r="J66" s="188">
        <v>-428</v>
      </c>
      <c r="K66" s="188">
        <v>119</v>
      </c>
      <c r="L66" s="188">
        <v>-412</v>
      </c>
      <c r="M66" s="158"/>
      <c r="N66" s="158"/>
    </row>
    <row r="67" spans="1:14" s="2" customFormat="1" x14ac:dyDescent="0.25">
      <c r="A67" s="158" t="s">
        <v>283</v>
      </c>
      <c r="F67" s="188">
        <v>-131</v>
      </c>
      <c r="G67" s="188">
        <v>401</v>
      </c>
      <c r="H67" s="188">
        <v>-68</v>
      </c>
      <c r="I67" s="188">
        <v>-35</v>
      </c>
      <c r="J67" s="188">
        <v>116</v>
      </c>
      <c r="K67" s="188">
        <v>-220</v>
      </c>
      <c r="L67" s="188">
        <v>220</v>
      </c>
      <c r="M67" s="158"/>
      <c r="N67" s="158"/>
    </row>
    <row r="68" spans="1:14" s="2" customFormat="1" x14ac:dyDescent="0.25">
      <c r="A68" s="158" t="s">
        <v>284</v>
      </c>
      <c r="F68" s="188">
        <v>-5473</v>
      </c>
      <c r="G68" s="188">
        <v>-5262</v>
      </c>
      <c r="H68" s="188">
        <v>-6027</v>
      </c>
      <c r="I68" s="188">
        <v>-6257</v>
      </c>
      <c r="J68" s="188">
        <v>-6507</v>
      </c>
      <c r="K68" s="189" t="s">
        <v>54</v>
      </c>
      <c r="L68" s="189" t="s">
        <v>54</v>
      </c>
      <c r="M68" s="158"/>
      <c r="N68" s="158"/>
    </row>
    <row r="69" spans="1:14" s="2" customFormat="1" x14ac:dyDescent="0.25">
      <c r="A69" s="158" t="s">
        <v>285</v>
      </c>
      <c r="F69" s="188">
        <v>879</v>
      </c>
      <c r="G69" s="188">
        <v>750</v>
      </c>
      <c r="H69" s="188">
        <v>728</v>
      </c>
      <c r="I69" s="188">
        <v>584</v>
      </c>
      <c r="J69" s="188">
        <v>452</v>
      </c>
      <c r="K69" s="188">
        <v>377</v>
      </c>
      <c r="L69" s="188">
        <v>248</v>
      </c>
      <c r="M69" s="158"/>
      <c r="N69" s="158"/>
    </row>
    <row r="70" spans="1:14" s="2" customFormat="1" x14ac:dyDescent="0.25">
      <c r="A70" s="158" t="s">
        <v>286</v>
      </c>
      <c r="F70" s="188">
        <v>-11036</v>
      </c>
      <c r="G70" s="188">
        <v>-9321</v>
      </c>
      <c r="H70" s="188">
        <v>-11275</v>
      </c>
      <c r="I70" s="188">
        <v>-11640</v>
      </c>
      <c r="J70" s="188">
        <v>-11688</v>
      </c>
      <c r="K70" s="188">
        <v>-5897</v>
      </c>
      <c r="L70" s="188">
        <v>-8304</v>
      </c>
      <c r="M70" s="158"/>
      <c r="N70" s="158"/>
    </row>
    <row r="71" spans="1:14" s="2" customFormat="1" x14ac:dyDescent="0.25">
      <c r="A71" s="162" t="s">
        <v>287</v>
      </c>
      <c r="B71" s="1"/>
      <c r="C71" s="1"/>
      <c r="D71" s="1"/>
      <c r="E71" s="1"/>
      <c r="F71" s="395">
        <v>59544</v>
      </c>
      <c r="G71" s="395">
        <v>71308</v>
      </c>
      <c r="H71" s="395">
        <v>63407</v>
      </c>
      <c r="I71" s="395">
        <v>63143</v>
      </c>
      <c r="J71" s="395">
        <v>63238</v>
      </c>
      <c r="K71" s="395">
        <v>77201</v>
      </c>
      <c r="L71" s="395">
        <v>95661</v>
      </c>
      <c r="M71" s="158"/>
      <c r="N71" s="158"/>
    </row>
    <row r="72" spans="1:14" s="2" customFormat="1" x14ac:dyDescent="0.25">
      <c r="A72" s="158" t="s">
        <v>288</v>
      </c>
      <c r="F72" s="188">
        <v>296</v>
      </c>
      <c r="G72" s="188">
        <v>348</v>
      </c>
      <c r="H72" s="188">
        <v>351</v>
      </c>
      <c r="I72" s="188">
        <v>303</v>
      </c>
      <c r="J72" s="188">
        <v>235</v>
      </c>
      <c r="K72" s="188">
        <v>262</v>
      </c>
      <c r="L72" s="188">
        <v>256</v>
      </c>
      <c r="M72" s="158"/>
      <c r="N72" s="158"/>
    </row>
    <row r="73" spans="1:14" s="2" customFormat="1" x14ac:dyDescent="0.25">
      <c r="A73" s="162" t="s">
        <v>289</v>
      </c>
      <c r="B73" s="1"/>
      <c r="C73" s="1"/>
      <c r="D73" s="1"/>
      <c r="E73" s="1"/>
      <c r="F73" s="395">
        <v>59840</v>
      </c>
      <c r="G73" s="395">
        <v>71656</v>
      </c>
      <c r="H73" s="395">
        <v>63758</v>
      </c>
      <c r="I73" s="395">
        <v>63447</v>
      </c>
      <c r="J73" s="395">
        <v>63473</v>
      </c>
      <c r="K73" s="395">
        <v>77462</v>
      </c>
      <c r="L73" s="395">
        <v>95916</v>
      </c>
      <c r="M73" s="158"/>
      <c r="N73" s="158"/>
    </row>
    <row r="74" spans="1:14" s="2" customFormat="1" x14ac:dyDescent="0.25">
      <c r="A74" s="158"/>
      <c r="B74" s="159"/>
      <c r="C74" s="158"/>
      <c r="D74" s="159"/>
      <c r="E74" s="158"/>
      <c r="F74" s="159"/>
      <c r="G74" s="158"/>
      <c r="H74" s="159"/>
      <c r="I74" s="158"/>
      <c r="J74" s="159"/>
      <c r="K74" s="158"/>
      <c r="L74" s="159"/>
      <c r="M74" s="158"/>
      <c r="N74" s="159"/>
    </row>
    <row r="75" spans="1:14" s="2" customFormat="1" x14ac:dyDescent="0.25">
      <c r="A75" s="6"/>
      <c r="D75" s="17"/>
      <c r="E75" s="18"/>
      <c r="F75" s="17"/>
      <c r="G75" s="17"/>
      <c r="H75" s="17"/>
      <c r="I75" s="17"/>
      <c r="J75" s="17"/>
      <c r="K75" s="17"/>
      <c r="L75" s="17"/>
      <c r="M75" s="17"/>
    </row>
    <row r="76" spans="1:14" s="2" customFormat="1" x14ac:dyDescent="0.25">
      <c r="A76" s="6"/>
      <c r="D76" s="17"/>
      <c r="E76" s="18"/>
      <c r="F76" s="17"/>
      <c r="G76" s="17"/>
      <c r="H76" s="17"/>
      <c r="I76" s="17"/>
      <c r="J76" s="17"/>
      <c r="K76" s="17"/>
      <c r="L76" s="17"/>
      <c r="M76" s="17"/>
    </row>
    <row r="77" spans="1:14" s="2" customFormat="1" x14ac:dyDescent="0.25">
      <c r="A77" s="6"/>
      <c r="D77" s="17"/>
      <c r="E77" s="18"/>
      <c r="F77" s="17"/>
      <c r="G77" s="17"/>
      <c r="H77" s="17"/>
      <c r="I77" s="17"/>
      <c r="J77" s="17"/>
      <c r="K77" s="17"/>
      <c r="L77" s="17"/>
      <c r="M77" s="17"/>
    </row>
    <row r="78" spans="1:14" s="2" customFormat="1" x14ac:dyDescent="0.25">
      <c r="A78" s="6"/>
      <c r="D78" s="17"/>
      <c r="E78" s="18"/>
      <c r="F78" s="17"/>
      <c r="G78" s="17"/>
      <c r="H78" s="17"/>
      <c r="I78" s="17"/>
      <c r="J78" s="17"/>
      <c r="K78" s="17"/>
      <c r="L78" s="17"/>
      <c r="M78" s="17"/>
    </row>
    <row r="79" spans="1:14" s="2" customFormat="1" x14ac:dyDescent="0.25">
      <c r="A79" s="6"/>
      <c r="D79" s="17"/>
      <c r="E79" s="18"/>
      <c r="F79" s="17"/>
      <c r="G79" s="17"/>
      <c r="H79" s="17"/>
      <c r="I79" s="17"/>
      <c r="J79" s="17"/>
      <c r="K79" s="17"/>
      <c r="L79" s="17"/>
      <c r="M79" s="17"/>
    </row>
    <row r="80" spans="1:14" s="2" customFormat="1" x14ac:dyDescent="0.25">
      <c r="A80" s="6"/>
      <c r="D80" s="17"/>
      <c r="E80" s="18"/>
      <c r="F80" s="17"/>
      <c r="G80" s="17"/>
      <c r="H80" s="17"/>
      <c r="I80" s="17"/>
      <c r="J80" s="17"/>
      <c r="K80" s="17"/>
      <c r="L80" s="17"/>
      <c r="M80" s="17"/>
    </row>
    <row r="81" spans="1:13" s="2" customFormat="1" x14ac:dyDescent="0.25">
      <c r="A81" s="6"/>
      <c r="D81" s="17"/>
      <c r="E81" s="18"/>
      <c r="F81" s="17"/>
      <c r="G81" s="17"/>
      <c r="H81" s="17"/>
      <c r="I81" s="17"/>
      <c r="J81" s="17"/>
      <c r="K81" s="17"/>
      <c r="L81" s="17"/>
      <c r="M81" s="17"/>
    </row>
    <row r="82" spans="1:13" s="2" customFormat="1" x14ac:dyDescent="0.25">
      <c r="A82" s="6"/>
      <c r="D82" s="17"/>
      <c r="E82" s="18"/>
      <c r="F82" s="17"/>
      <c r="G82" s="17"/>
      <c r="H82" s="17"/>
      <c r="I82" s="17"/>
      <c r="J82" s="17"/>
      <c r="K82" s="17"/>
      <c r="L82" s="17"/>
      <c r="M82" s="17"/>
    </row>
    <row r="83" spans="1:13" s="2" customFormat="1" x14ac:dyDescent="0.25">
      <c r="A83" s="6"/>
      <c r="D83" s="17"/>
      <c r="E83" s="18"/>
      <c r="F83" s="17"/>
      <c r="G83" s="17"/>
      <c r="H83" s="17"/>
      <c r="I83" s="17"/>
      <c r="J83" s="17"/>
      <c r="K83" s="17"/>
      <c r="L83" s="17"/>
      <c r="M83" s="17"/>
    </row>
    <row r="84" spans="1:13" s="2" customFormat="1" x14ac:dyDescent="0.25">
      <c r="A84" s="6"/>
      <c r="D84" s="17"/>
      <c r="E84" s="18"/>
      <c r="F84" s="17"/>
      <c r="G84" s="17"/>
      <c r="H84" s="17"/>
      <c r="I84" s="17"/>
      <c r="J84" s="17"/>
      <c r="K84" s="17"/>
      <c r="L84" s="17"/>
      <c r="M84" s="17"/>
    </row>
    <row r="85" spans="1:13" s="2" customFormat="1" x14ac:dyDescent="0.25">
      <c r="A85" s="6"/>
      <c r="D85" s="17"/>
      <c r="E85" s="18"/>
      <c r="F85" s="17"/>
      <c r="G85" s="17"/>
      <c r="H85" s="17"/>
      <c r="I85" s="17"/>
      <c r="J85" s="17"/>
      <c r="K85" s="17"/>
      <c r="L85" s="17"/>
      <c r="M85" s="17"/>
    </row>
    <row r="86" spans="1:13" s="2" customFormat="1" x14ac:dyDescent="0.25">
      <c r="A86" s="6"/>
      <c r="D86" s="17"/>
      <c r="E86" s="18"/>
      <c r="F86" s="17"/>
      <c r="G86" s="17"/>
      <c r="H86" s="17"/>
      <c r="I86" s="17"/>
      <c r="J86" s="17"/>
      <c r="K86" s="17"/>
      <c r="L86" s="17"/>
      <c r="M86" s="17"/>
    </row>
    <row r="87" spans="1:13" s="2" customFormat="1" x14ac:dyDescent="0.25">
      <c r="A87" s="6"/>
      <c r="D87" s="17"/>
      <c r="E87" s="18"/>
      <c r="F87" s="17"/>
      <c r="G87" s="17"/>
      <c r="H87" s="17"/>
      <c r="I87" s="17"/>
      <c r="J87" s="17"/>
      <c r="K87" s="17"/>
      <c r="L87" s="17"/>
      <c r="M87" s="17"/>
    </row>
    <row r="88" spans="1:13" s="2" customFormat="1" x14ac:dyDescent="0.25">
      <c r="A88" s="6"/>
      <c r="D88" s="17"/>
      <c r="E88" s="18"/>
      <c r="F88" s="17"/>
      <c r="G88" s="17"/>
      <c r="H88" s="17"/>
      <c r="I88" s="17"/>
      <c r="J88" s="17"/>
      <c r="K88" s="17"/>
      <c r="L88" s="17"/>
      <c r="M88" s="17"/>
    </row>
    <row r="89" spans="1:13" s="2" customFormat="1" x14ac:dyDescent="0.25">
      <c r="A89" s="6"/>
      <c r="D89" s="17"/>
      <c r="E89" s="18"/>
      <c r="F89" s="17"/>
      <c r="G89" s="17"/>
      <c r="H89" s="17"/>
      <c r="I89" s="17"/>
      <c r="J89" s="17"/>
      <c r="K89" s="17"/>
      <c r="L89" s="17"/>
      <c r="M89" s="17"/>
    </row>
    <row r="90" spans="1:13" s="2" customFormat="1" x14ac:dyDescent="0.25">
      <c r="A90" s="6"/>
      <c r="D90" s="17"/>
      <c r="E90" s="18"/>
      <c r="F90" s="17"/>
      <c r="G90" s="17"/>
      <c r="H90" s="17"/>
      <c r="I90" s="17"/>
      <c r="J90" s="17"/>
      <c r="K90" s="17"/>
      <c r="L90" s="17"/>
      <c r="M90" s="17"/>
    </row>
    <row r="91" spans="1:13" s="2" customFormat="1" x14ac:dyDescent="0.25">
      <c r="A91" s="6"/>
      <c r="D91" s="17"/>
      <c r="E91" s="18"/>
      <c r="F91" s="17"/>
      <c r="G91" s="17"/>
      <c r="H91" s="17"/>
      <c r="I91" s="17"/>
      <c r="J91" s="17"/>
      <c r="K91" s="17"/>
      <c r="L91" s="17"/>
      <c r="M91" s="17"/>
    </row>
    <row r="92" spans="1:13" s="2" customFormat="1" x14ac:dyDescent="0.25">
      <c r="A92" s="6"/>
      <c r="D92" s="17"/>
      <c r="E92" s="18"/>
      <c r="F92" s="17"/>
      <c r="G92" s="17"/>
      <c r="H92" s="17"/>
      <c r="I92" s="17"/>
      <c r="J92" s="17"/>
      <c r="K92" s="17"/>
      <c r="L92" s="17"/>
      <c r="M92" s="17"/>
    </row>
    <row r="93" spans="1:13" s="2" customFormat="1" x14ac:dyDescent="0.25">
      <c r="A93" s="6"/>
      <c r="D93" s="17"/>
      <c r="E93" s="18"/>
      <c r="F93" s="17"/>
      <c r="G93" s="17"/>
      <c r="H93" s="17"/>
      <c r="I93" s="17"/>
      <c r="J93" s="17"/>
      <c r="K93" s="17"/>
      <c r="L93" s="17"/>
      <c r="M93" s="17"/>
    </row>
    <row r="94" spans="1:13" s="2" customFormat="1" x14ac:dyDescent="0.25">
      <c r="A94" s="6"/>
      <c r="D94" s="17"/>
      <c r="E94" s="18"/>
      <c r="F94" s="17"/>
      <c r="G94" s="17"/>
      <c r="H94" s="17"/>
      <c r="I94" s="17"/>
      <c r="J94" s="17"/>
      <c r="K94" s="17"/>
      <c r="L94" s="17"/>
      <c r="M94" s="17"/>
    </row>
    <row r="95" spans="1:13" s="2" customFormat="1" x14ac:dyDescent="0.25">
      <c r="A95" s="6"/>
      <c r="D95" s="17"/>
      <c r="E95" s="18"/>
      <c r="F95" s="17"/>
      <c r="G95" s="17"/>
      <c r="H95" s="17"/>
      <c r="I95" s="17"/>
      <c r="J95" s="17"/>
      <c r="K95" s="17"/>
      <c r="L95" s="17"/>
      <c r="M95" s="17"/>
    </row>
    <row r="96" spans="1:13" s="2" customFormat="1" x14ac:dyDescent="0.25">
      <c r="A96" s="6"/>
      <c r="D96" s="17"/>
      <c r="E96" s="18"/>
      <c r="F96" s="17"/>
      <c r="G96" s="17"/>
      <c r="H96" s="17"/>
      <c r="I96" s="17"/>
      <c r="J96" s="17"/>
      <c r="K96" s="17"/>
      <c r="L96" s="17"/>
      <c r="M96" s="17"/>
    </row>
    <row r="97" spans="1:13" s="2" customFormat="1" x14ac:dyDescent="0.25">
      <c r="A97" s="6"/>
      <c r="D97" s="17"/>
      <c r="E97" s="18"/>
      <c r="F97" s="17"/>
      <c r="G97" s="17"/>
      <c r="H97" s="17"/>
      <c r="I97" s="17"/>
      <c r="J97" s="17"/>
      <c r="K97" s="17"/>
      <c r="L97" s="17"/>
      <c r="M97" s="17"/>
    </row>
    <row r="98" spans="1:13" s="2" customFormat="1" x14ac:dyDescent="0.25">
      <c r="A98" s="6"/>
      <c r="D98" s="17"/>
      <c r="E98" s="18"/>
      <c r="F98" s="17"/>
      <c r="G98" s="17"/>
      <c r="H98" s="17"/>
      <c r="I98" s="17"/>
      <c r="J98" s="17"/>
      <c r="K98" s="17"/>
      <c r="L98" s="17"/>
      <c r="M98" s="17"/>
    </row>
    <row r="99" spans="1:13" s="2" customFormat="1" x14ac:dyDescent="0.25">
      <c r="A99" s="6"/>
      <c r="D99" s="17"/>
      <c r="E99" s="18"/>
      <c r="F99" s="17"/>
      <c r="G99" s="17"/>
      <c r="H99" s="17"/>
      <c r="I99" s="17"/>
      <c r="J99" s="17"/>
      <c r="K99" s="17"/>
      <c r="L99" s="17"/>
      <c r="M99" s="17"/>
    </row>
    <row r="100" spans="1:13" s="2" customFormat="1" x14ac:dyDescent="0.25">
      <c r="A100" s="6"/>
      <c r="D100" s="17"/>
      <c r="E100" s="18"/>
      <c r="F100" s="17"/>
      <c r="G100" s="17"/>
      <c r="H100" s="17"/>
      <c r="I100" s="17"/>
      <c r="J100" s="17"/>
      <c r="K100" s="17"/>
      <c r="L100" s="17"/>
      <c r="M100" s="17"/>
    </row>
    <row r="101" spans="1:13" s="2" customFormat="1" x14ac:dyDescent="0.25">
      <c r="A101" s="6"/>
      <c r="D101" s="17"/>
      <c r="E101" s="18"/>
      <c r="F101" s="17"/>
      <c r="G101" s="17"/>
      <c r="H101" s="17"/>
      <c r="I101" s="17"/>
      <c r="J101" s="17"/>
      <c r="K101" s="17"/>
      <c r="L101" s="17"/>
      <c r="M101" s="17"/>
    </row>
    <row r="102" spans="1:13" s="2" customFormat="1" x14ac:dyDescent="0.25">
      <c r="A102" s="6"/>
      <c r="D102" s="17"/>
      <c r="E102" s="18"/>
      <c r="F102" s="17"/>
      <c r="G102" s="17"/>
      <c r="H102" s="17"/>
      <c r="I102" s="17"/>
      <c r="J102" s="17"/>
      <c r="K102" s="17"/>
      <c r="L102" s="17"/>
      <c r="M102" s="17"/>
    </row>
    <row r="103" spans="1:13" s="2" customFormat="1" x14ac:dyDescent="0.25">
      <c r="A103" s="6"/>
      <c r="D103" s="17"/>
      <c r="E103" s="18"/>
      <c r="F103" s="17"/>
      <c r="G103" s="17"/>
      <c r="H103" s="17"/>
      <c r="I103" s="17"/>
      <c r="J103" s="17"/>
      <c r="K103" s="17"/>
      <c r="L103" s="17"/>
      <c r="M103" s="17"/>
    </row>
    <row r="104" spans="1:13" s="2" customFormat="1" x14ac:dyDescent="0.25">
      <c r="A104" s="6"/>
      <c r="D104" s="17"/>
      <c r="E104" s="18"/>
      <c r="F104" s="17"/>
      <c r="G104" s="17"/>
      <c r="H104" s="17"/>
      <c r="I104" s="17"/>
      <c r="J104" s="17"/>
      <c r="K104" s="17"/>
      <c r="L104" s="17"/>
      <c r="M104" s="17"/>
    </row>
    <row r="105" spans="1:13" s="2" customFormat="1" x14ac:dyDescent="0.25">
      <c r="A105" s="6"/>
      <c r="D105" s="17"/>
      <c r="E105" s="18"/>
      <c r="F105" s="17"/>
      <c r="G105" s="17"/>
      <c r="H105" s="17"/>
      <c r="I105" s="17"/>
      <c r="J105" s="17"/>
      <c r="K105" s="17"/>
      <c r="L105" s="17"/>
      <c r="M105" s="17"/>
    </row>
    <row r="106" spans="1:13" s="2" customFormat="1" x14ac:dyDescent="0.25">
      <c r="A106" s="6"/>
      <c r="D106" s="17"/>
      <c r="E106" s="18"/>
      <c r="F106" s="17"/>
      <c r="G106" s="17"/>
      <c r="H106" s="17"/>
      <c r="I106" s="17"/>
      <c r="J106" s="17"/>
      <c r="K106" s="17"/>
      <c r="L106" s="17"/>
      <c r="M106" s="17"/>
    </row>
    <row r="107" spans="1:13" s="2" customFormat="1" x14ac:dyDescent="0.25">
      <c r="A107" s="6"/>
      <c r="D107" s="17"/>
      <c r="E107" s="18"/>
      <c r="F107" s="17"/>
      <c r="G107" s="17"/>
      <c r="H107" s="17"/>
      <c r="I107" s="17"/>
      <c r="J107" s="17"/>
      <c r="K107" s="17"/>
      <c r="L107" s="17"/>
      <c r="M107" s="17"/>
    </row>
    <row r="108" spans="1:13" s="2" customFormat="1" x14ac:dyDescent="0.25">
      <c r="A108" s="6"/>
      <c r="D108" s="17"/>
      <c r="E108" s="18"/>
      <c r="F108" s="17"/>
      <c r="G108" s="17"/>
      <c r="H108" s="17"/>
      <c r="I108" s="17"/>
      <c r="J108" s="17"/>
      <c r="K108" s="17"/>
      <c r="L108" s="17"/>
      <c r="M108" s="17"/>
    </row>
    <row r="109" spans="1:13" s="2" customFormat="1" x14ac:dyDescent="0.25">
      <c r="A109" s="6"/>
      <c r="D109" s="17"/>
      <c r="E109" s="18"/>
      <c r="F109" s="17"/>
      <c r="G109" s="17"/>
      <c r="H109" s="17"/>
      <c r="I109" s="17"/>
      <c r="J109" s="17"/>
      <c r="K109" s="17"/>
      <c r="L109" s="17"/>
      <c r="M109" s="17"/>
    </row>
    <row r="110" spans="1:13" s="2" customFormat="1" x14ac:dyDescent="0.25">
      <c r="A110" s="6"/>
      <c r="D110" s="17"/>
      <c r="E110" s="18"/>
      <c r="F110" s="17"/>
      <c r="G110" s="17"/>
      <c r="H110" s="17"/>
      <c r="I110" s="17"/>
      <c r="J110" s="17"/>
      <c r="K110" s="17"/>
      <c r="L110" s="17"/>
      <c r="M110" s="17"/>
    </row>
    <row r="111" spans="1:13" s="2" customFormat="1" x14ac:dyDescent="0.25">
      <c r="A111" s="6"/>
      <c r="D111" s="17"/>
      <c r="E111" s="18"/>
      <c r="F111" s="17"/>
      <c r="G111" s="17"/>
      <c r="H111" s="17"/>
      <c r="I111" s="17"/>
      <c r="J111" s="17"/>
      <c r="K111" s="17"/>
      <c r="L111" s="17"/>
      <c r="M111" s="17"/>
    </row>
    <row r="112" spans="1:13" s="2" customFormat="1" x14ac:dyDescent="0.25">
      <c r="A112" s="6"/>
      <c r="D112" s="17"/>
      <c r="E112" s="18"/>
      <c r="F112" s="17"/>
      <c r="G112" s="17"/>
      <c r="H112" s="17"/>
      <c r="I112" s="17"/>
      <c r="J112" s="17"/>
      <c r="K112" s="17"/>
      <c r="L112" s="17"/>
      <c r="M112" s="17"/>
    </row>
    <row r="113" spans="1:13" s="2" customFormat="1" x14ac:dyDescent="0.25">
      <c r="A113" s="6"/>
      <c r="D113" s="17"/>
      <c r="E113" s="18"/>
      <c r="F113" s="17"/>
      <c r="G113" s="17"/>
      <c r="H113" s="17"/>
      <c r="I113" s="17"/>
      <c r="J113" s="17"/>
      <c r="K113" s="17"/>
      <c r="L113" s="17"/>
      <c r="M113" s="17"/>
    </row>
    <row r="114" spans="1:13" s="2" customFormat="1" x14ac:dyDescent="0.25">
      <c r="A114" s="6"/>
      <c r="D114" s="17"/>
      <c r="E114" s="18"/>
      <c r="F114" s="17"/>
      <c r="G114" s="17"/>
      <c r="H114" s="17"/>
      <c r="I114" s="17"/>
      <c r="J114" s="17"/>
      <c r="K114" s="17"/>
      <c r="L114" s="17"/>
      <c r="M114" s="17"/>
    </row>
    <row r="115" spans="1:13" s="2" customFormat="1" x14ac:dyDescent="0.25">
      <c r="A115" s="6"/>
      <c r="D115" s="17"/>
      <c r="E115" s="18"/>
      <c r="F115" s="17"/>
      <c r="G115" s="17"/>
      <c r="H115" s="17"/>
      <c r="I115" s="17"/>
      <c r="J115" s="17"/>
      <c r="K115" s="17"/>
      <c r="L115" s="17"/>
      <c r="M115" s="17"/>
    </row>
    <row r="116" spans="1:13" s="2" customFormat="1" x14ac:dyDescent="0.25">
      <c r="A116" s="6"/>
      <c r="D116" s="17"/>
      <c r="E116" s="18"/>
      <c r="F116" s="17"/>
      <c r="G116" s="17"/>
      <c r="H116" s="17"/>
      <c r="I116" s="17"/>
      <c r="J116" s="17"/>
      <c r="K116" s="17"/>
      <c r="L116" s="17"/>
      <c r="M116" s="17"/>
    </row>
    <row r="117" spans="1:13" s="2" customFormat="1" x14ac:dyDescent="0.25">
      <c r="A117" s="6"/>
      <c r="D117" s="17"/>
      <c r="E117" s="18"/>
      <c r="F117" s="17"/>
      <c r="G117" s="17"/>
      <c r="H117" s="17"/>
      <c r="I117" s="17"/>
      <c r="J117" s="17"/>
      <c r="K117" s="17"/>
      <c r="L117" s="17"/>
      <c r="M117" s="17"/>
    </row>
    <row r="118" spans="1:13" s="2" customFormat="1" x14ac:dyDescent="0.25">
      <c r="A118" s="6"/>
      <c r="D118" s="17"/>
      <c r="E118" s="18"/>
      <c r="F118" s="17"/>
      <c r="G118" s="17"/>
      <c r="H118" s="17"/>
      <c r="I118" s="17"/>
      <c r="J118" s="17"/>
      <c r="K118" s="17"/>
      <c r="L118" s="17"/>
      <c r="M118" s="17"/>
    </row>
    <row r="119" spans="1:13" s="2" customFormat="1" x14ac:dyDescent="0.25">
      <c r="A119" s="6"/>
      <c r="D119" s="17"/>
      <c r="E119" s="18"/>
      <c r="F119" s="17"/>
      <c r="G119" s="17"/>
      <c r="H119" s="17"/>
      <c r="I119" s="17"/>
      <c r="J119" s="17"/>
      <c r="K119" s="17"/>
      <c r="L119" s="17"/>
      <c r="M119" s="17"/>
    </row>
    <row r="120" spans="1:13" s="2" customFormat="1" x14ac:dyDescent="0.25">
      <c r="A120" s="6"/>
      <c r="D120" s="17"/>
      <c r="E120" s="18"/>
      <c r="F120" s="17"/>
      <c r="G120" s="17"/>
      <c r="H120" s="17"/>
      <c r="I120" s="17"/>
      <c r="J120" s="17"/>
      <c r="K120" s="17"/>
      <c r="L120" s="17"/>
      <c r="M120" s="17"/>
    </row>
    <row r="121" spans="1:13" s="2" customFormat="1" x14ac:dyDescent="0.25">
      <c r="A121" s="6"/>
      <c r="D121" s="17"/>
      <c r="E121" s="18"/>
      <c r="F121" s="17"/>
      <c r="G121" s="17"/>
      <c r="H121" s="17"/>
      <c r="I121" s="17"/>
      <c r="J121" s="17"/>
      <c r="K121" s="17"/>
      <c r="L121" s="17"/>
      <c r="M121" s="17"/>
    </row>
    <row r="122" spans="1:13" s="2" customFormat="1" x14ac:dyDescent="0.25">
      <c r="A122" s="6"/>
      <c r="D122" s="17"/>
      <c r="E122" s="18"/>
      <c r="F122" s="17"/>
      <c r="G122" s="17"/>
      <c r="H122" s="17"/>
      <c r="I122" s="17"/>
      <c r="J122" s="17"/>
      <c r="K122" s="17"/>
      <c r="L122" s="17"/>
      <c r="M122" s="17"/>
    </row>
    <row r="123" spans="1:13" s="2" customFormat="1" x14ac:dyDescent="0.25">
      <c r="A123" s="6"/>
      <c r="D123" s="17"/>
      <c r="E123" s="18"/>
      <c r="F123" s="17"/>
      <c r="G123" s="17"/>
      <c r="H123" s="17"/>
      <c r="I123" s="17"/>
      <c r="J123" s="17"/>
      <c r="K123" s="17"/>
      <c r="L123" s="17"/>
      <c r="M123" s="17"/>
    </row>
    <row r="124" spans="1:13" s="2" customFormat="1" x14ac:dyDescent="0.25">
      <c r="A124" s="6"/>
      <c r="D124" s="17"/>
      <c r="E124" s="18"/>
      <c r="F124" s="17"/>
      <c r="G124" s="17"/>
      <c r="H124" s="17"/>
      <c r="I124" s="17"/>
      <c r="J124" s="17"/>
      <c r="K124" s="17"/>
      <c r="L124" s="17"/>
      <c r="M124" s="17"/>
    </row>
    <row r="125" spans="1:13" s="2" customFormat="1" x14ac:dyDescent="0.25">
      <c r="A125" s="6"/>
      <c r="D125" s="17"/>
      <c r="E125" s="18"/>
      <c r="F125" s="17"/>
      <c r="G125" s="17"/>
      <c r="H125" s="17"/>
      <c r="I125" s="17"/>
      <c r="J125" s="17"/>
      <c r="K125" s="17"/>
      <c r="L125" s="17"/>
      <c r="M125" s="17"/>
    </row>
    <row r="126" spans="1:13" s="2" customFormat="1" x14ac:dyDescent="0.25">
      <c r="A126" s="6"/>
      <c r="D126" s="17"/>
      <c r="E126" s="18"/>
      <c r="F126" s="17"/>
      <c r="G126" s="17"/>
      <c r="H126" s="17"/>
      <c r="I126" s="17"/>
      <c r="J126" s="17"/>
      <c r="K126" s="17"/>
      <c r="L126" s="17"/>
      <c r="M126" s="17"/>
    </row>
    <row r="127" spans="1:13" s="2" customFormat="1" x14ac:dyDescent="0.25">
      <c r="A127" s="6"/>
      <c r="D127" s="17"/>
      <c r="E127" s="18"/>
      <c r="F127" s="17"/>
      <c r="G127" s="17"/>
      <c r="H127" s="17"/>
      <c r="I127" s="17"/>
      <c r="J127" s="17"/>
      <c r="K127" s="17"/>
      <c r="L127" s="17"/>
      <c r="M127" s="17"/>
    </row>
    <row r="128" spans="1:13" s="2" customFormat="1" x14ac:dyDescent="0.25">
      <c r="A128" s="6"/>
      <c r="D128" s="17"/>
      <c r="E128" s="18"/>
      <c r="F128" s="17"/>
      <c r="G128" s="17"/>
      <c r="H128" s="17"/>
      <c r="I128" s="17"/>
      <c r="J128" s="17"/>
      <c r="K128" s="17"/>
      <c r="L128" s="17"/>
      <c r="M128" s="17"/>
    </row>
    <row r="129" spans="1:13" s="2" customFormat="1" x14ac:dyDescent="0.25">
      <c r="A129" s="6"/>
      <c r="D129" s="17"/>
      <c r="E129" s="18"/>
      <c r="F129" s="17"/>
      <c r="G129" s="17"/>
      <c r="H129" s="17"/>
      <c r="I129" s="17"/>
      <c r="J129" s="17"/>
      <c r="K129" s="17"/>
      <c r="L129" s="17"/>
      <c r="M129" s="17"/>
    </row>
    <row r="130" spans="1:13" s="2" customFormat="1" x14ac:dyDescent="0.25">
      <c r="A130" s="6"/>
      <c r="D130" s="17"/>
      <c r="E130" s="18"/>
      <c r="F130" s="17"/>
      <c r="G130" s="17"/>
      <c r="H130" s="17"/>
      <c r="I130" s="17"/>
      <c r="J130" s="17"/>
      <c r="K130" s="17"/>
      <c r="L130" s="17"/>
      <c r="M130" s="17"/>
    </row>
    <row r="131" spans="1:13" s="2" customFormat="1" x14ac:dyDescent="0.25">
      <c r="A131" s="6"/>
      <c r="D131" s="17"/>
      <c r="E131" s="18"/>
      <c r="F131" s="17"/>
      <c r="G131" s="17"/>
      <c r="H131" s="17"/>
      <c r="I131" s="17"/>
      <c r="J131" s="17"/>
      <c r="K131" s="17"/>
      <c r="L131" s="17"/>
      <c r="M131" s="17"/>
    </row>
    <row r="132" spans="1:13" s="2" customFormat="1" x14ac:dyDescent="0.25">
      <c r="A132" s="6"/>
      <c r="D132" s="17"/>
      <c r="E132" s="18"/>
      <c r="F132" s="17"/>
      <c r="G132" s="17"/>
      <c r="H132" s="17"/>
      <c r="I132" s="17"/>
      <c r="J132" s="17"/>
      <c r="K132" s="17"/>
      <c r="L132" s="17"/>
      <c r="M132" s="17"/>
    </row>
    <row r="133" spans="1:13" s="2" customFormat="1" x14ac:dyDescent="0.25">
      <c r="A133" s="6"/>
      <c r="D133" s="17"/>
      <c r="E133" s="18"/>
      <c r="F133" s="17"/>
      <c r="G133" s="17"/>
      <c r="H133" s="17"/>
      <c r="I133" s="17"/>
      <c r="J133" s="17"/>
      <c r="K133" s="17"/>
      <c r="L133" s="17"/>
      <c r="M133" s="17"/>
    </row>
    <row r="134" spans="1:13" s="2" customFormat="1" x14ac:dyDescent="0.25">
      <c r="A134" s="6"/>
      <c r="D134" s="17"/>
      <c r="E134" s="18"/>
      <c r="F134" s="17"/>
      <c r="G134" s="17"/>
      <c r="H134" s="17"/>
      <c r="I134" s="17"/>
      <c r="J134" s="17"/>
      <c r="K134" s="17"/>
      <c r="L134" s="17"/>
      <c r="M134" s="17"/>
    </row>
    <row r="135" spans="1:13" s="2" customFormat="1" x14ac:dyDescent="0.25">
      <c r="A135" s="6"/>
      <c r="D135" s="17"/>
      <c r="E135" s="18"/>
      <c r="F135" s="17"/>
      <c r="G135" s="17"/>
      <c r="H135" s="17"/>
      <c r="I135" s="17"/>
      <c r="J135" s="17"/>
      <c r="K135" s="17"/>
      <c r="L135" s="17"/>
      <c r="M135" s="17"/>
    </row>
    <row r="136" spans="1:13" s="2" customFormat="1" x14ac:dyDescent="0.25">
      <c r="A136" s="6"/>
      <c r="D136" s="17"/>
      <c r="E136" s="18"/>
      <c r="F136" s="17"/>
      <c r="G136" s="17"/>
      <c r="H136" s="17"/>
      <c r="I136" s="17"/>
      <c r="J136" s="17"/>
      <c r="K136" s="17"/>
      <c r="L136" s="17"/>
      <c r="M136" s="17"/>
    </row>
    <row r="137" spans="1:13" s="2" customFormat="1" x14ac:dyDescent="0.25">
      <c r="A137" s="6"/>
      <c r="D137" s="17"/>
      <c r="E137" s="18"/>
      <c r="F137" s="17"/>
      <c r="G137" s="17"/>
      <c r="H137" s="17"/>
      <c r="I137" s="17"/>
      <c r="J137" s="17"/>
      <c r="K137" s="17"/>
      <c r="L137" s="17"/>
      <c r="M137" s="17"/>
    </row>
    <row r="138" spans="1:13" s="2" customFormat="1" x14ac:dyDescent="0.25">
      <c r="A138" s="6"/>
      <c r="D138" s="17"/>
      <c r="E138" s="18"/>
      <c r="F138" s="17"/>
      <c r="G138" s="17"/>
      <c r="H138" s="17"/>
      <c r="I138" s="17"/>
      <c r="J138" s="17"/>
      <c r="K138" s="17"/>
      <c r="L138" s="17"/>
      <c r="M138" s="17"/>
    </row>
    <row r="139" spans="1:13" s="2" customFormat="1" x14ac:dyDescent="0.25">
      <c r="A139" s="6"/>
      <c r="D139" s="17"/>
      <c r="E139" s="18"/>
      <c r="F139" s="17"/>
      <c r="G139" s="17"/>
      <c r="H139" s="17"/>
      <c r="I139" s="17"/>
      <c r="J139" s="17"/>
      <c r="K139" s="17"/>
      <c r="L139" s="17"/>
      <c r="M139" s="17"/>
    </row>
    <row r="140" spans="1:13" s="2" customFormat="1" x14ac:dyDescent="0.25">
      <c r="A140" s="6"/>
      <c r="D140" s="17"/>
      <c r="E140" s="18"/>
      <c r="F140" s="17"/>
      <c r="G140" s="17"/>
      <c r="H140" s="17"/>
      <c r="I140" s="17"/>
      <c r="J140" s="17"/>
      <c r="K140" s="17"/>
      <c r="L140" s="17"/>
      <c r="M140" s="17"/>
    </row>
    <row r="141" spans="1:13" s="2" customFormat="1" x14ac:dyDescent="0.25">
      <c r="A141" s="6"/>
      <c r="D141" s="17"/>
      <c r="E141" s="18"/>
      <c r="F141" s="17"/>
      <c r="G141" s="17"/>
      <c r="H141" s="17"/>
      <c r="I141" s="17"/>
      <c r="J141" s="17"/>
      <c r="K141" s="17"/>
      <c r="L141" s="17"/>
      <c r="M141" s="17"/>
    </row>
    <row r="142" spans="1:13" s="2" customFormat="1" x14ac:dyDescent="0.25">
      <c r="A142" s="6"/>
      <c r="D142" s="17"/>
      <c r="E142" s="18"/>
      <c r="F142" s="17"/>
      <c r="G142" s="17"/>
      <c r="H142" s="17"/>
      <c r="I142" s="17"/>
      <c r="J142" s="17"/>
      <c r="K142" s="17"/>
      <c r="L142" s="17"/>
      <c r="M142" s="17"/>
    </row>
    <row r="143" spans="1:13" s="2" customFormat="1" x14ac:dyDescent="0.25">
      <c r="A143" s="6"/>
      <c r="D143" s="17"/>
      <c r="E143" s="18"/>
      <c r="F143" s="17"/>
      <c r="G143" s="17"/>
      <c r="H143" s="17"/>
      <c r="I143" s="17"/>
      <c r="J143" s="17"/>
      <c r="K143" s="17"/>
      <c r="L143" s="17"/>
      <c r="M143" s="17"/>
    </row>
    <row r="144" spans="1:13" s="2" customFormat="1" x14ac:dyDescent="0.25">
      <c r="A144" s="6"/>
      <c r="D144" s="17"/>
      <c r="E144" s="18"/>
      <c r="F144" s="17"/>
      <c r="G144" s="17"/>
      <c r="H144" s="17"/>
      <c r="I144" s="17"/>
      <c r="J144" s="17"/>
      <c r="K144" s="17"/>
      <c r="L144" s="17"/>
      <c r="M144" s="17"/>
    </row>
    <row r="145" spans="1:13" s="2" customFormat="1" x14ac:dyDescent="0.25">
      <c r="A145" s="6"/>
      <c r="D145" s="17"/>
      <c r="E145" s="18"/>
      <c r="F145" s="17"/>
      <c r="G145" s="17"/>
      <c r="H145" s="17"/>
      <c r="I145" s="17"/>
      <c r="J145" s="17"/>
      <c r="K145" s="17"/>
      <c r="L145" s="17"/>
      <c r="M145" s="17"/>
    </row>
    <row r="146" spans="1:13" s="2" customFormat="1" x14ac:dyDescent="0.25">
      <c r="A146" s="6"/>
      <c r="D146" s="17"/>
      <c r="E146" s="18"/>
      <c r="F146" s="17"/>
      <c r="G146" s="17"/>
      <c r="H146" s="17"/>
      <c r="I146" s="17"/>
      <c r="J146" s="17"/>
      <c r="K146" s="17"/>
      <c r="L146" s="17"/>
      <c r="M146" s="17"/>
    </row>
    <row r="147" spans="1:13" s="2" customFormat="1" x14ac:dyDescent="0.25">
      <c r="A147" s="6"/>
      <c r="D147" s="17"/>
      <c r="E147" s="18"/>
      <c r="F147" s="17"/>
      <c r="G147" s="17"/>
      <c r="H147" s="17"/>
      <c r="I147" s="17"/>
      <c r="J147" s="17"/>
      <c r="K147" s="17"/>
      <c r="L147" s="17"/>
      <c r="M147" s="17"/>
    </row>
    <row r="148" spans="1:13" s="2" customFormat="1" x14ac:dyDescent="0.25">
      <c r="A148" s="6"/>
      <c r="D148" s="17"/>
      <c r="E148" s="18"/>
      <c r="F148" s="17"/>
      <c r="G148" s="17"/>
      <c r="H148" s="17"/>
      <c r="I148" s="17"/>
      <c r="J148" s="17"/>
      <c r="K148" s="17"/>
      <c r="L148" s="17"/>
      <c r="M148" s="17"/>
    </row>
    <row r="149" spans="1:13" s="2" customFormat="1" x14ac:dyDescent="0.25">
      <c r="A149" s="6"/>
      <c r="D149" s="17"/>
      <c r="E149" s="18"/>
      <c r="F149" s="17"/>
      <c r="G149" s="17"/>
      <c r="H149" s="17"/>
      <c r="I149" s="17"/>
      <c r="J149" s="17"/>
      <c r="K149" s="17"/>
      <c r="L149" s="17"/>
      <c r="M149" s="17"/>
    </row>
    <row r="150" spans="1:13" s="2" customFormat="1" x14ac:dyDescent="0.25">
      <c r="A150" s="6"/>
      <c r="D150" s="17"/>
      <c r="E150" s="18"/>
      <c r="F150" s="17"/>
      <c r="G150" s="17"/>
      <c r="H150" s="17"/>
      <c r="I150" s="17"/>
      <c r="J150" s="17"/>
      <c r="K150" s="17"/>
      <c r="L150" s="17"/>
      <c r="M150" s="17"/>
    </row>
    <row r="151" spans="1:13" s="2" customFormat="1" x14ac:dyDescent="0.25">
      <c r="A151" s="6"/>
      <c r="D151" s="17"/>
      <c r="E151" s="18"/>
      <c r="F151" s="17"/>
      <c r="G151" s="17"/>
      <c r="H151" s="17"/>
      <c r="I151" s="17"/>
      <c r="J151" s="17"/>
      <c r="K151" s="17"/>
      <c r="L151" s="17"/>
      <c r="M151" s="17"/>
    </row>
    <row r="152" spans="1:13" s="2" customFormat="1" x14ac:dyDescent="0.25">
      <c r="A152" s="6"/>
      <c r="D152" s="17"/>
      <c r="E152" s="18"/>
      <c r="F152" s="17"/>
      <c r="G152" s="17"/>
      <c r="H152" s="17"/>
      <c r="I152" s="17"/>
      <c r="J152" s="17"/>
      <c r="K152" s="17"/>
      <c r="L152" s="17"/>
      <c r="M152" s="17"/>
    </row>
    <row r="153" spans="1:13" s="2" customFormat="1" x14ac:dyDescent="0.25">
      <c r="A153" s="6"/>
      <c r="D153" s="17"/>
      <c r="E153" s="18"/>
      <c r="F153" s="17"/>
      <c r="G153" s="17"/>
      <c r="H153" s="17"/>
      <c r="I153" s="17"/>
      <c r="J153" s="17"/>
      <c r="K153" s="17"/>
      <c r="L153" s="17"/>
      <c r="M153" s="17"/>
    </row>
    <row r="154" spans="1:13" s="2" customFormat="1" x14ac:dyDescent="0.25">
      <c r="A154" s="6"/>
      <c r="D154" s="17"/>
      <c r="E154" s="18"/>
      <c r="F154" s="17"/>
      <c r="G154" s="17"/>
      <c r="H154" s="17"/>
      <c r="I154" s="17"/>
      <c r="J154" s="17"/>
      <c r="K154" s="17"/>
      <c r="L154" s="17"/>
      <c r="M154" s="17"/>
    </row>
    <row r="155" spans="1:13" s="2" customFormat="1" x14ac:dyDescent="0.25">
      <c r="A155" s="6"/>
      <c r="D155" s="17"/>
      <c r="E155" s="18"/>
      <c r="F155" s="17"/>
      <c r="G155" s="17"/>
      <c r="H155" s="17"/>
      <c r="I155" s="17"/>
      <c r="J155" s="17"/>
      <c r="K155" s="17"/>
      <c r="L155" s="17"/>
      <c r="M155" s="17"/>
    </row>
    <row r="156" spans="1:13" s="2" customFormat="1" x14ac:dyDescent="0.25">
      <c r="A156" s="6"/>
      <c r="D156" s="17"/>
      <c r="E156" s="18"/>
      <c r="F156" s="17"/>
      <c r="G156" s="17"/>
      <c r="H156" s="17"/>
      <c r="I156" s="17"/>
      <c r="J156" s="17"/>
      <c r="K156" s="17"/>
      <c r="L156" s="17"/>
      <c r="M156" s="17"/>
    </row>
    <row r="157" spans="1:13" s="2" customFormat="1" x14ac:dyDescent="0.25">
      <c r="A157" s="6"/>
      <c r="D157" s="17"/>
      <c r="E157" s="18"/>
      <c r="F157" s="17"/>
      <c r="G157" s="17"/>
      <c r="H157" s="17"/>
      <c r="I157" s="17"/>
      <c r="J157" s="17"/>
      <c r="K157" s="17"/>
      <c r="L157" s="17"/>
      <c r="M157" s="17"/>
    </row>
    <row r="158" spans="1:13" s="2" customFormat="1" x14ac:dyDescent="0.25">
      <c r="A158" s="6"/>
      <c r="D158" s="17"/>
      <c r="E158" s="18"/>
      <c r="F158" s="17"/>
      <c r="G158" s="17"/>
      <c r="H158" s="17"/>
      <c r="I158" s="17"/>
      <c r="J158" s="17"/>
      <c r="K158" s="17"/>
      <c r="L158" s="17"/>
      <c r="M158" s="17"/>
    </row>
    <row r="159" spans="1:13" s="2" customFormat="1" x14ac:dyDescent="0.25">
      <c r="A159" s="6"/>
      <c r="D159" s="17"/>
      <c r="E159" s="18"/>
      <c r="F159" s="17"/>
      <c r="G159" s="17"/>
      <c r="H159" s="17"/>
      <c r="I159" s="17"/>
      <c r="J159" s="17"/>
      <c r="K159" s="17"/>
      <c r="L159" s="17"/>
      <c r="M159" s="17"/>
    </row>
    <row r="160" spans="1:13" s="2" customFormat="1" x14ac:dyDescent="0.25">
      <c r="A160" s="6"/>
      <c r="D160" s="17"/>
      <c r="E160" s="18"/>
      <c r="F160" s="17"/>
      <c r="G160" s="17"/>
      <c r="H160" s="17"/>
      <c r="I160" s="17"/>
      <c r="J160" s="17"/>
      <c r="K160" s="17"/>
      <c r="L160" s="17"/>
      <c r="M160" s="17"/>
    </row>
    <row r="161" spans="1:13" s="2" customFormat="1" x14ac:dyDescent="0.25">
      <c r="A161" s="6"/>
      <c r="D161" s="17"/>
      <c r="E161" s="18"/>
      <c r="F161" s="17"/>
      <c r="G161" s="17"/>
      <c r="H161" s="17"/>
      <c r="I161" s="17"/>
      <c r="J161" s="17"/>
      <c r="K161" s="17"/>
      <c r="L161" s="17"/>
      <c r="M161" s="17"/>
    </row>
    <row r="162" spans="1:13" s="2" customFormat="1" x14ac:dyDescent="0.25">
      <c r="A162" s="6"/>
      <c r="D162" s="17"/>
      <c r="E162" s="18"/>
      <c r="F162" s="17"/>
      <c r="G162" s="17"/>
      <c r="H162" s="17"/>
      <c r="I162" s="17"/>
      <c r="J162" s="17"/>
      <c r="K162" s="17"/>
      <c r="L162" s="17"/>
      <c r="M162" s="17"/>
    </row>
    <row r="163" spans="1:13" s="2" customFormat="1" x14ac:dyDescent="0.25">
      <c r="A163" s="6"/>
      <c r="D163" s="17"/>
      <c r="E163" s="18"/>
      <c r="F163" s="17"/>
      <c r="G163" s="17"/>
      <c r="H163" s="17"/>
      <c r="I163" s="17"/>
      <c r="J163" s="17"/>
      <c r="K163" s="17"/>
      <c r="L163" s="17"/>
      <c r="M163" s="17"/>
    </row>
    <row r="164" spans="1:13" s="2" customFormat="1" x14ac:dyDescent="0.25">
      <c r="A164" s="6"/>
      <c r="D164" s="17"/>
      <c r="E164" s="18"/>
      <c r="F164" s="17"/>
      <c r="G164" s="17"/>
      <c r="H164" s="17"/>
      <c r="I164" s="17"/>
      <c r="J164" s="17"/>
      <c r="K164" s="17"/>
      <c r="L164" s="17"/>
      <c r="M164" s="17"/>
    </row>
    <row r="165" spans="1:13" s="2" customFormat="1" x14ac:dyDescent="0.25">
      <c r="A165" s="6"/>
      <c r="D165" s="17"/>
      <c r="E165" s="18"/>
      <c r="F165" s="17"/>
      <c r="G165" s="17"/>
      <c r="H165" s="17"/>
      <c r="I165" s="17"/>
      <c r="J165" s="17"/>
      <c r="K165" s="17"/>
      <c r="L165" s="17"/>
      <c r="M165" s="17"/>
    </row>
    <row r="166" spans="1:13" s="2" customFormat="1" x14ac:dyDescent="0.25">
      <c r="A166" s="6"/>
      <c r="D166" s="17"/>
      <c r="E166" s="18"/>
      <c r="F166" s="17"/>
      <c r="G166" s="17"/>
      <c r="H166" s="17"/>
      <c r="I166" s="17"/>
      <c r="J166" s="17"/>
      <c r="K166" s="17"/>
      <c r="L166" s="17"/>
      <c r="M166" s="17"/>
    </row>
    <row r="167" spans="1:13" s="2" customFormat="1" x14ac:dyDescent="0.25">
      <c r="A167" s="6"/>
      <c r="D167" s="17"/>
      <c r="E167" s="18"/>
      <c r="F167" s="17"/>
      <c r="G167" s="17"/>
      <c r="H167" s="17"/>
      <c r="I167" s="17"/>
      <c r="J167" s="17"/>
      <c r="K167" s="17"/>
      <c r="L167" s="17"/>
      <c r="M167" s="17"/>
    </row>
    <row r="168" spans="1:13" s="2" customFormat="1" x14ac:dyDescent="0.25">
      <c r="A168" s="6"/>
      <c r="D168" s="17"/>
      <c r="E168" s="18"/>
      <c r="F168" s="17"/>
      <c r="G168" s="17"/>
      <c r="H168" s="17"/>
      <c r="I168" s="17"/>
      <c r="J168" s="17"/>
      <c r="K168" s="17"/>
      <c r="L168" s="17"/>
      <c r="M168" s="17"/>
    </row>
    <row r="169" spans="1:13" s="2" customFormat="1" x14ac:dyDescent="0.25">
      <c r="A169" s="6"/>
      <c r="D169" s="17"/>
      <c r="E169" s="18"/>
      <c r="F169" s="17"/>
      <c r="G169" s="17"/>
      <c r="H169" s="17"/>
      <c r="I169" s="17"/>
      <c r="J169" s="17"/>
      <c r="K169" s="17"/>
      <c r="L169" s="17"/>
      <c r="M169" s="17"/>
    </row>
    <row r="170" spans="1:13" s="2" customFormat="1" x14ac:dyDescent="0.25">
      <c r="A170" s="6"/>
      <c r="D170" s="17"/>
      <c r="E170" s="18"/>
      <c r="F170" s="17"/>
      <c r="G170" s="17"/>
      <c r="H170" s="17"/>
      <c r="I170" s="17"/>
      <c r="J170" s="17"/>
      <c r="K170" s="17"/>
      <c r="L170" s="17"/>
      <c r="M170" s="17"/>
    </row>
    <row r="171" spans="1:13" s="2" customFormat="1" x14ac:dyDescent="0.25">
      <c r="A171" s="6"/>
      <c r="D171" s="17"/>
      <c r="E171" s="18"/>
      <c r="F171" s="17"/>
      <c r="G171" s="17"/>
      <c r="H171" s="17"/>
      <c r="I171" s="17"/>
      <c r="J171" s="17"/>
      <c r="K171" s="17"/>
      <c r="L171" s="17"/>
      <c r="M171" s="17"/>
    </row>
    <row r="172" spans="1:13" s="2" customFormat="1" x14ac:dyDescent="0.25">
      <c r="A172" s="6"/>
      <c r="D172" s="17"/>
      <c r="E172" s="18"/>
      <c r="F172" s="17"/>
      <c r="G172" s="17"/>
      <c r="H172" s="17"/>
      <c r="I172" s="17"/>
      <c r="J172" s="17"/>
      <c r="K172" s="17"/>
      <c r="L172" s="17"/>
      <c r="M172" s="17"/>
    </row>
    <row r="173" spans="1:13" s="2" customFormat="1" x14ac:dyDescent="0.25">
      <c r="A173" s="6"/>
      <c r="D173" s="17"/>
      <c r="E173" s="18"/>
      <c r="F173" s="17"/>
      <c r="G173" s="17"/>
      <c r="H173" s="17"/>
      <c r="I173" s="17"/>
      <c r="J173" s="17"/>
      <c r="K173" s="17"/>
      <c r="L173" s="17"/>
      <c r="M173" s="17"/>
    </row>
    <row r="174" spans="1:13" s="2" customFormat="1" x14ac:dyDescent="0.25">
      <c r="A174" s="6"/>
      <c r="D174" s="17"/>
      <c r="E174" s="18"/>
      <c r="F174" s="17"/>
      <c r="G174" s="17"/>
      <c r="H174" s="17"/>
      <c r="I174" s="17"/>
      <c r="J174" s="17"/>
      <c r="K174" s="17"/>
      <c r="L174" s="17"/>
      <c r="M174" s="17"/>
    </row>
    <row r="175" spans="1:13" s="2" customFormat="1" x14ac:dyDescent="0.25">
      <c r="A175" s="6"/>
      <c r="D175" s="17"/>
      <c r="E175" s="18"/>
      <c r="F175" s="17"/>
      <c r="G175" s="17"/>
      <c r="H175" s="17"/>
      <c r="I175" s="17"/>
      <c r="J175" s="17"/>
      <c r="K175" s="17"/>
      <c r="L175" s="17"/>
      <c r="M175" s="17"/>
    </row>
    <row r="176" spans="1:13" s="2" customFormat="1" x14ac:dyDescent="0.25">
      <c r="A176" s="6"/>
      <c r="D176" s="17"/>
      <c r="E176" s="18"/>
      <c r="F176" s="17"/>
      <c r="G176" s="17"/>
      <c r="H176" s="17"/>
      <c r="I176" s="17"/>
      <c r="J176" s="17"/>
      <c r="K176" s="17"/>
      <c r="L176" s="17"/>
      <c r="M176" s="17"/>
    </row>
    <row r="177" spans="1:13" s="2" customFormat="1" x14ac:dyDescent="0.25">
      <c r="A177" s="6"/>
      <c r="D177" s="17"/>
      <c r="E177" s="18"/>
      <c r="F177" s="17"/>
      <c r="G177" s="17"/>
      <c r="H177" s="17"/>
      <c r="I177" s="17"/>
      <c r="J177" s="17"/>
      <c r="K177" s="17"/>
      <c r="L177" s="17"/>
      <c r="M177" s="17"/>
    </row>
    <row r="178" spans="1:13" s="2" customFormat="1" x14ac:dyDescent="0.25">
      <c r="A178" s="6"/>
      <c r="D178" s="17"/>
      <c r="E178" s="18"/>
      <c r="F178" s="17"/>
      <c r="G178" s="17"/>
      <c r="H178" s="17"/>
      <c r="I178" s="17"/>
      <c r="J178" s="17"/>
      <c r="K178" s="17"/>
      <c r="L178" s="17"/>
      <c r="M178" s="17"/>
    </row>
    <row r="179" spans="1:13" s="2" customFormat="1" x14ac:dyDescent="0.25">
      <c r="A179" s="6"/>
      <c r="D179" s="17"/>
      <c r="E179" s="18"/>
      <c r="F179" s="17"/>
      <c r="G179" s="17"/>
      <c r="H179" s="17"/>
      <c r="I179" s="17"/>
      <c r="J179" s="17"/>
      <c r="K179" s="17"/>
      <c r="L179" s="17"/>
      <c r="M179" s="17"/>
    </row>
    <row r="180" spans="1:13" s="2" customFormat="1" x14ac:dyDescent="0.25">
      <c r="A180" s="6"/>
      <c r="D180" s="17"/>
      <c r="E180" s="18"/>
      <c r="F180" s="17"/>
      <c r="G180" s="17"/>
      <c r="H180" s="17"/>
      <c r="I180" s="17"/>
      <c r="J180" s="17"/>
      <c r="K180" s="17"/>
      <c r="L180" s="17"/>
      <c r="M180" s="17"/>
    </row>
    <row r="181" spans="1:13" s="2" customFormat="1" x14ac:dyDescent="0.25">
      <c r="A181" s="6"/>
      <c r="D181" s="17"/>
      <c r="E181" s="18"/>
      <c r="F181" s="17"/>
      <c r="G181" s="17"/>
      <c r="H181" s="17"/>
      <c r="I181" s="17"/>
      <c r="J181" s="17"/>
      <c r="K181" s="17"/>
      <c r="L181" s="17"/>
      <c r="M181" s="17"/>
    </row>
    <row r="182" spans="1:13" s="2" customFormat="1" x14ac:dyDescent="0.25">
      <c r="A182" s="6"/>
      <c r="D182" s="17"/>
      <c r="E182" s="18"/>
      <c r="F182" s="17"/>
      <c r="G182" s="17"/>
      <c r="H182" s="17"/>
      <c r="I182" s="17"/>
      <c r="J182" s="17"/>
      <c r="K182" s="17"/>
      <c r="L182" s="17"/>
      <c r="M182" s="17"/>
    </row>
    <row r="183" spans="1:13" s="2" customFormat="1" x14ac:dyDescent="0.25">
      <c r="A183" s="6"/>
      <c r="D183" s="17"/>
      <c r="E183" s="18"/>
      <c r="F183" s="17"/>
      <c r="G183" s="17"/>
      <c r="H183" s="17"/>
      <c r="I183" s="17"/>
      <c r="J183" s="17"/>
      <c r="K183" s="17"/>
      <c r="L183" s="17"/>
      <c r="M183" s="17"/>
    </row>
    <row r="184" spans="1:13" s="2" customFormat="1" x14ac:dyDescent="0.25">
      <c r="A184" s="6"/>
      <c r="D184" s="17"/>
      <c r="E184" s="18"/>
      <c r="F184" s="17"/>
      <c r="G184" s="17"/>
      <c r="H184" s="17"/>
      <c r="I184" s="17"/>
      <c r="J184" s="17"/>
      <c r="K184" s="17"/>
      <c r="L184" s="17"/>
      <c r="M184" s="17"/>
    </row>
    <row r="185" spans="1:13" s="2" customFormat="1" x14ac:dyDescent="0.25">
      <c r="A185" s="6"/>
      <c r="D185" s="17"/>
      <c r="E185" s="18"/>
      <c r="F185" s="17"/>
      <c r="G185" s="17"/>
      <c r="H185" s="17"/>
      <c r="I185" s="17"/>
      <c r="J185" s="17"/>
      <c r="K185" s="17"/>
      <c r="L185" s="17"/>
      <c r="M185" s="17"/>
    </row>
    <row r="186" spans="1:13" s="2" customFormat="1" x14ac:dyDescent="0.25">
      <c r="A186" s="6"/>
      <c r="D186" s="17"/>
      <c r="E186" s="18"/>
      <c r="F186" s="17"/>
      <c r="G186" s="17"/>
      <c r="H186" s="17"/>
      <c r="I186" s="17"/>
      <c r="J186" s="17"/>
      <c r="K186" s="17"/>
      <c r="L186" s="17"/>
      <c r="M186" s="17"/>
    </row>
    <row r="187" spans="1:13" s="2" customFormat="1" x14ac:dyDescent="0.25">
      <c r="A187" s="6"/>
      <c r="D187" s="17"/>
      <c r="E187" s="18"/>
      <c r="F187" s="17"/>
      <c r="G187" s="17"/>
      <c r="H187" s="17"/>
      <c r="I187" s="17"/>
      <c r="J187" s="17"/>
      <c r="K187" s="17"/>
      <c r="L187" s="17"/>
      <c r="M187" s="17"/>
    </row>
    <row r="188" spans="1:13" s="2" customFormat="1" x14ac:dyDescent="0.25">
      <c r="A188" s="6"/>
      <c r="D188" s="17"/>
      <c r="E188" s="18"/>
      <c r="F188" s="17"/>
      <c r="G188" s="17"/>
      <c r="H188" s="17"/>
      <c r="I188" s="17"/>
      <c r="J188" s="17"/>
      <c r="K188" s="17"/>
      <c r="L188" s="17"/>
      <c r="M188" s="17"/>
    </row>
    <row r="189" spans="1:13" s="2" customFormat="1" x14ac:dyDescent="0.25">
      <c r="A189" s="6"/>
      <c r="D189" s="17"/>
      <c r="E189" s="18"/>
      <c r="F189" s="17"/>
      <c r="G189" s="17"/>
      <c r="H189" s="17"/>
      <c r="I189" s="17"/>
      <c r="J189" s="17"/>
      <c r="K189" s="17"/>
      <c r="L189" s="17"/>
      <c r="M189" s="17"/>
    </row>
    <row r="190" spans="1:13" s="2" customFormat="1" x14ac:dyDescent="0.25">
      <c r="A190" s="6"/>
      <c r="D190" s="17"/>
      <c r="E190" s="18"/>
      <c r="F190" s="17"/>
      <c r="G190" s="17"/>
      <c r="H190" s="17"/>
      <c r="I190" s="17"/>
      <c r="J190" s="17"/>
      <c r="K190" s="17"/>
      <c r="L190" s="17"/>
      <c r="M190" s="17"/>
    </row>
    <row r="191" spans="1:13" s="2" customFormat="1" x14ac:dyDescent="0.25">
      <c r="A191" s="6"/>
      <c r="D191" s="17"/>
      <c r="E191" s="18"/>
      <c r="F191" s="17"/>
      <c r="G191" s="17"/>
      <c r="H191" s="17"/>
      <c r="I191" s="17"/>
      <c r="J191" s="17"/>
      <c r="K191" s="17"/>
      <c r="L191" s="17"/>
      <c r="M191" s="17"/>
    </row>
    <row r="192" spans="1:13" s="2" customFormat="1" x14ac:dyDescent="0.25">
      <c r="A192" s="6"/>
      <c r="D192" s="17"/>
      <c r="E192" s="18"/>
      <c r="F192" s="17"/>
      <c r="G192" s="17"/>
      <c r="H192" s="17"/>
      <c r="I192" s="17"/>
      <c r="J192" s="17"/>
      <c r="K192" s="17"/>
      <c r="L192" s="17"/>
      <c r="M192" s="17"/>
    </row>
    <row r="193" spans="1:13" s="2" customFormat="1" x14ac:dyDescent="0.25">
      <c r="A193" s="6"/>
      <c r="D193" s="17"/>
      <c r="E193" s="18"/>
      <c r="F193" s="17"/>
      <c r="G193" s="17"/>
      <c r="H193" s="17"/>
      <c r="I193" s="17"/>
      <c r="J193" s="17"/>
      <c r="K193" s="17"/>
      <c r="L193" s="17"/>
      <c r="M193" s="17"/>
    </row>
    <row r="194" spans="1:13" s="2" customFormat="1" x14ac:dyDescent="0.25">
      <c r="A194" s="6"/>
      <c r="D194" s="17"/>
      <c r="E194" s="18"/>
      <c r="F194" s="17"/>
      <c r="G194" s="17"/>
      <c r="H194" s="17"/>
      <c r="I194" s="17"/>
      <c r="J194" s="17"/>
      <c r="K194" s="17"/>
      <c r="L194" s="17"/>
      <c r="M194" s="17"/>
    </row>
    <row r="195" spans="1:13" s="2" customFormat="1" x14ac:dyDescent="0.25">
      <c r="A195" s="6"/>
      <c r="D195" s="17"/>
      <c r="E195" s="18"/>
      <c r="F195" s="17"/>
      <c r="G195" s="17"/>
      <c r="H195" s="17"/>
      <c r="I195" s="17"/>
      <c r="J195" s="17"/>
      <c r="K195" s="17"/>
      <c r="L195" s="17"/>
      <c r="M195" s="17"/>
    </row>
    <row r="196" spans="1:13" s="2" customFormat="1" x14ac:dyDescent="0.25">
      <c r="A196" s="6"/>
      <c r="D196" s="17"/>
      <c r="E196" s="18"/>
      <c r="F196" s="17"/>
      <c r="G196" s="17"/>
      <c r="H196" s="17"/>
      <c r="I196" s="17"/>
      <c r="J196" s="17"/>
      <c r="K196" s="17"/>
      <c r="L196" s="17"/>
      <c r="M196" s="17"/>
    </row>
    <row r="197" spans="1:13" s="2" customFormat="1" x14ac:dyDescent="0.25">
      <c r="A197" s="6"/>
      <c r="D197" s="17"/>
      <c r="E197" s="18"/>
      <c r="F197" s="17"/>
      <c r="G197" s="17"/>
      <c r="H197" s="17"/>
      <c r="I197" s="17"/>
      <c r="J197" s="17"/>
      <c r="K197" s="17"/>
      <c r="L197" s="17"/>
      <c r="M197" s="17"/>
    </row>
    <row r="198" spans="1:13" s="2" customFormat="1" x14ac:dyDescent="0.25">
      <c r="A198" s="6"/>
      <c r="D198" s="17"/>
      <c r="E198" s="18"/>
      <c r="F198" s="17"/>
      <c r="G198" s="17"/>
      <c r="H198" s="17"/>
      <c r="I198" s="17"/>
      <c r="J198" s="17"/>
      <c r="K198" s="17"/>
      <c r="L198" s="17"/>
      <c r="M198" s="17"/>
    </row>
    <row r="199" spans="1:13" s="2" customFormat="1" x14ac:dyDescent="0.25">
      <c r="A199" s="6"/>
      <c r="D199" s="17"/>
      <c r="E199" s="18"/>
      <c r="F199" s="17"/>
      <c r="G199" s="17"/>
      <c r="H199" s="17"/>
      <c r="I199" s="17"/>
      <c r="J199" s="17"/>
      <c r="K199" s="17"/>
      <c r="L199" s="17"/>
      <c r="M199" s="17"/>
    </row>
    <row r="200" spans="1:13" s="2" customFormat="1" x14ac:dyDescent="0.25">
      <c r="A200" s="6"/>
      <c r="D200" s="17"/>
      <c r="E200" s="18"/>
      <c r="F200" s="17"/>
      <c r="G200" s="17"/>
      <c r="H200" s="17"/>
      <c r="I200" s="17"/>
      <c r="J200" s="17"/>
      <c r="K200" s="17"/>
      <c r="L200" s="17"/>
      <c r="M200" s="17"/>
    </row>
    <row r="201" spans="1:13" s="2" customFormat="1" x14ac:dyDescent="0.25">
      <c r="A201" s="6"/>
      <c r="D201" s="17"/>
      <c r="E201" s="18"/>
      <c r="F201" s="17"/>
      <c r="G201" s="17"/>
      <c r="H201" s="17"/>
      <c r="I201" s="17"/>
      <c r="J201" s="17"/>
      <c r="K201" s="17"/>
      <c r="L201" s="17"/>
      <c r="M201" s="17"/>
    </row>
    <row r="202" spans="1:13" s="2" customFormat="1" x14ac:dyDescent="0.25">
      <c r="A202" s="6"/>
      <c r="D202" s="17"/>
      <c r="E202" s="18"/>
      <c r="F202" s="17"/>
      <c r="G202" s="17"/>
      <c r="H202" s="17"/>
      <c r="I202" s="17"/>
      <c r="J202" s="17"/>
      <c r="K202" s="17"/>
      <c r="L202" s="17"/>
      <c r="M202" s="17"/>
    </row>
    <row r="203" spans="1:13" s="2" customFormat="1" x14ac:dyDescent="0.25">
      <c r="A203" s="6"/>
      <c r="D203" s="17"/>
      <c r="E203" s="18"/>
      <c r="F203" s="17"/>
      <c r="G203" s="17"/>
      <c r="H203" s="17"/>
      <c r="I203" s="17"/>
      <c r="J203" s="17"/>
      <c r="K203" s="17"/>
      <c r="L203" s="17"/>
      <c r="M203" s="17"/>
    </row>
    <row r="204" spans="1:13" s="2" customFormat="1" x14ac:dyDescent="0.25">
      <c r="A204" s="6"/>
      <c r="D204" s="17"/>
      <c r="E204" s="18"/>
      <c r="F204" s="17"/>
      <c r="G204" s="17"/>
      <c r="H204" s="17"/>
      <c r="I204" s="17"/>
      <c r="J204" s="17"/>
      <c r="K204" s="17"/>
      <c r="L204" s="17"/>
      <c r="M204" s="17"/>
    </row>
    <row r="205" spans="1:13" s="2" customFormat="1" x14ac:dyDescent="0.25">
      <c r="A205" s="6"/>
      <c r="D205" s="17"/>
      <c r="E205" s="18"/>
      <c r="F205" s="17"/>
      <c r="G205" s="17"/>
      <c r="H205" s="17"/>
      <c r="I205" s="17"/>
      <c r="J205" s="17"/>
      <c r="K205" s="17"/>
      <c r="L205" s="17"/>
      <c r="M205" s="17"/>
    </row>
    <row r="206" spans="1:13" s="2" customFormat="1" x14ac:dyDescent="0.25">
      <c r="A206" s="6"/>
      <c r="D206" s="17"/>
      <c r="E206" s="18"/>
      <c r="F206" s="17"/>
      <c r="G206" s="17"/>
      <c r="H206" s="17"/>
      <c r="I206" s="17"/>
      <c r="J206" s="17"/>
      <c r="K206" s="17"/>
      <c r="L206" s="17"/>
      <c r="M206" s="17"/>
    </row>
    <row r="207" spans="1:13" s="2" customFormat="1" x14ac:dyDescent="0.25">
      <c r="A207" s="6"/>
      <c r="D207" s="17"/>
      <c r="E207" s="18"/>
      <c r="F207" s="17"/>
      <c r="G207" s="17"/>
      <c r="H207" s="17"/>
      <c r="I207" s="17"/>
      <c r="J207" s="17"/>
      <c r="K207" s="17"/>
      <c r="L207" s="17"/>
      <c r="M207" s="17"/>
    </row>
    <row r="208" spans="1:13" s="2" customFormat="1" x14ac:dyDescent="0.25">
      <c r="A208" s="6"/>
      <c r="D208" s="17"/>
      <c r="E208" s="18"/>
      <c r="F208" s="17"/>
      <c r="G208" s="17"/>
      <c r="H208" s="17"/>
      <c r="I208" s="17"/>
      <c r="J208" s="17"/>
      <c r="K208" s="17"/>
      <c r="L208" s="17"/>
      <c r="M208" s="17"/>
    </row>
    <row r="209" spans="1:13" s="2" customFormat="1" x14ac:dyDescent="0.25">
      <c r="A209" s="6"/>
      <c r="D209" s="17"/>
      <c r="E209" s="18"/>
      <c r="F209" s="17"/>
      <c r="G209" s="17"/>
      <c r="H209" s="17"/>
      <c r="I209" s="17"/>
      <c r="J209" s="17"/>
      <c r="K209" s="17"/>
      <c r="L209" s="17"/>
      <c r="M209" s="17"/>
    </row>
    <row r="210" spans="1:13" s="2" customFormat="1" x14ac:dyDescent="0.25">
      <c r="A210" s="6"/>
      <c r="D210" s="17"/>
      <c r="E210" s="18"/>
      <c r="F210" s="17"/>
      <c r="G210" s="17"/>
      <c r="H210" s="17"/>
      <c r="I210" s="17"/>
      <c r="J210" s="17"/>
      <c r="K210" s="17"/>
      <c r="L210" s="17"/>
      <c r="M210" s="17"/>
    </row>
    <row r="211" spans="1:13" s="2" customFormat="1" x14ac:dyDescent="0.25">
      <c r="A211" s="6"/>
      <c r="D211" s="17"/>
      <c r="E211" s="18"/>
      <c r="F211" s="17"/>
      <c r="G211" s="17"/>
      <c r="H211" s="17"/>
      <c r="I211" s="17"/>
      <c r="J211" s="17"/>
      <c r="K211" s="17"/>
      <c r="L211" s="17"/>
      <c r="M211" s="17"/>
    </row>
    <row r="212" spans="1:13" s="2" customFormat="1" x14ac:dyDescent="0.25">
      <c r="A212" s="6"/>
      <c r="D212" s="17"/>
      <c r="E212" s="18"/>
      <c r="F212" s="17"/>
      <c r="G212" s="17"/>
      <c r="H212" s="17"/>
      <c r="I212" s="17"/>
      <c r="J212" s="17"/>
      <c r="K212" s="17"/>
      <c r="L212" s="17"/>
      <c r="M212" s="17"/>
    </row>
    <row r="213" spans="1:13" s="2" customFormat="1" x14ac:dyDescent="0.25">
      <c r="A213" s="6"/>
      <c r="D213" s="17"/>
      <c r="E213" s="18"/>
      <c r="F213" s="17"/>
      <c r="G213" s="17"/>
      <c r="H213" s="17"/>
      <c r="I213" s="17"/>
      <c r="J213" s="17"/>
      <c r="K213" s="17"/>
      <c r="L213" s="17"/>
      <c r="M213" s="17"/>
    </row>
    <row r="214" spans="1:13" s="2" customFormat="1" x14ac:dyDescent="0.25">
      <c r="A214" s="6"/>
      <c r="D214" s="17"/>
      <c r="E214" s="18"/>
      <c r="F214" s="17"/>
      <c r="G214" s="17"/>
      <c r="H214" s="17"/>
      <c r="I214" s="17"/>
      <c r="J214" s="17"/>
      <c r="K214" s="17"/>
      <c r="L214" s="17"/>
      <c r="M214" s="17"/>
    </row>
    <row r="215" spans="1:13" s="2" customFormat="1" x14ac:dyDescent="0.25">
      <c r="A215" s="6"/>
      <c r="D215" s="17"/>
      <c r="E215" s="18"/>
      <c r="F215" s="17"/>
      <c r="G215" s="17"/>
      <c r="H215" s="17"/>
      <c r="I215" s="17"/>
      <c r="J215" s="17"/>
      <c r="K215" s="17"/>
      <c r="L215" s="17"/>
      <c r="M215" s="17"/>
    </row>
    <row r="216" spans="1:13" s="2" customFormat="1" x14ac:dyDescent="0.25">
      <c r="A216" s="6"/>
      <c r="D216" s="17"/>
      <c r="E216" s="18"/>
      <c r="F216" s="17"/>
      <c r="G216" s="17"/>
      <c r="H216" s="17"/>
      <c r="I216" s="17"/>
      <c r="J216" s="17"/>
      <c r="K216" s="17"/>
      <c r="L216" s="17"/>
      <c r="M216" s="17"/>
    </row>
    <row r="217" spans="1:13" s="2" customFormat="1" x14ac:dyDescent="0.25">
      <c r="A217" s="6"/>
      <c r="D217" s="17"/>
      <c r="E217" s="18"/>
      <c r="F217" s="17"/>
      <c r="G217" s="17"/>
      <c r="H217" s="17"/>
      <c r="I217" s="17"/>
      <c r="J217" s="17"/>
      <c r="K217" s="17"/>
      <c r="L217" s="17"/>
      <c r="M217" s="17"/>
    </row>
    <row r="218" spans="1:13" s="2" customFormat="1" x14ac:dyDescent="0.25">
      <c r="A218" s="6"/>
      <c r="D218" s="17"/>
      <c r="E218" s="18"/>
      <c r="F218" s="17"/>
      <c r="G218" s="17"/>
      <c r="H218" s="17"/>
      <c r="I218" s="17"/>
      <c r="J218" s="17"/>
      <c r="K218" s="17"/>
      <c r="L218" s="17"/>
      <c r="M218" s="17"/>
    </row>
    <row r="219" spans="1:13" s="2" customFormat="1" x14ac:dyDescent="0.25">
      <c r="A219" s="6"/>
      <c r="D219" s="17"/>
      <c r="E219" s="18"/>
      <c r="F219" s="17"/>
      <c r="G219" s="17"/>
      <c r="H219" s="17"/>
      <c r="I219" s="17"/>
      <c r="J219" s="17"/>
      <c r="K219" s="17"/>
      <c r="L219" s="17"/>
      <c r="M219" s="17"/>
    </row>
    <row r="220" spans="1:13" s="2" customFormat="1" x14ac:dyDescent="0.25">
      <c r="A220" s="6"/>
      <c r="D220" s="17"/>
      <c r="E220" s="18"/>
      <c r="F220" s="17"/>
      <c r="G220" s="17"/>
      <c r="H220" s="17"/>
      <c r="I220" s="17"/>
      <c r="J220" s="17"/>
      <c r="K220" s="17"/>
      <c r="L220" s="17"/>
      <c r="M220" s="17"/>
    </row>
    <row r="221" spans="1:13" s="2" customFormat="1" x14ac:dyDescent="0.25">
      <c r="A221" s="6"/>
      <c r="D221" s="17"/>
      <c r="E221" s="18"/>
      <c r="F221" s="17"/>
      <c r="G221" s="17"/>
      <c r="H221" s="17"/>
      <c r="I221" s="17"/>
      <c r="J221" s="17"/>
      <c r="K221" s="17"/>
      <c r="L221" s="17"/>
      <c r="M221" s="17"/>
    </row>
    <row r="222" spans="1:13" s="2" customFormat="1" x14ac:dyDescent="0.25">
      <c r="A222" s="6"/>
      <c r="D222" s="17"/>
      <c r="E222" s="18"/>
      <c r="F222" s="17"/>
      <c r="G222" s="17"/>
      <c r="H222" s="17"/>
      <c r="I222" s="17"/>
      <c r="J222" s="17"/>
      <c r="K222" s="17"/>
      <c r="L222" s="17"/>
      <c r="M222" s="17"/>
    </row>
    <row r="223" spans="1:13" s="2" customFormat="1" x14ac:dyDescent="0.25">
      <c r="A223" s="6"/>
      <c r="D223" s="17"/>
      <c r="E223" s="18"/>
      <c r="F223" s="17"/>
      <c r="G223" s="17"/>
      <c r="H223" s="17"/>
      <c r="I223" s="17"/>
      <c r="J223" s="17"/>
      <c r="K223" s="17"/>
      <c r="L223" s="17"/>
      <c r="M223" s="17"/>
    </row>
    <row r="224" spans="1:13" s="2" customFormat="1" x14ac:dyDescent="0.25">
      <c r="A224" s="6"/>
      <c r="D224" s="17"/>
      <c r="E224" s="18"/>
      <c r="F224" s="17"/>
      <c r="G224" s="17"/>
      <c r="H224" s="17"/>
      <c r="I224" s="17"/>
      <c r="J224" s="17"/>
      <c r="K224" s="17"/>
      <c r="L224" s="17"/>
      <c r="M224" s="17"/>
    </row>
    <row r="225" spans="1:13" s="2" customFormat="1" x14ac:dyDescent="0.25">
      <c r="A225" s="6"/>
      <c r="D225" s="17"/>
      <c r="E225" s="18"/>
      <c r="F225" s="17"/>
      <c r="G225" s="17"/>
      <c r="H225" s="17"/>
      <c r="I225" s="17"/>
      <c r="J225" s="17"/>
      <c r="K225" s="17"/>
      <c r="L225" s="17"/>
      <c r="M225" s="17"/>
    </row>
    <row r="226" spans="1:13" s="2" customFormat="1" x14ac:dyDescent="0.25">
      <c r="A226" s="6"/>
      <c r="D226" s="17"/>
      <c r="E226" s="18"/>
      <c r="F226" s="17"/>
      <c r="G226" s="17"/>
      <c r="H226" s="17"/>
      <c r="I226" s="17"/>
      <c r="J226" s="17"/>
      <c r="K226" s="17"/>
      <c r="L226" s="17"/>
      <c r="M226" s="17"/>
    </row>
    <row r="227" spans="1:13" s="2" customFormat="1" x14ac:dyDescent="0.25">
      <c r="A227" s="6"/>
      <c r="D227" s="17"/>
      <c r="E227" s="18"/>
      <c r="F227" s="17"/>
      <c r="G227" s="17"/>
      <c r="H227" s="17"/>
      <c r="I227" s="17"/>
      <c r="J227" s="17"/>
      <c r="K227" s="17"/>
      <c r="L227" s="17"/>
      <c r="M227" s="17"/>
    </row>
    <row r="228" spans="1:13" s="2" customFormat="1" x14ac:dyDescent="0.25">
      <c r="A228" s="6"/>
      <c r="D228" s="17"/>
      <c r="E228" s="18"/>
      <c r="F228" s="17"/>
      <c r="G228" s="17"/>
      <c r="H228" s="17"/>
      <c r="I228" s="17"/>
      <c r="J228" s="17"/>
      <c r="K228" s="17"/>
      <c r="L228" s="17"/>
      <c r="M228" s="17"/>
    </row>
    <row r="229" spans="1:13" s="2" customFormat="1" x14ac:dyDescent="0.25">
      <c r="A229" s="6"/>
      <c r="D229" s="17"/>
      <c r="E229" s="18"/>
      <c r="F229" s="17"/>
      <c r="G229" s="17"/>
      <c r="H229" s="17"/>
      <c r="I229" s="17"/>
      <c r="J229" s="17"/>
      <c r="K229" s="17"/>
      <c r="L229" s="17"/>
      <c r="M229" s="17"/>
    </row>
    <row r="230" spans="1:13" s="2" customFormat="1" x14ac:dyDescent="0.25">
      <c r="A230" s="6"/>
      <c r="D230" s="17"/>
      <c r="E230" s="18"/>
      <c r="F230" s="17"/>
      <c r="G230" s="17"/>
      <c r="H230" s="17"/>
      <c r="I230" s="17"/>
      <c r="J230" s="17"/>
      <c r="K230" s="17"/>
      <c r="L230" s="17"/>
      <c r="M230" s="17"/>
    </row>
    <row r="231" spans="1:13" s="2" customFormat="1" x14ac:dyDescent="0.25">
      <c r="A231" s="6"/>
      <c r="D231" s="17"/>
      <c r="E231" s="18"/>
      <c r="F231" s="17"/>
      <c r="G231" s="17"/>
      <c r="H231" s="17"/>
      <c r="I231" s="17"/>
      <c r="J231" s="17"/>
      <c r="K231" s="17"/>
      <c r="L231" s="17"/>
      <c r="M231" s="17"/>
    </row>
    <row r="232" spans="1:13" s="2" customFormat="1" x14ac:dyDescent="0.25">
      <c r="A232" s="6"/>
      <c r="D232" s="17"/>
      <c r="E232" s="18"/>
      <c r="F232" s="17"/>
      <c r="G232" s="17"/>
      <c r="H232" s="17"/>
      <c r="I232" s="17"/>
      <c r="J232" s="17"/>
      <c r="K232" s="17"/>
      <c r="L232" s="17"/>
      <c r="M232" s="17"/>
    </row>
    <row r="233" spans="1:13" s="2" customFormat="1" x14ac:dyDescent="0.25">
      <c r="A233" s="6"/>
      <c r="D233" s="17"/>
      <c r="E233" s="18"/>
      <c r="F233" s="17"/>
      <c r="G233" s="17"/>
      <c r="H233" s="17"/>
      <c r="I233" s="17"/>
      <c r="J233" s="17"/>
      <c r="K233" s="17"/>
      <c r="L233" s="17"/>
      <c r="M233" s="17"/>
    </row>
    <row r="234" spans="1:13" s="2" customFormat="1" x14ac:dyDescent="0.25">
      <c r="A234" s="6"/>
      <c r="D234" s="17"/>
      <c r="E234" s="18"/>
      <c r="F234" s="17"/>
      <c r="G234" s="17"/>
      <c r="H234" s="17"/>
      <c r="I234" s="17"/>
      <c r="J234" s="17"/>
      <c r="K234" s="17"/>
      <c r="L234" s="17"/>
      <c r="M234" s="17"/>
    </row>
    <row r="235" spans="1:13" s="2" customFormat="1" x14ac:dyDescent="0.25">
      <c r="A235" s="6"/>
      <c r="D235" s="17"/>
      <c r="E235" s="18"/>
      <c r="F235" s="17"/>
      <c r="G235" s="17"/>
      <c r="H235" s="17"/>
      <c r="I235" s="17"/>
      <c r="J235" s="17"/>
      <c r="K235" s="17"/>
      <c r="L235" s="17"/>
      <c r="M235" s="17"/>
    </row>
    <row r="236" spans="1:13" s="2" customFormat="1" x14ac:dyDescent="0.25">
      <c r="A236" s="6"/>
      <c r="D236" s="17"/>
      <c r="E236" s="18"/>
      <c r="F236" s="17"/>
      <c r="G236" s="17"/>
      <c r="H236" s="17"/>
      <c r="I236" s="17"/>
      <c r="J236" s="17"/>
      <c r="K236" s="17"/>
      <c r="L236" s="17"/>
      <c r="M236" s="17"/>
    </row>
    <row r="237" spans="1:13" s="2" customFormat="1" x14ac:dyDescent="0.25">
      <c r="A237" s="6"/>
      <c r="D237" s="17"/>
      <c r="E237" s="18"/>
      <c r="F237" s="17"/>
      <c r="G237" s="17"/>
      <c r="H237" s="17"/>
      <c r="I237" s="17"/>
      <c r="J237" s="17"/>
      <c r="K237" s="17"/>
      <c r="L237" s="17"/>
      <c r="M237" s="17"/>
    </row>
    <row r="238" spans="1:13" s="2" customFormat="1" x14ac:dyDescent="0.25">
      <c r="A238" s="6"/>
      <c r="D238" s="17"/>
      <c r="E238" s="18"/>
      <c r="F238" s="17"/>
      <c r="G238" s="17"/>
      <c r="H238" s="17"/>
      <c r="I238" s="17"/>
      <c r="J238" s="17"/>
      <c r="K238" s="17"/>
      <c r="L238" s="17"/>
      <c r="M238" s="17"/>
    </row>
    <row r="239" spans="1:13" s="2" customFormat="1" x14ac:dyDescent="0.25">
      <c r="A239" s="6"/>
      <c r="D239" s="17"/>
      <c r="E239" s="18"/>
      <c r="F239" s="17"/>
      <c r="G239" s="17"/>
      <c r="H239" s="17"/>
      <c r="I239" s="17"/>
      <c r="J239" s="17"/>
      <c r="K239" s="17"/>
      <c r="L239" s="17"/>
      <c r="M239" s="17"/>
    </row>
    <row r="240" spans="1:13" s="2" customFormat="1" x14ac:dyDescent="0.25">
      <c r="A240" s="6"/>
      <c r="D240" s="17"/>
      <c r="E240" s="18"/>
      <c r="F240" s="17"/>
      <c r="G240" s="17"/>
      <c r="H240" s="17"/>
      <c r="I240" s="17"/>
      <c r="J240" s="17"/>
      <c r="K240" s="17"/>
      <c r="L240" s="17"/>
      <c r="M240" s="17"/>
    </row>
    <row r="241" spans="1:13" s="2" customFormat="1" x14ac:dyDescent="0.25">
      <c r="A241" s="6"/>
      <c r="D241" s="17"/>
      <c r="E241" s="18"/>
      <c r="F241" s="17"/>
      <c r="G241" s="17"/>
      <c r="H241" s="17"/>
      <c r="I241" s="17"/>
      <c r="J241" s="17"/>
      <c r="K241" s="17"/>
      <c r="L241" s="17"/>
      <c r="M241" s="17"/>
    </row>
    <row r="242" spans="1:13" s="2" customFormat="1" x14ac:dyDescent="0.25">
      <c r="A242" s="6"/>
      <c r="D242" s="17"/>
      <c r="E242" s="18"/>
      <c r="F242" s="17"/>
      <c r="G242" s="17"/>
      <c r="H242" s="17"/>
      <c r="I242" s="17"/>
      <c r="J242" s="17"/>
      <c r="K242" s="17"/>
      <c r="L242" s="17"/>
      <c r="M242" s="17"/>
    </row>
    <row r="243" spans="1:13" s="2" customFormat="1" x14ac:dyDescent="0.25">
      <c r="A243" s="6"/>
      <c r="D243" s="17"/>
      <c r="E243" s="18"/>
      <c r="F243" s="17"/>
      <c r="G243" s="17"/>
      <c r="H243" s="17"/>
      <c r="I243" s="17"/>
      <c r="J243" s="17"/>
      <c r="K243" s="17"/>
      <c r="L243" s="17"/>
      <c r="M243" s="17"/>
    </row>
    <row r="244" spans="1:13" s="2" customFormat="1" x14ac:dyDescent="0.25">
      <c r="A244" s="6"/>
      <c r="D244" s="17"/>
      <c r="E244" s="18"/>
      <c r="F244" s="17"/>
      <c r="G244" s="17"/>
      <c r="H244" s="17"/>
      <c r="I244" s="17"/>
      <c r="J244" s="17"/>
      <c r="K244" s="17"/>
      <c r="L244" s="17"/>
      <c r="M244" s="17"/>
    </row>
    <row r="245" spans="1:13" s="2" customFormat="1" x14ac:dyDescent="0.25">
      <c r="A245" s="6"/>
      <c r="D245" s="17"/>
      <c r="E245" s="18"/>
      <c r="F245" s="17"/>
      <c r="G245" s="17"/>
      <c r="H245" s="17"/>
      <c r="I245" s="17"/>
      <c r="J245" s="17"/>
      <c r="K245" s="17"/>
      <c r="L245" s="17"/>
      <c r="M245" s="17"/>
    </row>
    <row r="246" spans="1:13" s="2" customFormat="1" x14ac:dyDescent="0.25">
      <c r="A246" s="6"/>
      <c r="D246" s="17"/>
      <c r="E246" s="18"/>
      <c r="F246" s="17"/>
      <c r="G246" s="17"/>
      <c r="H246" s="17"/>
      <c r="I246" s="17"/>
      <c r="J246" s="17"/>
      <c r="K246" s="17"/>
      <c r="L246" s="17"/>
      <c r="M246" s="17"/>
    </row>
    <row r="247" spans="1:13" s="2" customFormat="1" x14ac:dyDescent="0.25">
      <c r="A247" s="6"/>
      <c r="D247" s="17"/>
      <c r="E247" s="18"/>
      <c r="F247" s="17"/>
      <c r="G247" s="17"/>
      <c r="H247" s="17"/>
      <c r="I247" s="17"/>
      <c r="J247" s="17"/>
      <c r="K247" s="17"/>
      <c r="L247" s="17"/>
      <c r="M247" s="17"/>
    </row>
    <row r="248" spans="1:13" s="2" customFormat="1" x14ac:dyDescent="0.25">
      <c r="A248" s="6"/>
      <c r="D248" s="17"/>
      <c r="E248" s="18"/>
      <c r="F248" s="17"/>
      <c r="G248" s="17"/>
      <c r="H248" s="17"/>
      <c r="I248" s="17"/>
      <c r="J248" s="17"/>
      <c r="K248" s="17"/>
      <c r="L248" s="17"/>
      <c r="M248" s="17"/>
    </row>
    <row r="249" spans="1:13" s="2" customFormat="1" x14ac:dyDescent="0.25">
      <c r="A249" s="6"/>
      <c r="D249" s="17"/>
      <c r="E249" s="18"/>
      <c r="F249" s="17"/>
      <c r="G249" s="17"/>
      <c r="H249" s="17"/>
      <c r="I249" s="17"/>
      <c r="J249" s="17"/>
      <c r="K249" s="17"/>
      <c r="L249" s="17"/>
      <c r="M249" s="17"/>
    </row>
    <row r="250" spans="1:13" s="2" customFormat="1" x14ac:dyDescent="0.25">
      <c r="A250" s="6"/>
      <c r="D250" s="17"/>
      <c r="E250" s="18"/>
      <c r="F250" s="17"/>
      <c r="G250" s="17"/>
      <c r="H250" s="17"/>
      <c r="I250" s="17"/>
      <c r="J250" s="17"/>
      <c r="K250" s="17"/>
      <c r="L250" s="17"/>
      <c r="M250" s="17"/>
    </row>
    <row r="251" spans="1:13" s="2" customFormat="1" x14ac:dyDescent="0.25">
      <c r="A251" s="6"/>
      <c r="D251" s="17"/>
      <c r="E251" s="18"/>
      <c r="F251" s="17"/>
      <c r="G251" s="17"/>
      <c r="H251" s="17"/>
      <c r="I251" s="17"/>
      <c r="J251" s="17"/>
      <c r="K251" s="17"/>
      <c r="L251" s="17"/>
      <c r="M251" s="17"/>
    </row>
    <row r="252" spans="1:13" s="2" customFormat="1" x14ac:dyDescent="0.25">
      <c r="A252" s="6"/>
      <c r="D252" s="17"/>
      <c r="E252" s="18"/>
      <c r="F252" s="17"/>
      <c r="G252" s="17"/>
      <c r="H252" s="17"/>
      <c r="I252" s="17"/>
      <c r="J252" s="17"/>
      <c r="K252" s="17"/>
      <c r="L252" s="17"/>
      <c r="M252" s="17"/>
    </row>
    <row r="253" spans="1:13" s="2" customFormat="1" x14ac:dyDescent="0.25">
      <c r="A253" s="6"/>
      <c r="D253" s="17"/>
      <c r="E253" s="18"/>
      <c r="F253" s="17"/>
      <c r="G253" s="17"/>
      <c r="H253" s="17"/>
      <c r="I253" s="17"/>
      <c r="J253" s="17"/>
      <c r="K253" s="17"/>
      <c r="L253" s="17"/>
      <c r="M253" s="17"/>
    </row>
    <row r="254" spans="1:13" s="2" customFormat="1" x14ac:dyDescent="0.25">
      <c r="A254" s="6"/>
      <c r="D254" s="17"/>
      <c r="E254" s="18"/>
      <c r="F254" s="17"/>
      <c r="G254" s="17"/>
      <c r="H254" s="17"/>
      <c r="I254" s="17"/>
      <c r="J254" s="17"/>
      <c r="K254" s="17"/>
      <c r="L254" s="17"/>
      <c r="M254" s="17"/>
    </row>
    <row r="255" spans="1:13" s="2" customFormat="1" x14ac:dyDescent="0.25">
      <c r="A255" s="6"/>
      <c r="D255" s="17"/>
      <c r="E255" s="18"/>
      <c r="F255" s="17"/>
      <c r="G255" s="17"/>
      <c r="H255" s="17"/>
      <c r="I255" s="17"/>
      <c r="J255" s="17"/>
      <c r="K255" s="17"/>
      <c r="L255" s="17"/>
      <c r="M255" s="17"/>
    </row>
    <row r="256" spans="1:13" s="2" customFormat="1" x14ac:dyDescent="0.25">
      <c r="A256" s="6"/>
      <c r="D256" s="17"/>
      <c r="E256" s="18"/>
      <c r="F256" s="17"/>
      <c r="G256" s="17"/>
      <c r="H256" s="17"/>
      <c r="I256" s="17"/>
      <c r="J256" s="17"/>
      <c r="K256" s="17"/>
      <c r="L256" s="17"/>
      <c r="M256" s="17"/>
    </row>
    <row r="257" spans="1:13" s="2" customFormat="1" x14ac:dyDescent="0.25">
      <c r="A257" s="6"/>
      <c r="D257" s="17"/>
      <c r="E257" s="18"/>
      <c r="F257" s="17"/>
      <c r="G257" s="17"/>
      <c r="H257" s="17"/>
      <c r="I257" s="17"/>
      <c r="J257" s="17"/>
      <c r="K257" s="17"/>
      <c r="L257" s="17"/>
      <c r="M257" s="17"/>
    </row>
    <row r="258" spans="1:13" s="2" customFormat="1" x14ac:dyDescent="0.25">
      <c r="A258" s="6"/>
      <c r="D258" s="17"/>
      <c r="E258" s="18"/>
      <c r="F258" s="17"/>
      <c r="G258" s="17"/>
      <c r="H258" s="17"/>
      <c r="I258" s="17"/>
      <c r="J258" s="17"/>
      <c r="K258" s="17"/>
      <c r="L258" s="17"/>
      <c r="M258" s="17"/>
    </row>
    <row r="259" spans="1:13" s="2" customFormat="1" x14ac:dyDescent="0.25">
      <c r="A259" s="6"/>
      <c r="D259" s="17"/>
      <c r="E259" s="18"/>
      <c r="F259" s="17"/>
      <c r="G259" s="17"/>
      <c r="H259" s="17"/>
      <c r="I259" s="17"/>
      <c r="J259" s="17"/>
      <c r="K259" s="17"/>
      <c r="L259" s="17"/>
      <c r="M259" s="17"/>
    </row>
    <row r="260" spans="1:13" s="2" customFormat="1" x14ac:dyDescent="0.25">
      <c r="A260" s="6"/>
      <c r="D260" s="17"/>
      <c r="E260" s="18"/>
      <c r="F260" s="17"/>
      <c r="G260" s="17"/>
      <c r="H260" s="17"/>
      <c r="I260" s="17"/>
      <c r="J260" s="17"/>
      <c r="K260" s="17"/>
      <c r="L260" s="17"/>
      <c r="M260" s="17"/>
    </row>
    <row r="261" spans="1:13" s="2" customFormat="1" x14ac:dyDescent="0.25">
      <c r="A261" s="6"/>
      <c r="D261" s="17"/>
      <c r="E261" s="18"/>
      <c r="F261" s="17"/>
      <c r="G261" s="17"/>
      <c r="H261" s="17"/>
      <c r="I261" s="17"/>
      <c r="J261" s="17"/>
      <c r="K261" s="17"/>
      <c r="L261" s="17"/>
      <c r="M261" s="17"/>
    </row>
    <row r="262" spans="1:13" s="2" customFormat="1" x14ac:dyDescent="0.25">
      <c r="A262" s="6"/>
      <c r="D262" s="17"/>
      <c r="E262" s="18"/>
      <c r="F262" s="17"/>
      <c r="G262" s="17"/>
      <c r="H262" s="17"/>
      <c r="I262" s="17"/>
      <c r="J262" s="17"/>
      <c r="K262" s="17"/>
      <c r="L262" s="17"/>
      <c r="M262" s="17"/>
    </row>
    <row r="263" spans="1:13" s="2" customFormat="1" x14ac:dyDescent="0.25">
      <c r="A263" s="6"/>
      <c r="D263" s="17"/>
      <c r="E263" s="18"/>
      <c r="F263" s="17"/>
      <c r="G263" s="17"/>
      <c r="H263" s="17"/>
      <c r="I263" s="17"/>
      <c r="J263" s="17"/>
      <c r="K263" s="17"/>
      <c r="L263" s="17"/>
      <c r="M263" s="17"/>
    </row>
    <row r="264" spans="1:13" s="2" customFormat="1" x14ac:dyDescent="0.25">
      <c r="A264" s="6"/>
      <c r="D264" s="17"/>
      <c r="E264" s="18"/>
      <c r="F264" s="17"/>
      <c r="G264" s="17"/>
      <c r="H264" s="17"/>
      <c r="I264" s="17"/>
      <c r="J264" s="17"/>
      <c r="K264" s="17"/>
      <c r="L264" s="17"/>
      <c r="M264" s="17"/>
    </row>
    <row r="265" spans="1:13" s="2" customFormat="1" x14ac:dyDescent="0.25">
      <c r="A265" s="6"/>
      <c r="D265" s="17"/>
      <c r="E265" s="18"/>
      <c r="F265" s="17"/>
      <c r="G265" s="17"/>
      <c r="H265" s="17"/>
      <c r="I265" s="17"/>
      <c r="J265" s="17"/>
      <c r="K265" s="17"/>
      <c r="L265" s="17"/>
      <c r="M265" s="17"/>
    </row>
    <row r="266" spans="1:13" s="2" customFormat="1" x14ac:dyDescent="0.25">
      <c r="A266" s="6"/>
      <c r="D266" s="17"/>
      <c r="E266" s="18"/>
      <c r="F266" s="17"/>
      <c r="G266" s="17"/>
      <c r="H266" s="17"/>
      <c r="I266" s="17"/>
      <c r="J266" s="17"/>
      <c r="K266" s="17"/>
      <c r="L266" s="17"/>
      <c r="M266" s="17"/>
    </row>
    <row r="267" spans="1:13" s="2" customFormat="1" x14ac:dyDescent="0.25">
      <c r="A267" s="6"/>
      <c r="D267" s="17"/>
      <c r="E267" s="18"/>
      <c r="F267" s="17"/>
      <c r="G267" s="17"/>
      <c r="H267" s="17"/>
      <c r="I267" s="17"/>
      <c r="J267" s="17"/>
      <c r="K267" s="17"/>
      <c r="L267" s="17"/>
      <c r="M267" s="17"/>
    </row>
    <row r="268" spans="1:13" s="2" customFormat="1" x14ac:dyDescent="0.25">
      <c r="A268" s="6"/>
      <c r="D268" s="17"/>
      <c r="E268" s="18"/>
      <c r="F268" s="17"/>
      <c r="G268" s="17"/>
      <c r="H268" s="17"/>
      <c r="I268" s="17"/>
      <c r="J268" s="17"/>
      <c r="K268" s="17"/>
      <c r="L268" s="17"/>
      <c r="M268" s="17"/>
    </row>
    <row r="269" spans="1:13" s="2" customFormat="1" x14ac:dyDescent="0.25">
      <c r="A269" s="6"/>
      <c r="D269" s="17"/>
      <c r="E269" s="18"/>
      <c r="F269" s="17"/>
      <c r="G269" s="17"/>
      <c r="H269" s="17"/>
      <c r="I269" s="17"/>
      <c r="J269" s="17"/>
      <c r="K269" s="17"/>
      <c r="L269" s="17"/>
      <c r="M269" s="17"/>
    </row>
    <row r="270" spans="1:13" s="2" customFormat="1" x14ac:dyDescent="0.25">
      <c r="A270" s="6"/>
      <c r="D270" s="17"/>
      <c r="E270" s="18"/>
      <c r="F270" s="17"/>
      <c r="G270" s="17"/>
      <c r="H270" s="17"/>
      <c r="I270" s="17"/>
      <c r="J270" s="17"/>
      <c r="K270" s="17"/>
      <c r="L270" s="17"/>
      <c r="M270" s="17"/>
    </row>
    <row r="271" spans="1:13" s="2" customFormat="1" x14ac:dyDescent="0.25">
      <c r="A271" s="6"/>
      <c r="D271" s="17"/>
      <c r="E271" s="18"/>
      <c r="F271" s="17"/>
      <c r="G271" s="17"/>
      <c r="H271" s="17"/>
      <c r="I271" s="17"/>
      <c r="J271" s="17"/>
      <c r="K271" s="17"/>
      <c r="L271" s="17"/>
      <c r="M271" s="17"/>
    </row>
    <row r="272" spans="1:13" s="2" customFormat="1" x14ac:dyDescent="0.25">
      <c r="A272" s="6"/>
      <c r="D272" s="17"/>
      <c r="E272" s="18"/>
      <c r="F272" s="17"/>
      <c r="G272" s="17"/>
      <c r="H272" s="17"/>
      <c r="I272" s="17"/>
      <c r="J272" s="17"/>
      <c r="K272" s="17"/>
      <c r="L272" s="17"/>
      <c r="M272" s="17"/>
    </row>
    <row r="273" spans="1:13" s="2" customFormat="1" x14ac:dyDescent="0.25">
      <c r="A273" s="6"/>
      <c r="D273" s="17"/>
      <c r="E273" s="18"/>
      <c r="F273" s="17"/>
      <c r="G273" s="17"/>
      <c r="H273" s="17"/>
      <c r="I273" s="17"/>
      <c r="J273" s="17"/>
      <c r="K273" s="17"/>
      <c r="L273" s="17"/>
      <c r="M273" s="17"/>
    </row>
    <row r="274" spans="1:13" s="2" customFormat="1" x14ac:dyDescent="0.25">
      <c r="A274" s="6"/>
      <c r="D274" s="17"/>
      <c r="E274" s="18"/>
      <c r="F274" s="17"/>
      <c r="G274" s="17"/>
      <c r="H274" s="17"/>
      <c r="I274" s="17"/>
      <c r="J274" s="17"/>
      <c r="K274" s="17"/>
      <c r="L274" s="17"/>
      <c r="M274" s="17"/>
    </row>
    <row r="275" spans="1:13" s="2" customFormat="1" x14ac:dyDescent="0.25">
      <c r="A275" s="6"/>
      <c r="D275" s="17"/>
      <c r="E275" s="18"/>
      <c r="F275" s="17"/>
      <c r="G275" s="17"/>
      <c r="H275" s="17"/>
      <c r="I275" s="17"/>
      <c r="J275" s="17"/>
      <c r="K275" s="17"/>
      <c r="L275" s="17"/>
      <c r="M275" s="17"/>
    </row>
    <row r="276" spans="1:13" s="2" customFormat="1" x14ac:dyDescent="0.25">
      <c r="A276" s="6"/>
      <c r="D276" s="17"/>
      <c r="E276" s="18"/>
      <c r="F276" s="17"/>
      <c r="G276" s="17"/>
      <c r="H276" s="17"/>
      <c r="I276" s="17"/>
      <c r="J276" s="17"/>
      <c r="K276" s="17"/>
      <c r="L276" s="17"/>
      <c r="M276" s="17"/>
    </row>
    <row r="277" spans="1:13" s="2" customFormat="1" x14ac:dyDescent="0.25">
      <c r="A277" s="6"/>
      <c r="D277" s="17"/>
      <c r="E277" s="18"/>
      <c r="F277" s="17"/>
      <c r="G277" s="17"/>
      <c r="H277" s="17"/>
      <c r="I277" s="17"/>
      <c r="J277" s="17"/>
      <c r="K277" s="17"/>
      <c r="L277" s="17"/>
      <c r="M277" s="17"/>
    </row>
    <row r="278" spans="1:13" s="2" customFormat="1" x14ac:dyDescent="0.25">
      <c r="A278" s="6"/>
      <c r="D278" s="17"/>
      <c r="E278" s="18"/>
      <c r="F278" s="17"/>
      <c r="G278" s="17"/>
      <c r="H278" s="17"/>
      <c r="I278" s="17"/>
      <c r="J278" s="17"/>
      <c r="K278" s="17"/>
      <c r="L278" s="17"/>
      <c r="M278" s="17"/>
    </row>
    <row r="279" spans="1:13" s="2" customFormat="1" x14ac:dyDescent="0.25">
      <c r="A279" s="6"/>
      <c r="D279" s="17"/>
      <c r="E279" s="18"/>
      <c r="F279" s="17"/>
      <c r="G279" s="17"/>
      <c r="H279" s="17"/>
      <c r="I279" s="17"/>
      <c r="J279" s="17"/>
      <c r="K279" s="17"/>
      <c r="L279" s="17"/>
      <c r="M279" s="17"/>
    </row>
    <row r="280" spans="1:13" s="2" customFormat="1" x14ac:dyDescent="0.25">
      <c r="A280" s="6"/>
      <c r="D280" s="17"/>
      <c r="E280" s="18"/>
      <c r="F280" s="17"/>
      <c r="G280" s="17"/>
      <c r="H280" s="17"/>
      <c r="I280" s="17"/>
      <c r="J280" s="17"/>
      <c r="K280" s="17"/>
      <c r="L280" s="17"/>
      <c r="M280" s="17"/>
    </row>
    <row r="281" spans="1:13" s="2" customFormat="1" x14ac:dyDescent="0.25">
      <c r="A281" s="6"/>
      <c r="D281" s="17"/>
      <c r="E281" s="18"/>
      <c r="F281" s="17"/>
      <c r="G281" s="17"/>
      <c r="H281" s="17"/>
      <c r="I281" s="17"/>
      <c r="J281" s="17"/>
      <c r="K281" s="17"/>
      <c r="L281" s="17"/>
      <c r="M281" s="17"/>
    </row>
    <row r="282" spans="1:13" s="2" customFormat="1" x14ac:dyDescent="0.25">
      <c r="A282" s="6"/>
      <c r="D282" s="17"/>
      <c r="E282" s="18"/>
      <c r="F282" s="17"/>
      <c r="G282" s="17"/>
      <c r="H282" s="17"/>
      <c r="I282" s="17"/>
      <c r="J282" s="17"/>
      <c r="K282" s="17"/>
      <c r="L282" s="17"/>
      <c r="M282" s="17"/>
    </row>
    <row r="283" spans="1:13" s="2" customFormat="1" x14ac:dyDescent="0.25">
      <c r="A283" s="6"/>
      <c r="D283" s="17"/>
      <c r="E283" s="18"/>
      <c r="F283" s="17"/>
      <c r="G283" s="17"/>
      <c r="H283" s="17"/>
      <c r="I283" s="17"/>
      <c r="J283" s="17"/>
      <c r="K283" s="17"/>
      <c r="L283" s="17"/>
      <c r="M283" s="17"/>
    </row>
    <row r="284" spans="1:13" s="2" customFormat="1" x14ac:dyDescent="0.25">
      <c r="A284" s="6"/>
      <c r="D284" s="17"/>
      <c r="E284" s="18"/>
      <c r="F284" s="17"/>
      <c r="G284" s="17"/>
      <c r="H284" s="17"/>
      <c r="I284" s="17"/>
      <c r="J284" s="17"/>
      <c r="K284" s="17"/>
      <c r="L284" s="17"/>
      <c r="M284" s="17"/>
    </row>
    <row r="285" spans="1:13" s="2" customFormat="1" x14ac:dyDescent="0.25">
      <c r="A285" s="6"/>
      <c r="D285" s="17"/>
      <c r="E285" s="18"/>
      <c r="F285" s="17"/>
      <c r="G285" s="17"/>
      <c r="H285" s="17"/>
      <c r="I285" s="17"/>
      <c r="J285" s="17"/>
      <c r="K285" s="17"/>
      <c r="L285" s="17"/>
      <c r="M285" s="17"/>
    </row>
    <row r="286" spans="1:13" s="2" customFormat="1" x14ac:dyDescent="0.25">
      <c r="A286" s="6"/>
      <c r="D286" s="17"/>
      <c r="E286" s="18"/>
      <c r="F286" s="17"/>
      <c r="G286" s="17"/>
      <c r="H286" s="17"/>
      <c r="I286" s="17"/>
      <c r="J286" s="17"/>
      <c r="K286" s="17"/>
      <c r="L286" s="17"/>
      <c r="M286" s="17"/>
    </row>
    <row r="287" spans="1:13" s="2" customFormat="1" x14ac:dyDescent="0.25">
      <c r="A287" s="6"/>
      <c r="D287" s="17"/>
      <c r="E287" s="18"/>
      <c r="F287" s="17"/>
      <c r="G287" s="17"/>
      <c r="H287" s="17"/>
      <c r="I287" s="17"/>
      <c r="J287" s="17"/>
      <c r="K287" s="17"/>
      <c r="L287" s="17"/>
      <c r="M287" s="17"/>
    </row>
    <row r="288" spans="1:13" s="2" customFormat="1" x14ac:dyDescent="0.25">
      <c r="A288" s="6"/>
      <c r="D288" s="17"/>
      <c r="E288" s="18"/>
      <c r="F288" s="17"/>
      <c r="G288" s="17"/>
      <c r="H288" s="17"/>
      <c r="I288" s="17"/>
      <c r="J288" s="17"/>
      <c r="K288" s="17"/>
      <c r="L288" s="17"/>
      <c r="M288" s="17"/>
    </row>
    <row r="289" spans="1:13" s="2" customFormat="1" x14ac:dyDescent="0.25">
      <c r="A289" s="6"/>
      <c r="D289" s="17"/>
      <c r="E289" s="18"/>
      <c r="F289" s="17"/>
      <c r="G289" s="17"/>
      <c r="H289" s="17"/>
      <c r="I289" s="17"/>
      <c r="J289" s="17"/>
      <c r="K289" s="17"/>
      <c r="L289" s="17"/>
      <c r="M289" s="17"/>
    </row>
    <row r="290" spans="1:13" s="2" customFormat="1" x14ac:dyDescent="0.25">
      <c r="A290" s="6"/>
      <c r="D290" s="17"/>
      <c r="E290" s="18"/>
      <c r="F290" s="17"/>
      <c r="G290" s="17"/>
      <c r="H290" s="17"/>
      <c r="I290" s="17"/>
      <c r="J290" s="17"/>
      <c r="K290" s="17"/>
      <c r="L290" s="17"/>
      <c r="M290" s="17"/>
    </row>
    <row r="291" spans="1:13" s="2" customFormat="1" x14ac:dyDescent="0.25">
      <c r="A291" s="6"/>
      <c r="D291" s="17"/>
      <c r="E291" s="18"/>
      <c r="F291" s="17"/>
      <c r="G291" s="17"/>
      <c r="H291" s="17"/>
      <c r="I291" s="17"/>
      <c r="J291" s="17"/>
      <c r="K291" s="17"/>
      <c r="L291" s="17"/>
      <c r="M291" s="17"/>
    </row>
    <row r="292" spans="1:13" s="2" customFormat="1" x14ac:dyDescent="0.25">
      <c r="A292" s="6"/>
      <c r="D292" s="17"/>
      <c r="E292" s="18"/>
      <c r="F292" s="17"/>
      <c r="G292" s="17"/>
      <c r="H292" s="17"/>
      <c r="I292" s="17"/>
      <c r="J292" s="17"/>
      <c r="K292" s="17"/>
      <c r="L292" s="17"/>
      <c r="M292" s="17"/>
    </row>
    <row r="293" spans="1:13" s="2" customFormat="1" x14ac:dyDescent="0.25">
      <c r="A293" s="6"/>
      <c r="D293" s="17"/>
      <c r="E293" s="18"/>
      <c r="F293" s="17"/>
      <c r="G293" s="17"/>
      <c r="H293" s="17"/>
      <c r="I293" s="17"/>
      <c r="J293" s="17"/>
      <c r="K293" s="17"/>
      <c r="L293" s="17"/>
      <c r="M293" s="17"/>
    </row>
    <row r="294" spans="1:13" s="2" customFormat="1" x14ac:dyDescent="0.25">
      <c r="A294" s="6"/>
      <c r="D294" s="17"/>
      <c r="E294" s="18"/>
      <c r="F294" s="17"/>
      <c r="G294" s="17"/>
      <c r="H294" s="17"/>
      <c r="I294" s="17"/>
      <c r="J294" s="17"/>
      <c r="K294" s="17"/>
      <c r="L294" s="17"/>
      <c r="M294" s="17"/>
    </row>
    <row r="295" spans="1:13" s="2" customFormat="1" x14ac:dyDescent="0.25">
      <c r="A295" s="6"/>
      <c r="D295" s="17"/>
      <c r="E295" s="18"/>
      <c r="F295" s="17"/>
      <c r="G295" s="17"/>
      <c r="H295" s="17"/>
      <c r="I295" s="17"/>
      <c r="J295" s="17"/>
      <c r="K295" s="17"/>
      <c r="L295" s="17"/>
      <c r="M295" s="17"/>
    </row>
    <row r="296" spans="1:13" s="2" customFormat="1" x14ac:dyDescent="0.25">
      <c r="A296" s="6"/>
      <c r="D296" s="17"/>
      <c r="E296" s="18"/>
      <c r="F296" s="17"/>
      <c r="G296" s="17"/>
      <c r="H296" s="17"/>
      <c r="I296" s="17"/>
      <c r="J296" s="17"/>
      <c r="K296" s="17"/>
      <c r="L296" s="17"/>
      <c r="M296" s="17"/>
    </row>
    <row r="297" spans="1:13" s="2" customFormat="1" x14ac:dyDescent="0.25">
      <c r="A297" s="6"/>
      <c r="D297" s="17"/>
      <c r="E297" s="18"/>
      <c r="F297" s="17"/>
      <c r="G297" s="17"/>
      <c r="H297" s="17"/>
      <c r="I297" s="17"/>
      <c r="J297" s="17"/>
      <c r="K297" s="17"/>
      <c r="L297" s="17"/>
      <c r="M297" s="17"/>
    </row>
    <row r="298" spans="1:13" s="2" customFormat="1" x14ac:dyDescent="0.25">
      <c r="A298" s="6"/>
      <c r="D298" s="17"/>
      <c r="E298" s="18"/>
      <c r="F298" s="17"/>
      <c r="G298" s="17"/>
      <c r="H298" s="17"/>
      <c r="I298" s="17"/>
      <c r="J298" s="17"/>
      <c r="K298" s="17"/>
      <c r="L298" s="17"/>
      <c r="M298" s="17"/>
    </row>
    <row r="299" spans="1:13" s="2" customFormat="1" x14ac:dyDescent="0.25">
      <c r="A299" s="6"/>
      <c r="D299" s="17"/>
      <c r="E299" s="18"/>
      <c r="F299" s="17"/>
      <c r="G299" s="17"/>
      <c r="H299" s="17"/>
      <c r="I299" s="17"/>
      <c r="J299" s="17"/>
      <c r="K299" s="17"/>
      <c r="L299" s="17"/>
      <c r="M299" s="17"/>
    </row>
    <row r="300" spans="1:13" s="2" customFormat="1" x14ac:dyDescent="0.25">
      <c r="A300" s="6"/>
      <c r="D300" s="17"/>
      <c r="E300" s="18"/>
      <c r="F300" s="17"/>
      <c r="G300" s="17"/>
      <c r="H300" s="17"/>
      <c r="I300" s="17"/>
      <c r="J300" s="17"/>
      <c r="K300" s="17"/>
      <c r="L300" s="17"/>
      <c r="M300" s="17"/>
    </row>
    <row r="301" spans="1:13" s="2" customFormat="1" x14ac:dyDescent="0.25">
      <c r="A301" s="6"/>
      <c r="D301" s="17"/>
      <c r="E301" s="18"/>
      <c r="F301" s="17"/>
      <c r="G301" s="17"/>
      <c r="H301" s="17"/>
      <c r="I301" s="17"/>
      <c r="J301" s="17"/>
      <c r="K301" s="17"/>
      <c r="L301" s="17"/>
      <c r="M301" s="17"/>
    </row>
    <row r="302" spans="1:13" s="2" customFormat="1" x14ac:dyDescent="0.25">
      <c r="A302" s="6"/>
      <c r="D302" s="17"/>
      <c r="E302" s="18"/>
      <c r="F302" s="17"/>
      <c r="G302" s="17"/>
      <c r="H302" s="17"/>
      <c r="I302" s="17"/>
      <c r="J302" s="17"/>
      <c r="K302" s="17"/>
      <c r="L302" s="17"/>
      <c r="M302" s="17"/>
    </row>
    <row r="303" spans="1:13" s="2" customFormat="1" x14ac:dyDescent="0.25">
      <c r="A303" s="6"/>
      <c r="D303" s="17"/>
      <c r="E303" s="18"/>
      <c r="F303" s="17"/>
      <c r="G303" s="17"/>
      <c r="H303" s="17"/>
      <c r="I303" s="17"/>
      <c r="J303" s="17"/>
      <c r="K303" s="17"/>
      <c r="L303" s="17"/>
      <c r="M303" s="17"/>
    </row>
    <row r="304" spans="1:13" s="2" customFormat="1" x14ac:dyDescent="0.25">
      <c r="A304" s="6"/>
      <c r="D304" s="17"/>
      <c r="E304" s="18"/>
      <c r="F304" s="17"/>
      <c r="G304" s="17"/>
      <c r="H304" s="17"/>
      <c r="I304" s="17"/>
      <c r="J304" s="17"/>
      <c r="K304" s="17"/>
      <c r="L304" s="17"/>
      <c r="M304" s="17"/>
    </row>
    <row r="305" spans="1:13" s="2" customFormat="1" x14ac:dyDescent="0.25">
      <c r="A305" s="6"/>
      <c r="D305" s="17"/>
      <c r="E305" s="18"/>
      <c r="F305" s="17"/>
      <c r="G305" s="17"/>
      <c r="H305" s="17"/>
      <c r="I305" s="17"/>
      <c r="J305" s="17"/>
      <c r="K305" s="17"/>
      <c r="L305" s="17"/>
      <c r="M305" s="17"/>
    </row>
    <row r="306" spans="1:13" s="2" customFormat="1" x14ac:dyDescent="0.25">
      <c r="A306" s="6"/>
      <c r="D306" s="17"/>
      <c r="E306" s="18"/>
      <c r="F306" s="17"/>
      <c r="G306" s="17"/>
      <c r="H306" s="17"/>
      <c r="I306" s="17"/>
      <c r="J306" s="17"/>
      <c r="K306" s="17"/>
      <c r="L306" s="17"/>
      <c r="M306" s="17"/>
    </row>
    <row r="307" spans="1:13" s="2" customFormat="1" x14ac:dyDescent="0.25">
      <c r="A307" s="6"/>
      <c r="D307" s="17"/>
      <c r="E307" s="18"/>
      <c r="F307" s="17"/>
      <c r="G307" s="17"/>
      <c r="H307" s="17"/>
      <c r="I307" s="17"/>
      <c r="J307" s="17"/>
      <c r="K307" s="17"/>
      <c r="L307" s="17"/>
      <c r="M307" s="17"/>
    </row>
    <row r="308" spans="1:13" s="2" customFormat="1" x14ac:dyDescent="0.25">
      <c r="A308" s="6"/>
      <c r="D308" s="17"/>
      <c r="E308" s="18"/>
      <c r="F308" s="17"/>
      <c r="G308" s="17"/>
      <c r="H308" s="17"/>
      <c r="I308" s="17"/>
      <c r="J308" s="17"/>
      <c r="K308" s="17"/>
      <c r="L308" s="17"/>
      <c r="M308" s="17"/>
    </row>
    <row r="309" spans="1:13" s="2" customFormat="1" x14ac:dyDescent="0.25">
      <c r="A309" s="6"/>
      <c r="D309" s="17"/>
      <c r="E309" s="18"/>
      <c r="F309" s="17"/>
      <c r="G309" s="17"/>
      <c r="H309" s="17"/>
      <c r="I309" s="17"/>
      <c r="J309" s="17"/>
      <c r="K309" s="17"/>
      <c r="L309" s="17"/>
      <c r="M309" s="17"/>
    </row>
    <row r="310" spans="1:13" s="2" customFormat="1" x14ac:dyDescent="0.25">
      <c r="A310" s="6"/>
      <c r="D310" s="17"/>
      <c r="E310" s="18"/>
      <c r="F310" s="17"/>
      <c r="G310" s="17"/>
      <c r="H310" s="17"/>
      <c r="I310" s="17"/>
      <c r="J310" s="17"/>
      <c r="K310" s="17"/>
      <c r="L310" s="17"/>
      <c r="M310" s="17"/>
    </row>
    <row r="311" spans="1:13" s="2" customFormat="1" x14ac:dyDescent="0.25">
      <c r="A311" s="6"/>
      <c r="D311" s="17"/>
      <c r="E311" s="18"/>
      <c r="F311" s="17"/>
      <c r="G311" s="17"/>
      <c r="H311" s="17"/>
      <c r="I311" s="17"/>
      <c r="J311" s="17"/>
      <c r="K311" s="17"/>
      <c r="L311" s="17"/>
      <c r="M311" s="17"/>
    </row>
    <row r="312" spans="1:13" s="2" customFormat="1" x14ac:dyDescent="0.25">
      <c r="A312" s="6"/>
      <c r="D312" s="17"/>
      <c r="E312" s="18"/>
      <c r="F312" s="17"/>
      <c r="G312" s="17"/>
      <c r="H312" s="17"/>
      <c r="I312" s="17"/>
      <c r="J312" s="17"/>
      <c r="K312" s="17"/>
      <c r="L312" s="17"/>
      <c r="M312" s="17"/>
    </row>
    <row r="313" spans="1:13" s="2" customFormat="1" x14ac:dyDescent="0.25">
      <c r="A313" s="6"/>
      <c r="D313" s="17"/>
      <c r="E313" s="18"/>
      <c r="F313" s="17"/>
      <c r="G313" s="17"/>
      <c r="H313" s="17"/>
      <c r="I313" s="17"/>
      <c r="J313" s="17"/>
      <c r="K313" s="17"/>
      <c r="L313" s="17"/>
      <c r="M313" s="17"/>
    </row>
    <row r="314" spans="1:13" s="2" customFormat="1" x14ac:dyDescent="0.25">
      <c r="A314" s="6"/>
      <c r="D314" s="17"/>
      <c r="E314" s="18"/>
      <c r="F314" s="17"/>
      <c r="G314" s="17"/>
      <c r="H314" s="17"/>
      <c r="I314" s="17"/>
      <c r="J314" s="17"/>
      <c r="K314" s="17"/>
      <c r="L314" s="17"/>
      <c r="M314" s="17"/>
    </row>
    <row r="315" spans="1:13" s="2" customFormat="1" x14ac:dyDescent="0.25">
      <c r="A315" s="6"/>
      <c r="D315" s="17"/>
      <c r="E315" s="18"/>
      <c r="F315" s="17"/>
      <c r="G315" s="17"/>
      <c r="H315" s="17"/>
      <c r="I315" s="17"/>
      <c r="J315" s="17"/>
      <c r="K315" s="17"/>
      <c r="L315" s="17"/>
      <c r="M315" s="17"/>
    </row>
    <row r="316" spans="1:13" s="2" customFormat="1" x14ac:dyDescent="0.25">
      <c r="A316" s="6"/>
      <c r="D316" s="17"/>
      <c r="E316" s="18"/>
      <c r="F316" s="17"/>
      <c r="G316" s="17"/>
      <c r="H316" s="17"/>
      <c r="I316" s="17"/>
      <c r="J316" s="17"/>
      <c r="K316" s="17"/>
      <c r="L316" s="17"/>
      <c r="M316" s="17"/>
    </row>
    <row r="317" spans="1:13" s="2" customFormat="1" x14ac:dyDescent="0.25">
      <c r="A317" s="6"/>
      <c r="D317" s="17"/>
      <c r="E317" s="18"/>
      <c r="F317" s="17"/>
      <c r="G317" s="17"/>
      <c r="H317" s="17"/>
      <c r="I317" s="17"/>
      <c r="J317" s="17"/>
      <c r="K317" s="17"/>
      <c r="L317" s="17"/>
      <c r="M317" s="17"/>
    </row>
    <row r="318" spans="1:13" s="2" customFormat="1" x14ac:dyDescent="0.25">
      <c r="A318" s="6"/>
      <c r="D318" s="17"/>
      <c r="E318" s="18"/>
      <c r="F318" s="17"/>
      <c r="G318" s="17"/>
      <c r="H318" s="17"/>
      <c r="I318" s="17"/>
      <c r="J318" s="17"/>
      <c r="K318" s="17"/>
      <c r="L318" s="17"/>
      <c r="M318" s="17"/>
    </row>
    <row r="319" spans="1:13" s="2" customFormat="1" x14ac:dyDescent="0.25">
      <c r="A319" s="6"/>
      <c r="D319" s="17"/>
      <c r="E319" s="18"/>
      <c r="F319" s="17"/>
      <c r="G319" s="17"/>
      <c r="H319" s="17"/>
      <c r="I319" s="17"/>
      <c r="J319" s="17"/>
      <c r="K319" s="17"/>
      <c r="L319" s="17"/>
      <c r="M319" s="17"/>
    </row>
    <row r="320" spans="1:13" s="2" customFormat="1" x14ac:dyDescent="0.25">
      <c r="A320" s="6"/>
      <c r="D320" s="17"/>
      <c r="E320" s="18"/>
      <c r="F320" s="17"/>
      <c r="G320" s="17"/>
      <c r="H320" s="17"/>
      <c r="I320" s="17"/>
      <c r="J320" s="17"/>
      <c r="K320" s="17"/>
      <c r="L320" s="17"/>
      <c r="M320" s="17"/>
    </row>
    <row r="321" spans="1:13" s="2" customFormat="1" x14ac:dyDescent="0.25">
      <c r="A321" s="6"/>
      <c r="D321" s="17"/>
      <c r="E321" s="18"/>
      <c r="F321" s="17"/>
      <c r="G321" s="17"/>
      <c r="H321" s="17"/>
      <c r="I321" s="17"/>
      <c r="J321" s="17"/>
      <c r="K321" s="17"/>
      <c r="L321" s="17"/>
      <c r="M321" s="17"/>
    </row>
    <row r="322" spans="1:13" s="2" customFormat="1" x14ac:dyDescent="0.25">
      <c r="A322" s="6"/>
      <c r="D322" s="17"/>
      <c r="E322" s="18"/>
      <c r="F322" s="17"/>
      <c r="G322" s="17"/>
      <c r="H322" s="17"/>
      <c r="I322" s="17"/>
      <c r="J322" s="17"/>
      <c r="K322" s="17"/>
      <c r="L322" s="17"/>
      <c r="M322" s="17"/>
    </row>
    <row r="323" spans="1:13" s="2" customFormat="1" x14ac:dyDescent="0.25">
      <c r="A323" s="6"/>
      <c r="D323" s="17"/>
      <c r="E323" s="18"/>
      <c r="F323" s="17"/>
      <c r="G323" s="17"/>
      <c r="H323" s="17"/>
      <c r="I323" s="17"/>
      <c r="J323" s="17"/>
      <c r="K323" s="17"/>
      <c r="L323" s="17"/>
      <c r="M323" s="17"/>
    </row>
    <row r="324" spans="1:13" s="2" customFormat="1" x14ac:dyDescent="0.25">
      <c r="A324" s="6"/>
      <c r="D324" s="17"/>
      <c r="E324" s="18"/>
      <c r="F324" s="17"/>
      <c r="G324" s="17"/>
      <c r="H324" s="17"/>
      <c r="I324" s="17"/>
      <c r="J324" s="17"/>
      <c r="K324" s="17"/>
      <c r="L324" s="17"/>
      <c r="M324" s="17"/>
    </row>
    <row r="325" spans="1:13" s="2" customFormat="1" x14ac:dyDescent="0.25">
      <c r="A325" s="6"/>
      <c r="D325" s="17"/>
      <c r="E325" s="18"/>
      <c r="F325" s="17"/>
      <c r="G325" s="17"/>
      <c r="H325" s="17"/>
      <c r="I325" s="17"/>
      <c r="J325" s="17"/>
      <c r="K325" s="17"/>
      <c r="L325" s="17"/>
      <c r="M325" s="17"/>
    </row>
    <row r="326" spans="1:13" s="2" customFormat="1" x14ac:dyDescent="0.25">
      <c r="A326" s="6"/>
      <c r="D326" s="17"/>
      <c r="E326" s="18"/>
      <c r="F326" s="17"/>
      <c r="G326" s="17"/>
      <c r="H326" s="17"/>
      <c r="I326" s="17"/>
      <c r="J326" s="17"/>
      <c r="K326" s="17"/>
      <c r="L326" s="17"/>
      <c r="M326" s="17"/>
    </row>
    <row r="327" spans="1:13" s="2" customFormat="1" x14ac:dyDescent="0.25">
      <c r="A327" s="6"/>
      <c r="D327" s="17"/>
      <c r="E327" s="18"/>
      <c r="F327" s="17"/>
      <c r="G327" s="17"/>
      <c r="H327" s="17"/>
      <c r="I327" s="17"/>
      <c r="J327" s="17"/>
      <c r="K327" s="17"/>
      <c r="L327" s="17"/>
      <c r="M327" s="17"/>
    </row>
    <row r="328" spans="1:13" s="2" customFormat="1" x14ac:dyDescent="0.25">
      <c r="A328" s="6"/>
      <c r="D328" s="17"/>
      <c r="E328" s="18"/>
      <c r="F328" s="17"/>
      <c r="G328" s="17"/>
      <c r="H328" s="17"/>
      <c r="I328" s="17"/>
      <c r="J328" s="17"/>
      <c r="K328" s="17"/>
      <c r="L328" s="17"/>
      <c r="M328" s="17"/>
    </row>
    <row r="329" spans="1:13" s="2" customFormat="1" x14ac:dyDescent="0.25">
      <c r="A329" s="6"/>
      <c r="D329" s="17"/>
      <c r="E329" s="18"/>
      <c r="F329" s="17"/>
      <c r="G329" s="17"/>
      <c r="H329" s="17"/>
      <c r="I329" s="17"/>
      <c r="J329" s="17"/>
      <c r="K329" s="17"/>
      <c r="L329" s="17"/>
      <c r="M329" s="17"/>
    </row>
    <row r="330" spans="1:13" s="2" customFormat="1" x14ac:dyDescent="0.25">
      <c r="A330" s="6"/>
      <c r="D330" s="17"/>
      <c r="E330" s="18"/>
      <c r="F330" s="17"/>
      <c r="G330" s="17"/>
      <c r="H330" s="17"/>
      <c r="I330" s="17"/>
      <c r="J330" s="17"/>
      <c r="K330" s="17"/>
      <c r="L330" s="17"/>
      <c r="M330" s="17"/>
    </row>
    <row r="331" spans="1:13" s="2" customFormat="1" x14ac:dyDescent="0.25">
      <c r="A331" s="6"/>
      <c r="D331" s="17"/>
      <c r="E331" s="18"/>
      <c r="F331" s="17"/>
      <c r="G331" s="17"/>
      <c r="H331" s="17"/>
      <c r="I331" s="17"/>
      <c r="J331" s="17"/>
      <c r="K331" s="17"/>
      <c r="L331" s="17"/>
      <c r="M331" s="17"/>
    </row>
    <row r="332" spans="1:13" s="2" customFormat="1" x14ac:dyDescent="0.25">
      <c r="A332" s="6"/>
      <c r="D332" s="17"/>
      <c r="E332" s="18"/>
      <c r="F332" s="17"/>
      <c r="G332" s="17"/>
      <c r="H332" s="17"/>
      <c r="I332" s="17"/>
      <c r="J332" s="17"/>
      <c r="K332" s="17"/>
      <c r="L332" s="17"/>
      <c r="M332" s="17"/>
    </row>
    <row r="333" spans="1:13" s="2" customFormat="1" x14ac:dyDescent="0.25">
      <c r="A333" s="6"/>
      <c r="D333" s="17"/>
      <c r="E333" s="18"/>
      <c r="F333" s="17"/>
      <c r="G333" s="17"/>
      <c r="H333" s="17"/>
      <c r="I333" s="17"/>
      <c r="J333" s="17"/>
      <c r="K333" s="17"/>
      <c r="L333" s="17"/>
      <c r="M333" s="17"/>
    </row>
    <row r="334" spans="1:13" s="2" customFormat="1" x14ac:dyDescent="0.25">
      <c r="A334" s="6"/>
      <c r="D334" s="17"/>
      <c r="E334" s="18"/>
      <c r="F334" s="17"/>
      <c r="G334" s="17"/>
      <c r="H334" s="17"/>
      <c r="I334" s="17"/>
      <c r="J334" s="17"/>
      <c r="K334" s="17"/>
      <c r="L334" s="17"/>
      <c r="M334" s="17"/>
    </row>
    <row r="335" spans="1:13" s="2" customFormat="1" x14ac:dyDescent="0.25">
      <c r="A335" s="6"/>
      <c r="D335" s="17"/>
      <c r="E335" s="18"/>
      <c r="F335" s="17"/>
      <c r="G335" s="17"/>
      <c r="H335" s="17"/>
      <c r="I335" s="17"/>
      <c r="J335" s="17"/>
      <c r="K335" s="17"/>
      <c r="L335" s="17"/>
      <c r="M335" s="17"/>
    </row>
    <row r="336" spans="1:13" s="2" customFormat="1" x14ac:dyDescent="0.25">
      <c r="A336" s="6"/>
      <c r="D336" s="17"/>
      <c r="E336" s="18"/>
      <c r="F336" s="17"/>
      <c r="G336" s="17"/>
      <c r="H336" s="17"/>
      <c r="I336" s="17"/>
      <c r="J336" s="17"/>
      <c r="K336" s="17"/>
      <c r="L336" s="17"/>
      <c r="M336" s="17"/>
    </row>
    <row r="337" spans="1:13" s="2" customFormat="1" x14ac:dyDescent="0.25">
      <c r="A337" s="6"/>
      <c r="D337" s="17"/>
      <c r="E337" s="18"/>
      <c r="F337" s="17"/>
      <c r="G337" s="17"/>
      <c r="H337" s="17"/>
      <c r="I337" s="17"/>
      <c r="J337" s="17"/>
      <c r="K337" s="17"/>
      <c r="L337" s="17"/>
      <c r="M337" s="17"/>
    </row>
    <row r="338" spans="1:13" s="2" customFormat="1" x14ac:dyDescent="0.25">
      <c r="A338" s="6"/>
      <c r="D338" s="17"/>
      <c r="E338" s="18"/>
      <c r="F338" s="17"/>
      <c r="G338" s="17"/>
      <c r="H338" s="17"/>
      <c r="I338" s="17"/>
      <c r="J338" s="17"/>
      <c r="K338" s="17"/>
      <c r="L338" s="17"/>
      <c r="M338" s="17"/>
    </row>
    <row r="339" spans="1:13" s="2" customFormat="1" x14ac:dyDescent="0.25">
      <c r="A339" s="6"/>
      <c r="D339" s="17"/>
      <c r="E339" s="18"/>
      <c r="F339" s="17"/>
      <c r="G339" s="17"/>
      <c r="H339" s="17"/>
      <c r="I339" s="17"/>
      <c r="J339" s="17"/>
      <c r="K339" s="17"/>
      <c r="L339" s="17"/>
      <c r="M339" s="17"/>
    </row>
    <row r="340" spans="1:13" s="2" customFormat="1" x14ac:dyDescent="0.25">
      <c r="A340" s="6"/>
      <c r="D340" s="17"/>
      <c r="E340" s="18"/>
      <c r="F340" s="17"/>
      <c r="G340" s="17"/>
      <c r="H340" s="17"/>
      <c r="I340" s="17"/>
      <c r="J340" s="17"/>
      <c r="K340" s="17"/>
      <c r="L340" s="17"/>
      <c r="M340" s="17"/>
    </row>
    <row r="341" spans="1:13" s="2" customFormat="1" x14ac:dyDescent="0.25">
      <c r="A341" s="6"/>
      <c r="D341" s="17"/>
      <c r="E341" s="18"/>
      <c r="F341" s="17"/>
      <c r="G341" s="17"/>
      <c r="H341" s="17"/>
      <c r="I341" s="17"/>
      <c r="J341" s="17"/>
      <c r="K341" s="17"/>
      <c r="L341" s="17"/>
      <c r="M341" s="17"/>
    </row>
    <row r="342" spans="1:13" s="2" customFormat="1" x14ac:dyDescent="0.25">
      <c r="A342" s="6"/>
      <c r="D342" s="17"/>
      <c r="E342" s="18"/>
      <c r="F342" s="17"/>
      <c r="G342" s="17"/>
      <c r="H342" s="17"/>
      <c r="I342" s="17"/>
      <c r="J342" s="17"/>
      <c r="K342" s="17"/>
      <c r="L342" s="17"/>
      <c r="M342" s="17"/>
    </row>
    <row r="343" spans="1:13" s="2" customFormat="1" x14ac:dyDescent="0.25">
      <c r="A343" s="6"/>
      <c r="D343" s="17"/>
      <c r="E343" s="18"/>
      <c r="F343" s="17"/>
      <c r="G343" s="17"/>
      <c r="H343" s="17"/>
      <c r="I343" s="17"/>
      <c r="J343" s="17"/>
      <c r="K343" s="17"/>
      <c r="L343" s="17"/>
      <c r="M343" s="17"/>
    </row>
    <row r="344" spans="1:13" s="2" customFormat="1" x14ac:dyDescent="0.25">
      <c r="A344" s="6"/>
      <c r="D344" s="17"/>
      <c r="E344" s="18"/>
      <c r="F344" s="17"/>
      <c r="G344" s="17"/>
      <c r="H344" s="17"/>
      <c r="I344" s="17"/>
      <c r="J344" s="17"/>
      <c r="K344" s="17"/>
      <c r="L344" s="17"/>
      <c r="M344" s="17"/>
    </row>
    <row r="345" spans="1:13" s="2" customFormat="1" x14ac:dyDescent="0.25">
      <c r="A345" s="6"/>
      <c r="D345" s="17"/>
      <c r="E345" s="18"/>
      <c r="F345" s="17"/>
      <c r="G345" s="17"/>
      <c r="H345" s="17"/>
      <c r="I345" s="17"/>
      <c r="J345" s="17"/>
      <c r="K345" s="17"/>
      <c r="L345" s="17"/>
      <c r="M345" s="17"/>
    </row>
    <row r="346" spans="1:13" s="2" customFormat="1" x14ac:dyDescent="0.25">
      <c r="A346" s="6"/>
      <c r="D346" s="17"/>
      <c r="E346" s="18"/>
      <c r="F346" s="17"/>
      <c r="G346" s="17"/>
      <c r="H346" s="17"/>
      <c r="I346" s="17"/>
      <c r="J346" s="17"/>
      <c r="K346" s="17"/>
      <c r="L346" s="17"/>
      <c r="M346" s="17"/>
    </row>
    <row r="347" spans="1:13" s="2" customFormat="1" x14ac:dyDescent="0.25">
      <c r="A347" s="6"/>
      <c r="D347" s="17"/>
      <c r="E347" s="18"/>
      <c r="F347" s="17"/>
      <c r="G347" s="17"/>
      <c r="H347" s="17"/>
      <c r="I347" s="17"/>
      <c r="J347" s="17"/>
      <c r="K347" s="17"/>
      <c r="L347" s="17"/>
      <c r="M347" s="17"/>
    </row>
    <row r="348" spans="1:13" s="2" customFormat="1" x14ac:dyDescent="0.25">
      <c r="A348" s="6"/>
      <c r="D348" s="17"/>
      <c r="E348" s="18"/>
      <c r="F348" s="17"/>
      <c r="G348" s="17"/>
      <c r="H348" s="17"/>
      <c r="I348" s="17"/>
      <c r="J348" s="17"/>
      <c r="K348" s="17"/>
      <c r="L348" s="17"/>
      <c r="M348" s="17"/>
    </row>
    <row r="349" spans="1:13" s="2" customFormat="1" x14ac:dyDescent="0.25">
      <c r="A349" s="6"/>
      <c r="D349" s="17"/>
      <c r="E349" s="18"/>
      <c r="F349" s="17"/>
      <c r="G349" s="17"/>
      <c r="H349" s="17"/>
      <c r="I349" s="17"/>
      <c r="J349" s="17"/>
      <c r="K349" s="17"/>
      <c r="L349" s="17"/>
      <c r="M349" s="17"/>
    </row>
    <row r="350" spans="1:13" s="2" customFormat="1" x14ac:dyDescent="0.25">
      <c r="A350" s="6"/>
      <c r="D350" s="17"/>
      <c r="E350" s="18"/>
      <c r="F350" s="17"/>
      <c r="G350" s="17"/>
      <c r="H350" s="17"/>
      <c r="I350" s="17"/>
      <c r="J350" s="17"/>
      <c r="K350" s="17"/>
      <c r="L350" s="17"/>
      <c r="M350" s="17"/>
    </row>
    <row r="351" spans="1:13" s="2" customFormat="1" x14ac:dyDescent="0.25">
      <c r="A351" s="6"/>
      <c r="D351" s="17"/>
      <c r="E351" s="18"/>
      <c r="F351" s="17"/>
      <c r="G351" s="17"/>
      <c r="H351" s="17"/>
      <c r="I351" s="17"/>
      <c r="J351" s="17"/>
      <c r="K351" s="17"/>
      <c r="L351" s="17"/>
      <c r="M351" s="17"/>
    </row>
    <row r="352" spans="1:13" s="2" customFormat="1" x14ac:dyDescent="0.25">
      <c r="A352" s="6"/>
      <c r="D352" s="17"/>
      <c r="E352" s="18"/>
      <c r="F352" s="17"/>
      <c r="G352" s="17"/>
      <c r="H352" s="17"/>
      <c r="I352" s="17"/>
      <c r="J352" s="17"/>
      <c r="K352" s="17"/>
      <c r="L352" s="17"/>
      <c r="M352" s="17"/>
    </row>
    <row r="353" spans="1:13" s="2" customFormat="1" x14ac:dyDescent="0.25">
      <c r="A353" s="6"/>
      <c r="D353" s="17"/>
      <c r="E353" s="18"/>
      <c r="F353" s="17"/>
      <c r="G353" s="17"/>
      <c r="H353" s="17"/>
      <c r="I353" s="17"/>
      <c r="J353" s="17"/>
      <c r="K353" s="17"/>
      <c r="L353" s="17"/>
      <c r="M353" s="17"/>
    </row>
    <row r="354" spans="1:13" s="2" customFormat="1" x14ac:dyDescent="0.25">
      <c r="A354" s="6"/>
      <c r="D354" s="17"/>
      <c r="E354" s="18"/>
      <c r="F354" s="17"/>
      <c r="G354" s="17"/>
      <c r="H354" s="17"/>
      <c r="I354" s="17"/>
      <c r="J354" s="17"/>
      <c r="K354" s="17"/>
      <c r="L354" s="17"/>
      <c r="M354" s="17"/>
    </row>
    <row r="355" spans="1:13" s="2" customFormat="1" x14ac:dyDescent="0.25">
      <c r="A355" s="6"/>
      <c r="D355" s="17"/>
      <c r="E355" s="18"/>
      <c r="F355" s="17"/>
      <c r="G355" s="17"/>
      <c r="H355" s="17"/>
      <c r="I355" s="17"/>
      <c r="J355" s="17"/>
      <c r="K355" s="17"/>
      <c r="L355" s="17"/>
      <c r="M355" s="17"/>
    </row>
    <row r="356" spans="1:13" s="2" customFormat="1" x14ac:dyDescent="0.25">
      <c r="A356" s="6"/>
      <c r="D356" s="17"/>
      <c r="E356" s="18"/>
      <c r="F356" s="17"/>
      <c r="G356" s="17"/>
      <c r="H356" s="17"/>
      <c r="I356" s="17"/>
      <c r="J356" s="17"/>
      <c r="K356" s="17"/>
      <c r="L356" s="17"/>
      <c r="M356" s="17"/>
    </row>
    <row r="357" spans="1:13" s="2" customFormat="1" x14ac:dyDescent="0.25">
      <c r="A357" s="6"/>
      <c r="D357" s="17"/>
      <c r="E357" s="18"/>
      <c r="F357" s="17"/>
      <c r="G357" s="17"/>
      <c r="H357" s="17"/>
      <c r="I357" s="17"/>
      <c r="J357" s="17"/>
      <c r="K357" s="17"/>
      <c r="L357" s="17"/>
      <c r="M357" s="17"/>
    </row>
    <row r="358" spans="1:13" s="2" customFormat="1" x14ac:dyDescent="0.25">
      <c r="A358" s="6"/>
      <c r="D358" s="17"/>
      <c r="E358" s="18"/>
      <c r="F358" s="17"/>
      <c r="G358" s="17"/>
      <c r="H358" s="17"/>
      <c r="I358" s="17"/>
      <c r="J358" s="17"/>
      <c r="K358" s="17"/>
      <c r="L358" s="17"/>
      <c r="M358" s="17"/>
    </row>
    <row r="359" spans="1:13" s="2" customFormat="1" x14ac:dyDescent="0.25">
      <c r="A359" s="6"/>
      <c r="D359" s="17"/>
      <c r="E359" s="18"/>
      <c r="F359" s="17"/>
      <c r="G359" s="17"/>
      <c r="H359" s="17"/>
      <c r="I359" s="17"/>
      <c r="J359" s="17"/>
      <c r="K359" s="17"/>
      <c r="L359" s="17"/>
      <c r="M359" s="17"/>
    </row>
    <row r="360" spans="1:13" s="2" customFormat="1" x14ac:dyDescent="0.25">
      <c r="A360" s="6"/>
      <c r="D360" s="17"/>
      <c r="E360" s="18"/>
      <c r="F360" s="17"/>
      <c r="G360" s="17"/>
      <c r="H360" s="17"/>
      <c r="I360" s="17"/>
      <c r="J360" s="17"/>
      <c r="K360" s="17"/>
      <c r="L360" s="17"/>
      <c r="M360" s="17"/>
    </row>
    <row r="361" spans="1:13" s="2" customFormat="1" x14ac:dyDescent="0.25">
      <c r="A361" s="6"/>
      <c r="D361" s="17"/>
      <c r="E361" s="18"/>
      <c r="F361" s="17"/>
      <c r="G361" s="17"/>
      <c r="H361" s="17"/>
      <c r="I361" s="17"/>
      <c r="J361" s="17"/>
      <c r="K361" s="17"/>
      <c r="L361" s="17"/>
      <c r="M361" s="17"/>
    </row>
    <row r="362" spans="1:13" s="2" customFormat="1" x14ac:dyDescent="0.25">
      <c r="A362" s="6"/>
      <c r="D362" s="17"/>
      <c r="E362" s="18"/>
      <c r="F362" s="17"/>
      <c r="G362" s="17"/>
      <c r="H362" s="17"/>
      <c r="I362" s="17"/>
      <c r="J362" s="17"/>
      <c r="K362" s="17"/>
      <c r="L362" s="17"/>
      <c r="M362" s="17"/>
    </row>
    <row r="363" spans="1:13" s="2" customFormat="1" x14ac:dyDescent="0.25">
      <c r="A363" s="6"/>
      <c r="D363" s="17"/>
      <c r="E363" s="18"/>
      <c r="F363" s="17"/>
      <c r="G363" s="17"/>
      <c r="H363" s="17"/>
      <c r="I363" s="17"/>
      <c r="J363" s="17"/>
      <c r="K363" s="17"/>
      <c r="L363" s="17"/>
      <c r="M363" s="17"/>
    </row>
    <row r="364" spans="1:13" s="2" customFormat="1" x14ac:dyDescent="0.25">
      <c r="A364" s="6"/>
      <c r="D364" s="17"/>
      <c r="E364" s="18"/>
      <c r="F364" s="17"/>
      <c r="G364" s="17"/>
      <c r="H364" s="17"/>
      <c r="I364" s="17"/>
      <c r="J364" s="17"/>
      <c r="K364" s="17"/>
      <c r="L364" s="17"/>
      <c r="M364" s="17"/>
    </row>
    <row r="365" spans="1:13" s="2" customFormat="1" x14ac:dyDescent="0.25">
      <c r="A365" s="6"/>
      <c r="D365" s="17"/>
      <c r="E365" s="18"/>
      <c r="F365" s="17"/>
      <c r="G365" s="17"/>
      <c r="H365" s="17"/>
      <c r="I365" s="17"/>
      <c r="J365" s="17"/>
      <c r="K365" s="17"/>
      <c r="L365" s="17"/>
      <c r="M365" s="17"/>
    </row>
    <row r="366" spans="1:13" s="2" customFormat="1" x14ac:dyDescent="0.25">
      <c r="A366" s="6"/>
      <c r="D366" s="17"/>
      <c r="E366" s="18"/>
      <c r="F366" s="17"/>
      <c r="G366" s="17"/>
      <c r="H366" s="17"/>
      <c r="I366" s="17"/>
      <c r="J366" s="17"/>
      <c r="K366" s="17"/>
      <c r="L366" s="17"/>
      <c r="M366" s="17"/>
    </row>
    <row r="367" spans="1:13" s="2" customFormat="1" x14ac:dyDescent="0.25">
      <c r="A367" s="6"/>
      <c r="D367" s="17"/>
      <c r="E367" s="18"/>
      <c r="F367" s="17"/>
      <c r="G367" s="17"/>
      <c r="H367" s="17"/>
      <c r="I367" s="17"/>
      <c r="J367" s="17"/>
      <c r="K367" s="17"/>
      <c r="L367" s="17"/>
      <c r="M367" s="17"/>
    </row>
    <row r="368" spans="1:13" s="2" customFormat="1" x14ac:dyDescent="0.25">
      <c r="A368" s="6"/>
      <c r="D368" s="17"/>
      <c r="E368" s="18"/>
      <c r="F368" s="17"/>
      <c r="G368" s="17"/>
      <c r="H368" s="17"/>
      <c r="I368" s="17"/>
      <c r="J368" s="17"/>
      <c r="K368" s="17"/>
      <c r="L368" s="17"/>
      <c r="M368" s="17"/>
    </row>
    <row r="369" spans="1:13" s="2" customFormat="1" x14ac:dyDescent="0.25">
      <c r="A369" s="6"/>
      <c r="D369" s="17"/>
      <c r="E369" s="18"/>
      <c r="F369" s="17"/>
      <c r="G369" s="17"/>
      <c r="H369" s="17"/>
      <c r="I369" s="17"/>
      <c r="J369" s="17"/>
      <c r="K369" s="17"/>
      <c r="L369" s="17"/>
      <c r="M369" s="17"/>
    </row>
    <row r="370" spans="1:13" s="2" customFormat="1" x14ac:dyDescent="0.25">
      <c r="A370" s="6"/>
      <c r="D370" s="17"/>
      <c r="E370" s="18"/>
      <c r="F370" s="17"/>
      <c r="G370" s="17"/>
      <c r="H370" s="17"/>
      <c r="I370" s="17"/>
      <c r="J370" s="17"/>
      <c r="K370" s="17"/>
      <c r="L370" s="17"/>
      <c r="M370" s="17"/>
    </row>
    <row r="371" spans="1:13" s="2" customFormat="1" x14ac:dyDescent="0.25">
      <c r="A371" s="6"/>
      <c r="D371" s="17"/>
      <c r="E371" s="18"/>
      <c r="F371" s="17"/>
      <c r="G371" s="17"/>
      <c r="H371" s="17"/>
      <c r="I371" s="17"/>
      <c r="J371" s="17"/>
      <c r="K371" s="17"/>
      <c r="L371" s="17"/>
      <c r="M371" s="17"/>
    </row>
    <row r="372" spans="1:13" s="2" customFormat="1" x14ac:dyDescent="0.25">
      <c r="A372" s="6"/>
      <c r="D372" s="17"/>
      <c r="E372" s="18"/>
      <c r="F372" s="17"/>
      <c r="G372" s="17"/>
      <c r="H372" s="17"/>
      <c r="I372" s="17"/>
      <c r="J372" s="17"/>
      <c r="K372" s="17"/>
      <c r="L372" s="17"/>
      <c r="M372" s="17"/>
    </row>
    <row r="373" spans="1:13" s="2" customFormat="1" x14ac:dyDescent="0.25">
      <c r="A373" s="6"/>
      <c r="D373" s="17"/>
      <c r="E373" s="18"/>
      <c r="F373" s="17"/>
      <c r="G373" s="17"/>
      <c r="H373" s="17"/>
      <c r="I373" s="17"/>
      <c r="J373" s="17"/>
      <c r="K373" s="17"/>
      <c r="L373" s="17"/>
      <c r="M373" s="17"/>
    </row>
    <row r="374" spans="1:13" s="2" customFormat="1" x14ac:dyDescent="0.25">
      <c r="A374" s="6"/>
      <c r="D374" s="17"/>
      <c r="E374" s="18"/>
      <c r="F374" s="17"/>
      <c r="G374" s="17"/>
      <c r="H374" s="17"/>
      <c r="I374" s="17"/>
      <c r="J374" s="17"/>
      <c r="K374" s="17"/>
      <c r="L374" s="17"/>
      <c r="M374" s="17"/>
    </row>
    <row r="375" spans="1:13" s="2" customFormat="1" x14ac:dyDescent="0.25">
      <c r="A375" s="6"/>
      <c r="D375" s="17"/>
      <c r="E375" s="18"/>
      <c r="F375" s="17"/>
      <c r="G375" s="17"/>
      <c r="H375" s="17"/>
      <c r="I375" s="17"/>
      <c r="J375" s="17"/>
      <c r="K375" s="17"/>
      <c r="L375" s="17"/>
      <c r="M375" s="17"/>
    </row>
    <row r="376" spans="1:13" s="2" customFormat="1" x14ac:dyDescent="0.25">
      <c r="A376" s="6"/>
      <c r="D376" s="17"/>
      <c r="E376" s="18"/>
      <c r="F376" s="17"/>
      <c r="G376" s="17"/>
      <c r="H376" s="17"/>
      <c r="I376" s="17"/>
      <c r="J376" s="17"/>
      <c r="K376" s="17"/>
      <c r="L376" s="17"/>
      <c r="M376" s="17"/>
    </row>
    <row r="377" spans="1:13" s="2" customFormat="1" x14ac:dyDescent="0.25">
      <c r="A377" s="6"/>
      <c r="D377" s="17"/>
      <c r="E377" s="18"/>
      <c r="F377" s="17"/>
      <c r="G377" s="17"/>
      <c r="H377" s="17"/>
      <c r="I377" s="17"/>
      <c r="J377" s="17"/>
      <c r="K377" s="17"/>
      <c r="L377" s="17"/>
      <c r="M377" s="17"/>
    </row>
    <row r="378" spans="1:13" s="2" customFormat="1" x14ac:dyDescent="0.25">
      <c r="A378" s="6"/>
      <c r="D378" s="17"/>
      <c r="E378" s="18"/>
      <c r="F378" s="17"/>
      <c r="G378" s="17"/>
      <c r="H378" s="17"/>
      <c r="I378" s="17"/>
      <c r="J378" s="17"/>
      <c r="K378" s="17"/>
      <c r="L378" s="17"/>
      <c r="M378" s="17"/>
    </row>
    <row r="379" spans="1:13" s="2" customFormat="1" x14ac:dyDescent="0.25">
      <c r="A379" s="6"/>
      <c r="D379" s="17"/>
      <c r="E379" s="18"/>
      <c r="F379" s="17"/>
      <c r="G379" s="17"/>
      <c r="H379" s="17"/>
      <c r="I379" s="17"/>
      <c r="J379" s="17"/>
      <c r="K379" s="17"/>
      <c r="L379" s="17"/>
      <c r="M379" s="17"/>
    </row>
    <row r="380" spans="1:13" s="2" customFormat="1" x14ac:dyDescent="0.25">
      <c r="A380" s="6"/>
      <c r="D380" s="17"/>
      <c r="E380" s="18"/>
      <c r="F380" s="17"/>
      <c r="G380" s="17"/>
      <c r="H380" s="17"/>
      <c r="I380" s="17"/>
      <c r="J380" s="17"/>
      <c r="K380" s="17"/>
      <c r="L380" s="17"/>
      <c r="M380" s="17"/>
    </row>
    <row r="381" spans="1:13" s="2" customFormat="1" x14ac:dyDescent="0.25">
      <c r="A381" s="6"/>
      <c r="D381" s="17"/>
      <c r="E381" s="18"/>
      <c r="F381" s="17"/>
      <c r="G381" s="17"/>
      <c r="H381" s="17"/>
      <c r="I381" s="17"/>
      <c r="J381" s="17"/>
      <c r="K381" s="17"/>
      <c r="L381" s="17"/>
      <c r="M381" s="17"/>
    </row>
    <row r="382" spans="1:13" s="2" customFormat="1" x14ac:dyDescent="0.25">
      <c r="A382" s="6"/>
      <c r="D382" s="17"/>
      <c r="E382" s="18"/>
      <c r="F382" s="17"/>
      <c r="G382" s="17"/>
      <c r="H382" s="17"/>
      <c r="I382" s="17"/>
      <c r="J382" s="17"/>
      <c r="K382" s="17"/>
      <c r="L382" s="17"/>
      <c r="M382" s="17"/>
    </row>
    <row r="383" spans="1:13" s="2" customFormat="1" x14ac:dyDescent="0.25">
      <c r="A383" s="6"/>
      <c r="D383" s="17"/>
      <c r="E383" s="18"/>
      <c r="F383" s="17"/>
      <c r="G383" s="17"/>
      <c r="H383" s="17"/>
      <c r="I383" s="17"/>
      <c r="J383" s="17"/>
      <c r="K383" s="17"/>
      <c r="L383" s="17"/>
      <c r="M383" s="17"/>
    </row>
    <row r="384" spans="1:13" s="2" customFormat="1" x14ac:dyDescent="0.25">
      <c r="A384" s="6"/>
      <c r="D384" s="17"/>
      <c r="E384" s="18"/>
      <c r="F384" s="17"/>
      <c r="G384" s="17"/>
      <c r="H384" s="17"/>
      <c r="I384" s="17"/>
      <c r="J384" s="17"/>
      <c r="K384" s="17"/>
      <c r="L384" s="17"/>
      <c r="M384" s="17"/>
    </row>
    <row r="385" spans="1:13" s="2" customFormat="1" x14ac:dyDescent="0.25">
      <c r="A385" s="6"/>
      <c r="D385" s="17"/>
      <c r="E385" s="18"/>
      <c r="F385" s="17"/>
      <c r="G385" s="17"/>
      <c r="H385" s="17"/>
      <c r="I385" s="17"/>
      <c r="J385" s="17"/>
      <c r="K385" s="17"/>
      <c r="L385" s="17"/>
      <c r="M385" s="17"/>
    </row>
    <row r="386" spans="1:13" s="2" customFormat="1" x14ac:dyDescent="0.25">
      <c r="A386" s="6"/>
      <c r="D386" s="17"/>
      <c r="E386" s="18"/>
      <c r="F386" s="17"/>
      <c r="G386" s="17"/>
      <c r="H386" s="17"/>
      <c r="I386" s="17"/>
      <c r="J386" s="17"/>
      <c r="K386" s="17"/>
      <c r="L386" s="17"/>
      <c r="M386" s="17"/>
    </row>
    <row r="387" spans="1:13" s="2" customFormat="1" x14ac:dyDescent="0.25">
      <c r="A387" s="6"/>
      <c r="D387" s="17"/>
      <c r="E387" s="18"/>
      <c r="F387" s="17"/>
      <c r="G387" s="17"/>
      <c r="H387" s="17"/>
      <c r="I387" s="17"/>
      <c r="J387" s="17"/>
      <c r="K387" s="17"/>
      <c r="L387" s="17"/>
      <c r="M387" s="17"/>
    </row>
    <row r="388" spans="1:13" s="2" customFormat="1" x14ac:dyDescent="0.25">
      <c r="A388" s="6"/>
      <c r="D388" s="17"/>
      <c r="E388" s="18"/>
      <c r="F388" s="17"/>
      <c r="G388" s="17"/>
      <c r="H388" s="17"/>
      <c r="I388" s="17"/>
      <c r="J388" s="17"/>
      <c r="K388" s="17"/>
      <c r="L388" s="17"/>
      <c r="M388" s="17"/>
    </row>
    <row r="389" spans="1:13" s="2" customFormat="1" x14ac:dyDescent="0.25">
      <c r="A389" s="6"/>
      <c r="D389" s="17"/>
      <c r="E389" s="18"/>
      <c r="F389" s="17"/>
      <c r="G389" s="17"/>
      <c r="H389" s="17"/>
      <c r="I389" s="17"/>
      <c r="J389" s="17"/>
      <c r="K389" s="17"/>
      <c r="L389" s="17"/>
      <c r="M389" s="17"/>
    </row>
    <row r="390" spans="1:13" s="2" customFormat="1" x14ac:dyDescent="0.25">
      <c r="A390" s="6"/>
      <c r="D390" s="17"/>
      <c r="E390" s="18"/>
      <c r="F390" s="17"/>
      <c r="G390" s="17"/>
      <c r="H390" s="17"/>
      <c r="I390" s="17"/>
      <c r="J390" s="17"/>
      <c r="K390" s="17"/>
      <c r="L390" s="17"/>
      <c r="M390" s="17"/>
    </row>
    <row r="391" spans="1:13" s="2" customFormat="1" x14ac:dyDescent="0.25">
      <c r="A391" s="6"/>
      <c r="D391" s="17"/>
      <c r="E391" s="18"/>
      <c r="F391" s="17"/>
      <c r="G391" s="17"/>
      <c r="H391" s="17"/>
      <c r="I391" s="17"/>
      <c r="J391" s="17"/>
      <c r="K391" s="17"/>
      <c r="L391" s="17"/>
      <c r="M391" s="17"/>
    </row>
    <row r="392" spans="1:13" s="2" customFormat="1" x14ac:dyDescent="0.25">
      <c r="A392" s="6"/>
      <c r="D392" s="17"/>
      <c r="E392" s="18"/>
      <c r="F392" s="17"/>
      <c r="G392" s="17"/>
      <c r="H392" s="17"/>
      <c r="I392" s="17"/>
      <c r="J392" s="17"/>
      <c r="K392" s="17"/>
      <c r="L392" s="17"/>
      <c r="M392" s="17"/>
    </row>
    <row r="393" spans="1:13" s="2" customFormat="1" x14ac:dyDescent="0.25">
      <c r="A393" s="6"/>
      <c r="D393" s="17"/>
      <c r="E393" s="18"/>
      <c r="F393" s="17"/>
      <c r="G393" s="17"/>
      <c r="H393" s="17"/>
      <c r="I393" s="17"/>
      <c r="J393" s="17"/>
      <c r="K393" s="17"/>
      <c r="L393" s="17"/>
      <c r="M393" s="17"/>
    </row>
    <row r="394" spans="1:13" s="2" customFormat="1" x14ac:dyDescent="0.25">
      <c r="A394" s="6"/>
      <c r="D394" s="17"/>
      <c r="E394" s="18"/>
      <c r="F394" s="17"/>
      <c r="G394" s="17"/>
      <c r="H394" s="17"/>
      <c r="I394" s="17"/>
      <c r="J394" s="17"/>
      <c r="K394" s="17"/>
      <c r="L394" s="17"/>
      <c r="M394" s="17"/>
    </row>
    <row r="395" spans="1:13" s="2" customFormat="1" x14ac:dyDescent="0.25">
      <c r="A395" s="6"/>
      <c r="D395" s="17"/>
      <c r="E395" s="18"/>
      <c r="F395" s="17"/>
      <c r="G395" s="17"/>
      <c r="H395" s="17"/>
      <c r="I395" s="17"/>
      <c r="J395" s="17"/>
      <c r="K395" s="17"/>
      <c r="L395" s="17"/>
      <c r="M395" s="17"/>
    </row>
    <row r="396" spans="1:13" s="2" customFormat="1" x14ac:dyDescent="0.25">
      <c r="A396" s="6"/>
      <c r="D396" s="17"/>
      <c r="E396" s="18"/>
      <c r="F396" s="17"/>
      <c r="G396" s="17"/>
      <c r="H396" s="17"/>
      <c r="I396" s="17"/>
      <c r="J396" s="17"/>
      <c r="K396" s="17"/>
      <c r="L396" s="17"/>
      <c r="M396" s="17"/>
    </row>
    <row r="397" spans="1:13" s="2" customFormat="1" x14ac:dyDescent="0.25">
      <c r="A397" s="6"/>
      <c r="D397" s="17"/>
      <c r="E397" s="18"/>
      <c r="F397" s="17"/>
      <c r="G397" s="17"/>
      <c r="H397" s="17"/>
      <c r="I397" s="17"/>
      <c r="J397" s="17"/>
      <c r="K397" s="17"/>
      <c r="L397" s="17"/>
      <c r="M397" s="17"/>
    </row>
    <row r="398" spans="1:13" s="2" customFormat="1" x14ac:dyDescent="0.25">
      <c r="A398" s="6"/>
      <c r="D398" s="17"/>
      <c r="E398" s="18"/>
      <c r="F398" s="17"/>
      <c r="G398" s="17"/>
      <c r="H398" s="17"/>
      <c r="I398" s="17"/>
      <c r="J398" s="17"/>
      <c r="K398" s="17"/>
      <c r="L398" s="17"/>
      <c r="M398" s="17"/>
    </row>
    <row r="399" spans="1:13" s="2" customFormat="1" x14ac:dyDescent="0.25">
      <c r="A399" s="6"/>
      <c r="D399" s="17"/>
      <c r="E399" s="18"/>
      <c r="F399" s="17"/>
      <c r="G399" s="17"/>
      <c r="H399" s="17"/>
      <c r="I399" s="17"/>
      <c r="J399" s="17"/>
      <c r="K399" s="17"/>
      <c r="L399" s="17"/>
      <c r="M399" s="17"/>
    </row>
    <row r="400" spans="1:13" s="2" customFormat="1" x14ac:dyDescent="0.25">
      <c r="A400" s="6"/>
      <c r="D400" s="17"/>
      <c r="E400" s="18"/>
      <c r="F400" s="17"/>
      <c r="G400" s="17"/>
      <c r="H400" s="17"/>
      <c r="I400" s="17"/>
      <c r="J400" s="17"/>
      <c r="K400" s="17"/>
      <c r="L400" s="17"/>
      <c r="M400" s="17"/>
    </row>
    <row r="401" spans="1:13" s="2" customFormat="1" x14ac:dyDescent="0.25">
      <c r="A401" s="6"/>
      <c r="D401" s="17"/>
      <c r="E401" s="18"/>
      <c r="F401" s="17"/>
      <c r="G401" s="17"/>
      <c r="H401" s="17"/>
      <c r="I401" s="17"/>
      <c r="J401" s="17"/>
      <c r="K401" s="17"/>
      <c r="L401" s="17"/>
      <c r="M401" s="17"/>
    </row>
    <row r="402" spans="1:13" s="2" customFormat="1" x14ac:dyDescent="0.25">
      <c r="A402" s="6"/>
      <c r="D402" s="17"/>
      <c r="E402" s="18"/>
      <c r="F402" s="17"/>
      <c r="G402" s="17"/>
      <c r="H402" s="17"/>
      <c r="I402" s="17"/>
      <c r="J402" s="17"/>
      <c r="K402" s="17"/>
      <c r="L402" s="17"/>
      <c r="M402" s="17"/>
    </row>
    <row r="403" spans="1:13" s="2" customFormat="1" x14ac:dyDescent="0.25">
      <c r="A403" s="6"/>
      <c r="D403" s="17"/>
      <c r="E403" s="18"/>
      <c r="F403" s="17"/>
      <c r="G403" s="17"/>
      <c r="H403" s="17"/>
      <c r="I403" s="17"/>
      <c r="J403" s="17"/>
      <c r="K403" s="17"/>
      <c r="L403" s="17"/>
      <c r="M403" s="17"/>
    </row>
    <row r="404" spans="1:13" s="2" customFormat="1" x14ac:dyDescent="0.25">
      <c r="A404" s="6"/>
      <c r="D404" s="17"/>
      <c r="E404" s="18"/>
      <c r="F404" s="17"/>
      <c r="G404" s="17"/>
      <c r="H404" s="17"/>
      <c r="I404" s="17"/>
      <c r="J404" s="17"/>
      <c r="K404" s="17"/>
      <c r="L404" s="17"/>
      <c r="M404" s="17"/>
    </row>
    <row r="405" spans="1:13" s="2" customFormat="1" x14ac:dyDescent="0.25">
      <c r="A405" s="6"/>
      <c r="D405" s="17"/>
      <c r="E405" s="18"/>
      <c r="F405" s="17"/>
      <c r="G405" s="17"/>
      <c r="H405" s="17"/>
      <c r="I405" s="17"/>
      <c r="J405" s="17"/>
      <c r="K405" s="17"/>
      <c r="L405" s="17"/>
      <c r="M405" s="17"/>
    </row>
    <row r="406" spans="1:13" s="2" customFormat="1" x14ac:dyDescent="0.25">
      <c r="A406" s="6"/>
      <c r="D406" s="17"/>
      <c r="E406" s="18"/>
      <c r="F406" s="17"/>
      <c r="G406" s="17"/>
      <c r="H406" s="17"/>
      <c r="I406" s="17"/>
      <c r="J406" s="17"/>
      <c r="K406" s="17"/>
      <c r="L406" s="17"/>
      <c r="M406" s="17"/>
    </row>
    <row r="407" spans="1:13" s="2" customFormat="1" x14ac:dyDescent="0.25">
      <c r="A407" s="6"/>
      <c r="D407" s="17"/>
      <c r="E407" s="18"/>
      <c r="F407" s="17"/>
      <c r="G407" s="17"/>
      <c r="H407" s="17"/>
      <c r="I407" s="17"/>
      <c r="J407" s="17"/>
      <c r="K407" s="17"/>
      <c r="L407" s="17"/>
      <c r="M407" s="17"/>
    </row>
    <row r="408" spans="1:13" s="2" customFormat="1" x14ac:dyDescent="0.25">
      <c r="A408" s="6"/>
      <c r="D408" s="17"/>
      <c r="E408" s="18"/>
      <c r="F408" s="17"/>
      <c r="G408" s="17"/>
      <c r="H408" s="17"/>
      <c r="I408" s="17"/>
      <c r="J408" s="17"/>
      <c r="K408" s="17"/>
      <c r="L408" s="17"/>
      <c r="M408" s="17"/>
    </row>
    <row r="409" spans="1:13" s="2" customFormat="1" x14ac:dyDescent="0.25">
      <c r="A409" s="6"/>
      <c r="D409" s="17"/>
      <c r="E409" s="18"/>
      <c r="F409" s="17"/>
      <c r="G409" s="17"/>
      <c r="H409" s="17"/>
      <c r="I409" s="17"/>
      <c r="J409" s="17"/>
      <c r="K409" s="17"/>
      <c r="L409" s="17"/>
      <c r="M409" s="17"/>
    </row>
    <row r="410" spans="1:13" s="2" customFormat="1" x14ac:dyDescent="0.25">
      <c r="A410" s="6"/>
      <c r="D410" s="17"/>
      <c r="E410" s="18"/>
      <c r="F410" s="17"/>
      <c r="G410" s="17"/>
      <c r="H410" s="17"/>
      <c r="I410" s="17"/>
      <c r="J410" s="17"/>
      <c r="K410" s="17"/>
      <c r="L410" s="17"/>
      <c r="M410" s="17"/>
    </row>
    <row r="411" spans="1:13" s="2" customFormat="1" x14ac:dyDescent="0.25">
      <c r="A411" s="6"/>
      <c r="D411" s="17"/>
      <c r="E411" s="18"/>
      <c r="F411" s="17"/>
      <c r="G411" s="17"/>
      <c r="H411" s="17"/>
      <c r="I411" s="17"/>
      <c r="J411" s="17"/>
      <c r="K411" s="17"/>
      <c r="L411" s="17"/>
      <c r="M411" s="17"/>
    </row>
    <row r="412" spans="1:13" s="2" customFormat="1" x14ac:dyDescent="0.25">
      <c r="A412" s="6"/>
      <c r="D412" s="17"/>
      <c r="E412" s="18"/>
      <c r="F412" s="17"/>
      <c r="G412" s="17"/>
      <c r="H412" s="17"/>
      <c r="I412" s="17"/>
      <c r="J412" s="17"/>
      <c r="K412" s="17"/>
      <c r="L412" s="17"/>
      <c r="M412" s="17"/>
    </row>
    <row r="413" spans="1:13" s="2" customFormat="1" x14ac:dyDescent="0.25">
      <c r="A413" s="6"/>
      <c r="D413" s="17"/>
      <c r="E413" s="18"/>
      <c r="F413" s="17"/>
      <c r="G413" s="17"/>
      <c r="H413" s="17"/>
      <c r="I413" s="17"/>
      <c r="J413" s="17"/>
      <c r="K413" s="17"/>
      <c r="L413" s="17"/>
      <c r="M413" s="17"/>
    </row>
    <row r="414" spans="1:13" s="2" customFormat="1" x14ac:dyDescent="0.25">
      <c r="A414" s="6"/>
      <c r="D414" s="17"/>
      <c r="E414" s="18"/>
      <c r="F414" s="17"/>
      <c r="G414" s="17"/>
      <c r="H414" s="17"/>
      <c r="I414" s="17"/>
      <c r="J414" s="17"/>
      <c r="K414" s="17"/>
      <c r="L414" s="17"/>
      <c r="M414" s="17"/>
    </row>
    <row r="415" spans="1:13" s="2" customFormat="1" x14ac:dyDescent="0.25">
      <c r="A415" s="6"/>
      <c r="D415" s="17"/>
      <c r="E415" s="18"/>
      <c r="F415" s="17"/>
      <c r="G415" s="17"/>
      <c r="H415" s="17"/>
      <c r="I415" s="17"/>
      <c r="J415" s="17"/>
      <c r="K415" s="17"/>
      <c r="L415" s="17"/>
      <c r="M415" s="17"/>
    </row>
    <row r="416" spans="1:13" s="2" customFormat="1" x14ac:dyDescent="0.25">
      <c r="A416" s="6"/>
      <c r="D416" s="17"/>
      <c r="E416" s="18"/>
      <c r="F416" s="17"/>
      <c r="G416" s="17"/>
      <c r="H416" s="17"/>
      <c r="I416" s="17"/>
      <c r="J416" s="17"/>
      <c r="K416" s="17"/>
      <c r="L416" s="17"/>
      <c r="M416" s="17"/>
    </row>
    <row r="417" spans="1:13" s="2" customFormat="1" x14ac:dyDescent="0.25">
      <c r="A417" s="6"/>
      <c r="D417" s="17"/>
      <c r="E417" s="18"/>
      <c r="F417" s="17"/>
      <c r="G417" s="17"/>
      <c r="H417" s="17"/>
      <c r="I417" s="17"/>
      <c r="J417" s="17"/>
      <c r="K417" s="17"/>
      <c r="L417" s="17"/>
      <c r="M417" s="17"/>
    </row>
    <row r="418" spans="1:13" s="2" customFormat="1" x14ac:dyDescent="0.25">
      <c r="A418" s="6"/>
      <c r="D418" s="17"/>
      <c r="E418" s="18"/>
      <c r="F418" s="17"/>
      <c r="G418" s="17"/>
      <c r="H418" s="17"/>
      <c r="I418" s="17"/>
      <c r="J418" s="17"/>
      <c r="K418" s="17"/>
      <c r="L418" s="17"/>
      <c r="M418" s="17"/>
    </row>
    <row r="419" spans="1:13" s="2" customFormat="1" x14ac:dyDescent="0.25">
      <c r="A419" s="6"/>
      <c r="D419" s="17"/>
      <c r="E419" s="18"/>
      <c r="F419" s="17"/>
      <c r="G419" s="17"/>
      <c r="H419" s="17"/>
      <c r="I419" s="17"/>
      <c r="J419" s="17"/>
      <c r="K419" s="17"/>
      <c r="L419" s="17"/>
      <c r="M419" s="17"/>
    </row>
    <row r="420" spans="1:13" s="2" customFormat="1" x14ac:dyDescent="0.25">
      <c r="A420" s="6"/>
      <c r="D420" s="17"/>
      <c r="E420" s="18"/>
      <c r="F420" s="17"/>
      <c r="G420" s="17"/>
      <c r="H420" s="17"/>
      <c r="I420" s="17"/>
      <c r="J420" s="17"/>
      <c r="K420" s="17"/>
      <c r="L420" s="17"/>
      <c r="M420" s="17"/>
    </row>
    <row r="421" spans="1:13" s="2" customFormat="1" x14ac:dyDescent="0.25">
      <c r="A421" s="6"/>
      <c r="D421" s="17"/>
      <c r="E421" s="18"/>
      <c r="F421" s="17"/>
      <c r="G421" s="17"/>
      <c r="H421" s="17"/>
      <c r="I421" s="17"/>
      <c r="J421" s="17"/>
      <c r="K421" s="17"/>
      <c r="L421" s="17"/>
      <c r="M421" s="17"/>
    </row>
    <row r="422" spans="1:13" s="2" customFormat="1" x14ac:dyDescent="0.25">
      <c r="A422" s="6"/>
      <c r="D422" s="17"/>
      <c r="E422" s="18"/>
      <c r="F422" s="17"/>
      <c r="G422" s="17"/>
      <c r="H422" s="17"/>
      <c r="I422" s="17"/>
      <c r="J422" s="17"/>
      <c r="K422" s="17"/>
      <c r="L422" s="17"/>
      <c r="M422" s="17"/>
    </row>
    <row r="423" spans="1:13" s="2" customFormat="1" x14ac:dyDescent="0.25">
      <c r="A423" s="6"/>
      <c r="D423" s="17"/>
      <c r="E423" s="18"/>
      <c r="F423" s="17"/>
      <c r="G423" s="17"/>
      <c r="H423" s="17"/>
      <c r="I423" s="17"/>
      <c r="J423" s="17"/>
      <c r="K423" s="17"/>
      <c r="L423" s="17"/>
      <c r="M423" s="17"/>
    </row>
    <row r="424" spans="1:13" s="2" customFormat="1" x14ac:dyDescent="0.25">
      <c r="A424" s="6"/>
      <c r="D424" s="17"/>
      <c r="E424" s="18"/>
      <c r="F424" s="17"/>
      <c r="G424" s="17"/>
      <c r="H424" s="17"/>
      <c r="I424" s="17"/>
      <c r="J424" s="17"/>
      <c r="K424" s="17"/>
      <c r="L424" s="17"/>
      <c r="M424" s="17"/>
    </row>
    <row r="425" spans="1:13" s="2" customFormat="1" x14ac:dyDescent="0.25">
      <c r="A425" s="6"/>
      <c r="D425" s="17"/>
      <c r="E425" s="18"/>
      <c r="F425" s="17"/>
      <c r="G425" s="17"/>
      <c r="H425" s="17"/>
      <c r="I425" s="17"/>
      <c r="J425" s="17"/>
      <c r="K425" s="17"/>
      <c r="L425" s="17"/>
      <c r="M425" s="17"/>
    </row>
    <row r="426" spans="1:13" s="2" customFormat="1" x14ac:dyDescent="0.25">
      <c r="A426" s="6"/>
      <c r="D426" s="17"/>
      <c r="E426" s="18"/>
      <c r="F426" s="17"/>
      <c r="G426" s="17"/>
      <c r="H426" s="17"/>
      <c r="I426" s="17"/>
      <c r="J426" s="17"/>
      <c r="K426" s="17"/>
      <c r="L426" s="17"/>
      <c r="M426" s="17"/>
    </row>
    <row r="427" spans="1:13" s="2" customFormat="1" x14ac:dyDescent="0.25">
      <c r="A427" s="6"/>
      <c r="D427" s="17"/>
      <c r="E427" s="18"/>
      <c r="F427" s="17"/>
      <c r="G427" s="17"/>
      <c r="H427" s="17"/>
      <c r="I427" s="17"/>
      <c r="J427" s="17"/>
      <c r="K427" s="17"/>
      <c r="L427" s="17"/>
      <c r="M427" s="17"/>
    </row>
    <row r="428" spans="1:13" s="2" customFormat="1" x14ac:dyDescent="0.25">
      <c r="A428" s="6"/>
      <c r="D428" s="17"/>
      <c r="E428" s="18"/>
      <c r="F428" s="17"/>
      <c r="G428" s="17"/>
      <c r="H428" s="17"/>
      <c r="I428" s="17"/>
      <c r="J428" s="17"/>
      <c r="K428" s="17"/>
      <c r="L428" s="17"/>
      <c r="M428" s="17"/>
    </row>
    <row r="429" spans="1:13" s="2" customFormat="1" x14ac:dyDescent="0.25">
      <c r="A429" s="6"/>
      <c r="D429" s="17"/>
      <c r="E429" s="18"/>
      <c r="F429" s="17"/>
      <c r="G429" s="17"/>
      <c r="H429" s="17"/>
      <c r="I429" s="17"/>
      <c r="J429" s="17"/>
      <c r="K429" s="17"/>
      <c r="L429" s="17"/>
      <c r="M429" s="17"/>
    </row>
    <row r="430" spans="1:13" s="2" customFormat="1" x14ac:dyDescent="0.25">
      <c r="A430" s="6"/>
      <c r="D430" s="17"/>
      <c r="E430" s="18"/>
      <c r="F430" s="17"/>
      <c r="G430" s="17"/>
      <c r="H430" s="17"/>
      <c r="I430" s="17"/>
      <c r="J430" s="17"/>
      <c r="K430" s="17"/>
      <c r="L430" s="17"/>
      <c r="M430" s="17"/>
    </row>
    <row r="431" spans="1:13" s="2" customFormat="1" x14ac:dyDescent="0.25">
      <c r="A431" s="6"/>
      <c r="D431" s="17"/>
      <c r="E431" s="18"/>
      <c r="F431" s="17"/>
      <c r="G431" s="17"/>
      <c r="H431" s="17"/>
      <c r="I431" s="17"/>
      <c r="J431" s="17"/>
      <c r="K431" s="17"/>
      <c r="L431" s="17"/>
      <c r="M431" s="17"/>
    </row>
    <row r="432" spans="1:13" s="2" customFormat="1" x14ac:dyDescent="0.25">
      <c r="A432" s="6"/>
      <c r="D432" s="17"/>
      <c r="E432" s="18"/>
      <c r="F432" s="17"/>
      <c r="G432" s="17"/>
      <c r="H432" s="17"/>
      <c r="I432" s="17"/>
      <c r="J432" s="17"/>
      <c r="K432" s="17"/>
      <c r="L432" s="17"/>
      <c r="M432" s="17"/>
    </row>
    <row r="433" spans="1:13" s="2" customFormat="1" x14ac:dyDescent="0.25">
      <c r="A433" s="6"/>
      <c r="D433" s="17"/>
      <c r="E433" s="18"/>
      <c r="F433" s="17"/>
      <c r="G433" s="17"/>
      <c r="H433" s="17"/>
      <c r="I433" s="17"/>
      <c r="J433" s="17"/>
      <c r="K433" s="17"/>
      <c r="L433" s="17"/>
      <c r="M433" s="17"/>
    </row>
    <row r="434" spans="1:13" s="2" customFormat="1" x14ac:dyDescent="0.25">
      <c r="A434" s="6"/>
      <c r="D434" s="17"/>
      <c r="E434" s="18"/>
      <c r="F434" s="17"/>
      <c r="G434" s="17"/>
      <c r="H434" s="17"/>
      <c r="I434" s="17"/>
      <c r="J434" s="17"/>
      <c r="K434" s="17"/>
      <c r="L434" s="17"/>
      <c r="M434" s="17"/>
    </row>
    <row r="435" spans="1:13" s="2" customFormat="1" x14ac:dyDescent="0.25">
      <c r="A435" s="6"/>
      <c r="D435" s="17"/>
      <c r="E435" s="18"/>
      <c r="F435" s="17"/>
      <c r="G435" s="17"/>
      <c r="H435" s="17"/>
      <c r="I435" s="17"/>
      <c r="J435" s="17"/>
      <c r="K435" s="17"/>
      <c r="L435" s="17"/>
      <c r="M435" s="17"/>
    </row>
    <row r="436" spans="1:13" s="2" customFormat="1" x14ac:dyDescent="0.25">
      <c r="A436" s="6"/>
      <c r="D436" s="17"/>
      <c r="E436" s="18"/>
      <c r="F436" s="17"/>
      <c r="G436" s="17"/>
      <c r="H436" s="17"/>
      <c r="I436" s="17"/>
      <c r="J436" s="17"/>
      <c r="K436" s="17"/>
      <c r="L436" s="17"/>
      <c r="M436" s="17"/>
    </row>
    <row r="437" spans="1:13" s="2" customFormat="1" x14ac:dyDescent="0.25">
      <c r="A437" s="6"/>
      <c r="D437" s="17"/>
      <c r="E437" s="18"/>
      <c r="F437" s="17"/>
      <c r="G437" s="17"/>
      <c r="H437" s="17"/>
      <c r="I437" s="17"/>
      <c r="J437" s="17"/>
      <c r="K437" s="17"/>
      <c r="L437" s="17"/>
      <c r="M437" s="17"/>
    </row>
    <row r="438" spans="1:13" s="2" customFormat="1" x14ac:dyDescent="0.25">
      <c r="A438" s="6"/>
      <c r="D438" s="17"/>
      <c r="E438" s="18"/>
      <c r="F438" s="17"/>
      <c r="G438" s="17"/>
      <c r="H438" s="17"/>
      <c r="I438" s="17"/>
      <c r="J438" s="17"/>
      <c r="K438" s="17"/>
      <c r="L438" s="17"/>
      <c r="M438" s="17"/>
    </row>
    <row r="439" spans="1:13" s="2" customFormat="1" x14ac:dyDescent="0.25">
      <c r="A439" s="6"/>
      <c r="D439" s="17"/>
      <c r="E439" s="18"/>
      <c r="F439" s="17"/>
      <c r="G439" s="17"/>
      <c r="H439" s="17"/>
      <c r="I439" s="17"/>
      <c r="J439" s="17"/>
      <c r="K439" s="17"/>
      <c r="L439" s="17"/>
      <c r="M439" s="17"/>
    </row>
    <row r="440" spans="1:13" s="2" customFormat="1" x14ac:dyDescent="0.25">
      <c r="A440" s="6"/>
      <c r="D440" s="17"/>
      <c r="E440" s="18"/>
      <c r="F440" s="17"/>
      <c r="G440" s="17"/>
      <c r="H440" s="17"/>
      <c r="I440" s="17"/>
      <c r="J440" s="17"/>
      <c r="K440" s="17"/>
      <c r="L440" s="17"/>
      <c r="M440" s="17"/>
    </row>
    <row r="441" spans="1:13" s="2" customFormat="1" x14ac:dyDescent="0.25">
      <c r="A441" s="6"/>
      <c r="D441" s="17"/>
      <c r="E441" s="18"/>
      <c r="F441" s="17"/>
      <c r="G441" s="17"/>
      <c r="H441" s="17"/>
      <c r="I441" s="17"/>
      <c r="J441" s="17"/>
      <c r="K441" s="17"/>
      <c r="L441" s="17"/>
      <c r="M441" s="17"/>
    </row>
    <row r="442" spans="1:13" s="2" customFormat="1" x14ac:dyDescent="0.25">
      <c r="A442" s="6"/>
      <c r="D442" s="17"/>
      <c r="E442" s="18"/>
      <c r="F442" s="17"/>
      <c r="G442" s="17"/>
      <c r="H442" s="17"/>
      <c r="I442" s="17"/>
      <c r="J442" s="17"/>
      <c r="K442" s="17"/>
      <c r="L442" s="17"/>
      <c r="M442" s="17"/>
    </row>
    <row r="443" spans="1:13" s="2" customFormat="1" x14ac:dyDescent="0.25">
      <c r="A443" s="6"/>
      <c r="D443" s="17"/>
      <c r="E443" s="18"/>
      <c r="F443" s="17"/>
      <c r="G443" s="17"/>
      <c r="H443" s="17"/>
      <c r="I443" s="17"/>
      <c r="J443" s="17"/>
      <c r="K443" s="17"/>
      <c r="L443" s="17"/>
      <c r="M443" s="17"/>
    </row>
    <row r="444" spans="1:13" s="2" customFormat="1" x14ac:dyDescent="0.25">
      <c r="A444" s="6"/>
      <c r="D444" s="17"/>
      <c r="E444" s="18"/>
      <c r="F444" s="17"/>
      <c r="G444" s="17"/>
      <c r="H444" s="17"/>
      <c r="I444" s="17"/>
      <c r="J444" s="17"/>
      <c r="K444" s="17"/>
      <c r="L444" s="17"/>
      <c r="M444" s="17"/>
    </row>
    <row r="445" spans="1:13" s="2" customFormat="1" x14ac:dyDescent="0.25">
      <c r="A445" s="6"/>
      <c r="D445" s="17"/>
      <c r="E445" s="18"/>
      <c r="F445" s="17"/>
      <c r="G445" s="17"/>
      <c r="H445" s="17"/>
      <c r="I445" s="17"/>
      <c r="J445" s="17"/>
      <c r="K445" s="17"/>
      <c r="L445" s="17"/>
      <c r="M445" s="17"/>
    </row>
    <row r="446" spans="1:13" s="2" customFormat="1" x14ac:dyDescent="0.25">
      <c r="A446" s="6"/>
      <c r="D446" s="17"/>
      <c r="E446" s="18"/>
      <c r="F446" s="17"/>
      <c r="G446" s="17"/>
      <c r="H446" s="17"/>
      <c r="I446" s="17"/>
      <c r="J446" s="17"/>
      <c r="K446" s="17"/>
      <c r="L446" s="17"/>
      <c r="M446" s="17"/>
    </row>
    <row r="447" spans="1:13" s="2" customFormat="1" x14ac:dyDescent="0.25">
      <c r="A447" s="6"/>
      <c r="D447" s="17"/>
      <c r="E447" s="18"/>
      <c r="F447" s="17"/>
      <c r="G447" s="17"/>
      <c r="H447" s="17"/>
      <c r="I447" s="17"/>
      <c r="J447" s="17"/>
      <c r="K447" s="17"/>
      <c r="L447" s="17"/>
      <c r="M447" s="17"/>
    </row>
    <row r="448" spans="1:13" s="2" customFormat="1" x14ac:dyDescent="0.25">
      <c r="A448" s="6"/>
      <c r="D448" s="17"/>
      <c r="E448" s="18"/>
      <c r="F448" s="17"/>
      <c r="G448" s="17"/>
      <c r="H448" s="17"/>
      <c r="I448" s="17"/>
      <c r="J448" s="17"/>
      <c r="K448" s="17"/>
      <c r="L448" s="17"/>
      <c r="M448" s="17"/>
    </row>
    <row r="449" spans="1:13" s="2" customFormat="1" x14ac:dyDescent="0.25">
      <c r="A449" s="6"/>
      <c r="D449" s="17"/>
      <c r="E449" s="18"/>
      <c r="F449" s="17"/>
      <c r="G449" s="17"/>
      <c r="H449" s="17"/>
      <c r="I449" s="17"/>
      <c r="J449" s="17"/>
      <c r="K449" s="17"/>
      <c r="L449" s="17"/>
      <c r="M449" s="17"/>
    </row>
    <row r="450" spans="1:13" s="2" customFormat="1" x14ac:dyDescent="0.25">
      <c r="A450" s="6"/>
      <c r="D450" s="17"/>
      <c r="E450" s="18"/>
      <c r="F450" s="17"/>
      <c r="G450" s="17"/>
      <c r="H450" s="17"/>
      <c r="I450" s="17"/>
      <c r="J450" s="17"/>
      <c r="K450" s="17"/>
      <c r="L450" s="17"/>
      <c r="M450" s="17"/>
    </row>
    <row r="451" spans="1:13" s="2" customFormat="1" x14ac:dyDescent="0.25">
      <c r="A451" s="6"/>
      <c r="D451" s="17"/>
      <c r="E451" s="18"/>
      <c r="F451" s="17"/>
      <c r="G451" s="17"/>
      <c r="H451" s="17"/>
      <c r="I451" s="17"/>
      <c r="J451" s="17"/>
      <c r="K451" s="17"/>
      <c r="L451" s="17"/>
      <c r="M451" s="17"/>
    </row>
    <row r="452" spans="1:13" s="2" customFormat="1" x14ac:dyDescent="0.25">
      <c r="A452" s="6"/>
      <c r="D452" s="17"/>
      <c r="E452" s="18"/>
      <c r="F452" s="17"/>
      <c r="G452" s="17"/>
      <c r="H452" s="17"/>
      <c r="I452" s="17"/>
      <c r="J452" s="17"/>
      <c r="K452" s="17"/>
      <c r="L452" s="17"/>
      <c r="M452" s="17"/>
    </row>
    <row r="453" spans="1:13" s="2" customFormat="1" x14ac:dyDescent="0.25">
      <c r="A453" s="6"/>
      <c r="D453" s="17"/>
      <c r="E453" s="18"/>
      <c r="F453" s="17"/>
      <c r="G453" s="17"/>
      <c r="H453" s="17"/>
      <c r="I453" s="17"/>
      <c r="J453" s="17"/>
      <c r="K453" s="17"/>
      <c r="L453" s="17"/>
      <c r="M453" s="17"/>
    </row>
    <row r="454" spans="1:13" s="2" customFormat="1" x14ac:dyDescent="0.25">
      <c r="A454" s="6"/>
      <c r="D454" s="17"/>
      <c r="E454" s="18"/>
      <c r="F454" s="17"/>
      <c r="G454" s="17"/>
      <c r="H454" s="17"/>
      <c r="I454" s="17"/>
      <c r="J454" s="17"/>
      <c r="K454" s="17"/>
      <c r="L454" s="17"/>
      <c r="M454" s="17"/>
    </row>
    <row r="455" spans="1:13" s="2" customFormat="1" x14ac:dyDescent="0.25">
      <c r="A455" s="6"/>
      <c r="D455" s="17"/>
      <c r="E455" s="18"/>
      <c r="F455" s="17"/>
      <c r="G455" s="17"/>
      <c r="H455" s="17"/>
      <c r="I455" s="17"/>
      <c r="J455" s="17"/>
      <c r="K455" s="17"/>
      <c r="L455" s="17"/>
      <c r="M455" s="17"/>
    </row>
    <row r="456" spans="1:13" s="2" customFormat="1" x14ac:dyDescent="0.25">
      <c r="A456" s="6"/>
      <c r="D456" s="17"/>
      <c r="E456" s="18"/>
      <c r="F456" s="17"/>
      <c r="G456" s="17"/>
      <c r="H456" s="17"/>
      <c r="I456" s="17"/>
      <c r="J456" s="17"/>
      <c r="K456" s="17"/>
      <c r="L456" s="17"/>
      <c r="M456" s="17"/>
    </row>
    <row r="457" spans="1:13" s="2" customFormat="1" x14ac:dyDescent="0.25">
      <c r="A457" s="6"/>
      <c r="D457" s="17"/>
      <c r="E457" s="18"/>
      <c r="F457" s="17"/>
      <c r="G457" s="17"/>
      <c r="H457" s="17"/>
      <c r="I457" s="17"/>
      <c r="J457" s="17"/>
      <c r="K457" s="17"/>
      <c r="L457" s="17"/>
      <c r="M457" s="17"/>
    </row>
    <row r="458" spans="1:13" s="2" customFormat="1" x14ac:dyDescent="0.25">
      <c r="A458" s="6"/>
      <c r="D458" s="17"/>
      <c r="E458" s="18"/>
      <c r="F458" s="17"/>
      <c r="G458" s="17"/>
      <c r="H458" s="17"/>
      <c r="I458" s="17"/>
      <c r="J458" s="17"/>
      <c r="K458" s="17"/>
      <c r="L458" s="17"/>
      <c r="M458" s="17"/>
    </row>
    <row r="459" spans="1:13" s="2" customFormat="1" x14ac:dyDescent="0.25">
      <c r="A459" s="6"/>
      <c r="D459" s="17"/>
      <c r="E459" s="18"/>
      <c r="F459" s="17"/>
      <c r="G459" s="17"/>
      <c r="H459" s="17"/>
      <c r="I459" s="17"/>
      <c r="J459" s="17"/>
      <c r="K459" s="17"/>
      <c r="L459" s="17"/>
      <c r="M459" s="17"/>
    </row>
    <row r="460" spans="1:13" s="2" customFormat="1" x14ac:dyDescent="0.25">
      <c r="A460" s="6"/>
      <c r="D460" s="17"/>
      <c r="E460" s="18"/>
      <c r="F460" s="17"/>
      <c r="G460" s="17"/>
      <c r="H460" s="17"/>
      <c r="I460" s="17"/>
      <c r="J460" s="17"/>
      <c r="K460" s="17"/>
      <c r="L460" s="17"/>
      <c r="M460" s="17"/>
    </row>
    <row r="461" spans="1:13" s="2" customFormat="1" x14ac:dyDescent="0.25">
      <c r="A461" s="6"/>
      <c r="D461" s="17"/>
      <c r="E461" s="18"/>
      <c r="F461" s="17"/>
      <c r="G461" s="17"/>
      <c r="H461" s="17"/>
      <c r="I461" s="17"/>
      <c r="J461" s="17"/>
      <c r="K461" s="17"/>
      <c r="L461" s="17"/>
      <c r="M461" s="17"/>
    </row>
    <row r="462" spans="1:13" s="2" customFormat="1" x14ac:dyDescent="0.25">
      <c r="A462" s="6"/>
      <c r="D462" s="17"/>
      <c r="E462" s="18"/>
      <c r="F462" s="17"/>
      <c r="G462" s="17"/>
      <c r="H462" s="17"/>
      <c r="I462" s="17"/>
      <c r="J462" s="17"/>
      <c r="K462" s="17"/>
      <c r="L462" s="17"/>
      <c r="M462" s="17"/>
    </row>
    <row r="463" spans="1:13" s="2" customFormat="1" x14ac:dyDescent="0.25">
      <c r="A463" s="6"/>
      <c r="D463" s="17"/>
      <c r="E463" s="18"/>
      <c r="F463" s="17"/>
      <c r="G463" s="17"/>
      <c r="H463" s="17"/>
      <c r="I463" s="17"/>
      <c r="J463" s="17"/>
      <c r="K463" s="17"/>
      <c r="L463" s="17"/>
      <c r="M463" s="17"/>
    </row>
    <row r="464" spans="1:13" s="2" customFormat="1" x14ac:dyDescent="0.25">
      <c r="A464" s="6"/>
      <c r="D464" s="17"/>
      <c r="E464" s="18"/>
      <c r="F464" s="17"/>
      <c r="G464" s="17"/>
      <c r="H464" s="17"/>
      <c r="I464" s="17"/>
      <c r="J464" s="17"/>
      <c r="K464" s="17"/>
      <c r="L464" s="17"/>
      <c r="M464" s="17"/>
    </row>
    <row r="465" spans="1:13" s="2" customFormat="1" x14ac:dyDescent="0.25">
      <c r="A465" s="6"/>
      <c r="D465" s="17"/>
      <c r="E465" s="18"/>
      <c r="F465" s="17"/>
      <c r="G465" s="17"/>
      <c r="H465" s="17"/>
      <c r="I465" s="17"/>
      <c r="J465" s="17"/>
      <c r="K465" s="17"/>
      <c r="L465" s="17"/>
      <c r="M465" s="17"/>
    </row>
    <row r="466" spans="1:13" s="2" customFormat="1" x14ac:dyDescent="0.25">
      <c r="A466" s="6"/>
      <c r="D466" s="17"/>
      <c r="E466" s="18"/>
      <c r="F466" s="17"/>
      <c r="G466" s="17"/>
      <c r="H466" s="17"/>
      <c r="I466" s="17"/>
      <c r="J466" s="17"/>
      <c r="K466" s="17"/>
      <c r="L466" s="17"/>
      <c r="M466" s="17"/>
    </row>
    <row r="467" spans="1:13" s="2" customFormat="1" x14ac:dyDescent="0.25">
      <c r="A467" s="6"/>
      <c r="D467" s="17"/>
      <c r="E467" s="18"/>
      <c r="F467" s="17"/>
      <c r="G467" s="17"/>
      <c r="H467" s="17"/>
      <c r="I467" s="17"/>
      <c r="J467" s="17"/>
      <c r="K467" s="17"/>
      <c r="L467" s="17"/>
      <c r="M467" s="17"/>
    </row>
    <row r="468" spans="1:13" s="2" customFormat="1" x14ac:dyDescent="0.25">
      <c r="A468" s="6"/>
      <c r="D468" s="17"/>
      <c r="E468" s="18"/>
      <c r="F468" s="17"/>
      <c r="G468" s="17"/>
      <c r="H468" s="17"/>
      <c r="I468" s="17"/>
      <c r="J468" s="17"/>
      <c r="K468" s="17"/>
      <c r="L468" s="17"/>
      <c r="M468" s="17"/>
    </row>
    <row r="469" spans="1:13" s="2" customFormat="1" x14ac:dyDescent="0.25">
      <c r="A469" s="6"/>
      <c r="D469" s="17"/>
      <c r="E469" s="18"/>
      <c r="F469" s="17"/>
      <c r="G469" s="17"/>
      <c r="H469" s="17"/>
      <c r="I469" s="17"/>
      <c r="J469" s="17"/>
      <c r="K469" s="17"/>
      <c r="L469" s="17"/>
      <c r="M469" s="17"/>
    </row>
    <row r="470" spans="1:13" s="2" customFormat="1" x14ac:dyDescent="0.25">
      <c r="A470" s="6"/>
      <c r="D470" s="17"/>
      <c r="E470" s="18"/>
      <c r="F470" s="17"/>
      <c r="G470" s="17"/>
      <c r="H470" s="17"/>
      <c r="I470" s="17"/>
      <c r="J470" s="17"/>
      <c r="K470" s="17"/>
      <c r="L470" s="17"/>
      <c r="M470" s="17"/>
    </row>
    <row r="471" spans="1:13" s="2" customFormat="1" x14ac:dyDescent="0.25">
      <c r="A471" s="6"/>
      <c r="D471" s="17"/>
      <c r="E471" s="18"/>
      <c r="F471" s="17"/>
      <c r="G471" s="17"/>
      <c r="H471" s="17"/>
      <c r="I471" s="17"/>
      <c r="J471" s="17"/>
      <c r="K471" s="17"/>
      <c r="L471" s="17"/>
      <c r="M471" s="17"/>
    </row>
    <row r="472" spans="1:13" s="2" customFormat="1" x14ac:dyDescent="0.25">
      <c r="A472" s="6"/>
      <c r="D472" s="17"/>
      <c r="E472" s="18"/>
      <c r="F472" s="17"/>
      <c r="G472" s="17"/>
      <c r="H472" s="17"/>
      <c r="I472" s="17"/>
      <c r="J472" s="17"/>
      <c r="K472" s="17"/>
      <c r="L472" s="17"/>
      <c r="M472" s="17"/>
    </row>
    <row r="473" spans="1:13" s="2" customFormat="1" x14ac:dyDescent="0.25">
      <c r="A473" s="6"/>
      <c r="D473" s="17"/>
      <c r="E473" s="18"/>
      <c r="F473" s="17"/>
      <c r="G473" s="17"/>
      <c r="H473" s="17"/>
      <c r="I473" s="17"/>
      <c r="J473" s="17"/>
      <c r="K473" s="17"/>
      <c r="L473" s="17"/>
      <c r="M473" s="17"/>
    </row>
    <row r="474" spans="1:13" s="2" customFormat="1" x14ac:dyDescent="0.25">
      <c r="A474" s="6"/>
      <c r="D474" s="17"/>
      <c r="E474" s="18"/>
      <c r="F474" s="17"/>
      <c r="G474" s="17"/>
      <c r="H474" s="17"/>
      <c r="I474" s="17"/>
      <c r="J474" s="17"/>
      <c r="K474" s="17"/>
      <c r="L474" s="17"/>
      <c r="M474" s="17"/>
    </row>
    <row r="475" spans="1:13" s="2" customFormat="1" x14ac:dyDescent="0.25">
      <c r="A475" s="6"/>
      <c r="D475" s="17"/>
      <c r="E475" s="18"/>
      <c r="F475" s="17"/>
      <c r="G475" s="17"/>
      <c r="H475" s="17"/>
      <c r="I475" s="17"/>
      <c r="J475" s="17"/>
      <c r="K475" s="17"/>
      <c r="L475" s="17"/>
      <c r="M475" s="17"/>
    </row>
    <row r="476" spans="1:13" s="2" customFormat="1" x14ac:dyDescent="0.25">
      <c r="A476" s="6"/>
      <c r="D476" s="17"/>
      <c r="E476" s="18"/>
      <c r="F476" s="17"/>
      <c r="G476" s="17"/>
      <c r="H476" s="17"/>
      <c r="I476" s="17"/>
      <c r="J476" s="17"/>
      <c r="K476" s="17"/>
      <c r="L476" s="17"/>
      <c r="M476" s="17"/>
    </row>
    <row r="477" spans="1:13" s="2" customFormat="1" x14ac:dyDescent="0.25">
      <c r="A477" s="6"/>
      <c r="D477" s="17"/>
      <c r="E477" s="18"/>
      <c r="F477" s="17"/>
      <c r="G477" s="17"/>
      <c r="H477" s="17"/>
      <c r="I477" s="17"/>
      <c r="J477" s="17"/>
      <c r="K477" s="17"/>
      <c r="L477" s="17"/>
      <c r="M477" s="17"/>
    </row>
    <row r="478" spans="1:13" s="2" customFormat="1" x14ac:dyDescent="0.25">
      <c r="A478" s="6"/>
      <c r="D478" s="17"/>
      <c r="E478" s="18"/>
      <c r="F478" s="17"/>
      <c r="G478" s="17"/>
      <c r="H478" s="17"/>
      <c r="I478" s="17"/>
      <c r="J478" s="17"/>
      <c r="K478" s="17"/>
      <c r="L478" s="17"/>
      <c r="M478" s="17"/>
    </row>
    <row r="479" spans="1:13" s="2" customFormat="1" x14ac:dyDescent="0.25">
      <c r="A479" s="6"/>
      <c r="D479" s="17"/>
      <c r="E479" s="18"/>
      <c r="F479" s="17"/>
      <c r="G479" s="17"/>
      <c r="H479" s="17"/>
      <c r="I479" s="17"/>
      <c r="J479" s="17"/>
      <c r="K479" s="17"/>
      <c r="L479" s="17"/>
      <c r="M479" s="17"/>
    </row>
    <row r="480" spans="1:13" s="2" customFormat="1" x14ac:dyDescent="0.25">
      <c r="A480" s="6"/>
      <c r="D480" s="17"/>
      <c r="E480" s="18"/>
      <c r="F480" s="17"/>
      <c r="G480" s="17"/>
      <c r="H480" s="17"/>
      <c r="I480" s="17"/>
      <c r="J480" s="17"/>
      <c r="K480" s="17"/>
      <c r="L480" s="17"/>
      <c r="M480" s="17"/>
    </row>
    <row r="481" spans="1:13" s="2" customFormat="1" x14ac:dyDescent="0.25">
      <c r="A481" s="6"/>
      <c r="D481" s="17"/>
      <c r="E481" s="18"/>
      <c r="F481" s="17"/>
      <c r="G481" s="17"/>
      <c r="H481" s="17"/>
      <c r="I481" s="17"/>
      <c r="J481" s="17"/>
      <c r="K481" s="17"/>
      <c r="L481" s="17"/>
      <c r="M481" s="17"/>
    </row>
    <row r="482" spans="1:13" s="2" customFormat="1" x14ac:dyDescent="0.25">
      <c r="A482" s="6"/>
      <c r="D482" s="17"/>
      <c r="E482" s="18"/>
      <c r="F482" s="17"/>
      <c r="G482" s="17"/>
      <c r="H482" s="17"/>
      <c r="I482" s="17"/>
      <c r="J482" s="17"/>
      <c r="K482" s="17"/>
      <c r="L482" s="17"/>
      <c r="M482" s="17"/>
    </row>
    <row r="483" spans="1:13" s="2" customFormat="1" x14ac:dyDescent="0.25">
      <c r="A483" s="6"/>
      <c r="D483" s="17"/>
      <c r="E483" s="18"/>
      <c r="F483" s="17"/>
      <c r="G483" s="17"/>
      <c r="H483" s="17"/>
      <c r="I483" s="17"/>
      <c r="J483" s="17"/>
      <c r="K483" s="17"/>
      <c r="L483" s="17"/>
      <c r="M483" s="17"/>
    </row>
    <row r="484" spans="1:13" s="2" customFormat="1" x14ac:dyDescent="0.25">
      <c r="A484" s="6"/>
      <c r="D484" s="17"/>
      <c r="E484" s="18"/>
      <c r="F484" s="17"/>
      <c r="G484" s="17"/>
      <c r="H484" s="17"/>
      <c r="I484" s="17"/>
      <c r="J484" s="17"/>
      <c r="K484" s="17"/>
      <c r="L484" s="17"/>
      <c r="M484" s="17"/>
    </row>
    <row r="485" spans="1:13" s="2" customFormat="1" x14ac:dyDescent="0.25">
      <c r="A485" s="6"/>
      <c r="D485" s="17"/>
      <c r="E485" s="18"/>
      <c r="F485" s="17"/>
      <c r="G485" s="17"/>
      <c r="H485" s="17"/>
      <c r="I485" s="17"/>
      <c r="J485" s="17"/>
      <c r="K485" s="17"/>
      <c r="L485" s="17"/>
      <c r="M485" s="17"/>
    </row>
    <row r="486" spans="1:13" s="2" customFormat="1" x14ac:dyDescent="0.25">
      <c r="A486" s="6"/>
      <c r="D486" s="17"/>
      <c r="E486" s="18"/>
      <c r="F486" s="17"/>
      <c r="G486" s="17"/>
      <c r="H486" s="17"/>
      <c r="I486" s="17"/>
      <c r="J486" s="17"/>
      <c r="K486" s="17"/>
      <c r="L486" s="17"/>
      <c r="M486" s="17"/>
    </row>
    <row r="487" spans="1:13" s="2" customFormat="1" x14ac:dyDescent="0.25">
      <c r="A487" s="6"/>
      <c r="D487" s="17"/>
      <c r="E487" s="18"/>
      <c r="F487" s="17"/>
      <c r="G487" s="17"/>
      <c r="H487" s="17"/>
      <c r="I487" s="17"/>
      <c r="J487" s="17"/>
      <c r="K487" s="17"/>
      <c r="L487" s="17"/>
      <c r="M487" s="17"/>
    </row>
    <row r="488" spans="1:13" s="2" customFormat="1" x14ac:dyDescent="0.25">
      <c r="A488" s="6"/>
      <c r="D488" s="17"/>
      <c r="E488" s="18"/>
      <c r="F488" s="17"/>
      <c r="G488" s="17"/>
      <c r="H488" s="17"/>
      <c r="I488" s="17"/>
      <c r="J488" s="17"/>
      <c r="K488" s="17"/>
      <c r="L488" s="17"/>
      <c r="M488" s="17"/>
    </row>
    <row r="489" spans="1:13" s="2" customFormat="1" x14ac:dyDescent="0.25">
      <c r="A489" s="6"/>
      <c r="D489" s="17"/>
      <c r="E489" s="18"/>
      <c r="F489" s="17"/>
      <c r="G489" s="17"/>
      <c r="H489" s="17"/>
      <c r="I489" s="17"/>
      <c r="J489" s="17"/>
      <c r="K489" s="17"/>
      <c r="L489" s="17"/>
      <c r="M489" s="17"/>
    </row>
    <row r="490" spans="1:13" s="2" customFormat="1" x14ac:dyDescent="0.25">
      <c r="A490" s="6"/>
      <c r="D490" s="17"/>
      <c r="E490" s="18"/>
      <c r="F490" s="17"/>
      <c r="G490" s="17"/>
      <c r="H490" s="17"/>
      <c r="I490" s="17"/>
      <c r="J490" s="17"/>
      <c r="K490" s="17"/>
      <c r="L490" s="17"/>
      <c r="M490" s="17"/>
    </row>
    <row r="491" spans="1:13" s="2" customFormat="1" x14ac:dyDescent="0.25">
      <c r="A491" s="6"/>
      <c r="D491" s="17"/>
      <c r="E491" s="18"/>
      <c r="F491" s="17"/>
      <c r="G491" s="17"/>
      <c r="H491" s="17"/>
      <c r="I491" s="17"/>
      <c r="J491" s="17"/>
      <c r="K491" s="17"/>
      <c r="L491" s="17"/>
      <c r="M491" s="17"/>
    </row>
    <row r="492" spans="1:13" s="2" customFormat="1" x14ac:dyDescent="0.25">
      <c r="A492" s="6"/>
      <c r="D492" s="17"/>
      <c r="E492" s="18"/>
      <c r="F492" s="17"/>
      <c r="G492" s="17"/>
      <c r="H492" s="17"/>
      <c r="I492" s="17"/>
      <c r="J492" s="17"/>
      <c r="K492" s="17"/>
      <c r="L492" s="17"/>
      <c r="M492" s="17"/>
    </row>
    <row r="493" spans="1:13" s="2" customFormat="1" x14ac:dyDescent="0.25">
      <c r="A493" s="6"/>
      <c r="D493" s="17"/>
      <c r="E493" s="18"/>
      <c r="F493" s="17"/>
      <c r="G493" s="17"/>
      <c r="H493" s="17"/>
      <c r="I493" s="17"/>
      <c r="J493" s="17"/>
      <c r="K493" s="17"/>
      <c r="L493" s="17"/>
      <c r="M493" s="17"/>
    </row>
    <row r="494" spans="1:13" s="2" customFormat="1" x14ac:dyDescent="0.25">
      <c r="A494" s="6"/>
      <c r="D494" s="17"/>
      <c r="E494" s="18"/>
      <c r="F494" s="17"/>
      <c r="G494" s="17"/>
      <c r="H494" s="17"/>
      <c r="I494" s="17"/>
      <c r="J494" s="17"/>
      <c r="K494" s="17"/>
      <c r="L494" s="17"/>
      <c r="M494" s="17"/>
    </row>
    <row r="495" spans="1:13" s="2" customFormat="1" x14ac:dyDescent="0.25">
      <c r="A495" s="6"/>
      <c r="D495" s="17"/>
      <c r="E495" s="18"/>
      <c r="F495" s="17"/>
      <c r="G495" s="17"/>
      <c r="H495" s="17"/>
      <c r="I495" s="17"/>
      <c r="J495" s="17"/>
      <c r="K495" s="17"/>
      <c r="L495" s="17"/>
      <c r="M495" s="17"/>
    </row>
    <row r="496" spans="1:13" s="2" customFormat="1" x14ac:dyDescent="0.25">
      <c r="A496" s="6"/>
      <c r="D496" s="17"/>
      <c r="E496" s="18"/>
      <c r="F496" s="17"/>
      <c r="G496" s="17"/>
      <c r="H496" s="17"/>
      <c r="I496" s="17"/>
      <c r="J496" s="17"/>
      <c r="K496" s="17"/>
      <c r="L496" s="17"/>
      <c r="M496" s="17"/>
    </row>
    <row r="497" spans="1:13" s="2" customFormat="1" x14ac:dyDescent="0.25">
      <c r="A497" s="6"/>
      <c r="D497" s="17"/>
      <c r="E497" s="18"/>
      <c r="F497" s="17"/>
      <c r="G497" s="17"/>
      <c r="H497" s="17"/>
      <c r="I497" s="17"/>
      <c r="J497" s="17"/>
      <c r="K497" s="17"/>
      <c r="L497" s="17"/>
      <c r="M497" s="17"/>
    </row>
    <row r="498" spans="1:13" s="2" customFormat="1" x14ac:dyDescent="0.25">
      <c r="A498" s="6"/>
      <c r="D498" s="17"/>
      <c r="E498" s="18"/>
      <c r="F498" s="17"/>
      <c r="G498" s="17"/>
      <c r="H498" s="17"/>
      <c r="I498" s="17"/>
      <c r="J498" s="17"/>
      <c r="K498" s="17"/>
      <c r="L498" s="17"/>
      <c r="M498" s="17"/>
    </row>
    <row r="499" spans="1:13" s="2" customFormat="1" x14ac:dyDescent="0.25">
      <c r="A499" s="6"/>
      <c r="D499" s="17"/>
      <c r="E499" s="18"/>
      <c r="F499" s="17"/>
      <c r="G499" s="17"/>
      <c r="H499" s="17"/>
      <c r="I499" s="17"/>
      <c r="J499" s="17"/>
      <c r="K499" s="17"/>
      <c r="L499" s="17"/>
      <c r="M499" s="17"/>
    </row>
    <row r="500" spans="1:13" s="2" customFormat="1" x14ac:dyDescent="0.25">
      <c r="A500" s="6"/>
      <c r="D500" s="17"/>
      <c r="E500" s="18"/>
      <c r="F500" s="17"/>
      <c r="G500" s="17"/>
      <c r="H500" s="17"/>
      <c r="I500" s="17"/>
      <c r="J500" s="17"/>
      <c r="K500" s="17"/>
      <c r="L500" s="17"/>
      <c r="M500" s="17"/>
    </row>
    <row r="501" spans="1:13" s="2" customFormat="1" x14ac:dyDescent="0.25">
      <c r="A501" s="6"/>
      <c r="D501" s="17"/>
      <c r="E501" s="18"/>
      <c r="F501" s="17"/>
      <c r="G501" s="17"/>
      <c r="H501" s="17"/>
      <c r="I501" s="17"/>
      <c r="J501" s="17"/>
      <c r="K501" s="17"/>
      <c r="L501" s="17"/>
      <c r="M501" s="17"/>
    </row>
    <row r="502" spans="1:13" s="2" customFormat="1" x14ac:dyDescent="0.25">
      <c r="A502" s="6"/>
      <c r="D502" s="17"/>
      <c r="E502" s="18"/>
      <c r="F502" s="17"/>
      <c r="G502" s="17"/>
      <c r="H502" s="17"/>
      <c r="I502" s="17"/>
      <c r="J502" s="17"/>
      <c r="K502" s="17"/>
      <c r="L502" s="17"/>
      <c r="M502" s="17"/>
    </row>
    <row r="503" spans="1:13" s="2" customFormat="1" x14ac:dyDescent="0.25">
      <c r="A503" s="6"/>
      <c r="D503" s="17"/>
      <c r="E503" s="18"/>
      <c r="F503" s="17"/>
      <c r="G503" s="17"/>
      <c r="H503" s="17"/>
      <c r="I503" s="17"/>
      <c r="J503" s="17"/>
      <c r="K503" s="17"/>
      <c r="L503" s="17"/>
      <c r="M503" s="17"/>
    </row>
    <row r="504" spans="1:13" s="2" customFormat="1" x14ac:dyDescent="0.25">
      <c r="A504" s="6"/>
      <c r="D504" s="17"/>
      <c r="E504" s="18"/>
      <c r="F504" s="17"/>
      <c r="G504" s="17"/>
      <c r="H504" s="17"/>
      <c r="I504" s="17"/>
      <c r="J504" s="17"/>
      <c r="K504" s="17"/>
      <c r="L504" s="17"/>
      <c r="M504" s="17"/>
    </row>
    <row r="505" spans="1:13" s="2" customFormat="1" x14ac:dyDescent="0.25">
      <c r="A505" s="6"/>
      <c r="D505" s="17"/>
      <c r="E505" s="18"/>
      <c r="F505" s="17"/>
      <c r="G505" s="17"/>
      <c r="H505" s="17"/>
      <c r="I505" s="17"/>
      <c r="J505" s="17"/>
      <c r="K505" s="17"/>
      <c r="L505" s="17"/>
      <c r="M505" s="17"/>
    </row>
    <row r="506" spans="1:13" s="2" customFormat="1" x14ac:dyDescent="0.25">
      <c r="A506" s="6"/>
      <c r="D506" s="17"/>
      <c r="E506" s="18"/>
      <c r="F506" s="17"/>
      <c r="G506" s="17"/>
      <c r="H506" s="17"/>
      <c r="I506" s="17"/>
      <c r="J506" s="17"/>
      <c r="K506" s="17"/>
      <c r="L506" s="17"/>
      <c r="M506" s="17"/>
    </row>
    <row r="507" spans="1:13" s="2" customFormat="1" x14ac:dyDescent="0.25">
      <c r="A507" s="6"/>
      <c r="D507" s="17"/>
      <c r="E507" s="18"/>
      <c r="F507" s="17"/>
      <c r="G507" s="17"/>
      <c r="H507" s="17"/>
      <c r="I507" s="17"/>
      <c r="J507" s="17"/>
      <c r="K507" s="17"/>
      <c r="L507" s="17"/>
      <c r="M507" s="17"/>
    </row>
    <row r="508" spans="1:13" s="2" customFormat="1" x14ac:dyDescent="0.25">
      <c r="A508" s="6"/>
      <c r="D508" s="17"/>
      <c r="E508" s="18"/>
      <c r="F508" s="17"/>
      <c r="G508" s="17"/>
      <c r="H508" s="17"/>
      <c r="I508" s="17"/>
      <c r="J508" s="17"/>
      <c r="K508" s="17"/>
      <c r="L508" s="17"/>
      <c r="M508" s="17"/>
    </row>
    <row r="509" spans="1:13" s="2" customFormat="1" x14ac:dyDescent="0.25">
      <c r="A509" s="6"/>
      <c r="D509" s="17"/>
      <c r="E509" s="18"/>
      <c r="F509" s="17"/>
      <c r="G509" s="17"/>
      <c r="H509" s="17"/>
      <c r="I509" s="17"/>
      <c r="J509" s="17"/>
      <c r="K509" s="17"/>
      <c r="L509" s="17"/>
      <c r="M509" s="17"/>
    </row>
    <row r="510" spans="1:13" s="2" customFormat="1" x14ac:dyDescent="0.25">
      <c r="A510" s="6"/>
      <c r="D510" s="17"/>
      <c r="E510" s="18"/>
      <c r="F510" s="17"/>
      <c r="G510" s="17"/>
      <c r="H510" s="17"/>
      <c r="I510" s="17"/>
      <c r="J510" s="17"/>
      <c r="K510" s="17"/>
      <c r="L510" s="17"/>
      <c r="M510" s="17"/>
    </row>
    <row r="511" spans="1:13" s="2" customFormat="1" x14ac:dyDescent="0.25">
      <c r="A511" s="6"/>
      <c r="D511" s="17"/>
      <c r="E511" s="18"/>
      <c r="F511" s="17"/>
      <c r="G511" s="17"/>
      <c r="H511" s="17"/>
      <c r="I511" s="17"/>
      <c r="J511" s="17"/>
      <c r="K511" s="17"/>
      <c r="L511" s="17"/>
      <c r="M511" s="17"/>
    </row>
    <row r="512" spans="1:13" s="2" customFormat="1" x14ac:dyDescent="0.25">
      <c r="A512" s="6"/>
      <c r="D512" s="17"/>
      <c r="E512" s="18"/>
      <c r="F512" s="17"/>
      <c r="G512" s="17"/>
      <c r="H512" s="17"/>
      <c r="I512" s="17"/>
      <c r="J512" s="17"/>
      <c r="K512" s="17"/>
      <c r="L512" s="17"/>
      <c r="M512" s="17"/>
    </row>
    <row r="513" spans="1:13" s="2" customFormat="1" x14ac:dyDescent="0.25">
      <c r="A513" s="6"/>
      <c r="D513" s="17"/>
      <c r="E513" s="18"/>
      <c r="F513" s="17"/>
      <c r="G513" s="17"/>
      <c r="H513" s="17"/>
      <c r="I513" s="17"/>
      <c r="J513" s="17"/>
      <c r="K513" s="17"/>
      <c r="L513" s="17"/>
      <c r="M513" s="17"/>
    </row>
    <row r="514" spans="1:13" s="2" customFormat="1" x14ac:dyDescent="0.25">
      <c r="A514" s="6"/>
      <c r="D514" s="17"/>
      <c r="E514" s="18"/>
      <c r="F514" s="17"/>
      <c r="G514" s="17"/>
      <c r="H514" s="17"/>
      <c r="I514" s="17"/>
      <c r="J514" s="17"/>
      <c r="K514" s="17"/>
      <c r="L514" s="17"/>
      <c r="M514" s="17"/>
    </row>
    <row r="515" spans="1:13" s="2" customFormat="1" x14ac:dyDescent="0.25">
      <c r="A515" s="6"/>
      <c r="D515" s="17"/>
      <c r="E515" s="18"/>
      <c r="F515" s="17"/>
      <c r="G515" s="17"/>
      <c r="H515" s="17"/>
      <c r="I515" s="17"/>
      <c r="J515" s="17"/>
      <c r="K515" s="17"/>
      <c r="L515" s="17"/>
      <c r="M515" s="17"/>
    </row>
    <row r="516" spans="1:13" s="2" customFormat="1" x14ac:dyDescent="0.25">
      <c r="A516" s="6"/>
      <c r="D516" s="17"/>
      <c r="E516" s="18"/>
      <c r="F516" s="17"/>
      <c r="G516" s="17"/>
      <c r="H516" s="17"/>
      <c r="I516" s="17"/>
      <c r="J516" s="17"/>
      <c r="K516" s="17"/>
      <c r="L516" s="17"/>
      <c r="M516" s="17"/>
    </row>
    <row r="517" spans="1:13" s="2" customFormat="1" x14ac:dyDescent="0.25">
      <c r="A517" s="6"/>
      <c r="D517" s="17"/>
      <c r="E517" s="18"/>
      <c r="F517" s="17"/>
      <c r="G517" s="17"/>
      <c r="H517" s="17"/>
      <c r="I517" s="17"/>
      <c r="J517" s="17"/>
      <c r="K517" s="17"/>
      <c r="L517" s="17"/>
      <c r="M517" s="17"/>
    </row>
    <row r="518" spans="1:13" s="2" customFormat="1" x14ac:dyDescent="0.25">
      <c r="A518" s="6"/>
      <c r="D518" s="17"/>
      <c r="E518" s="18"/>
      <c r="F518" s="17"/>
      <c r="G518" s="17"/>
      <c r="H518" s="17"/>
      <c r="I518" s="17"/>
      <c r="J518" s="17"/>
      <c r="K518" s="17"/>
      <c r="L518" s="17"/>
      <c r="M518" s="17"/>
    </row>
    <row r="519" spans="1:13" s="2" customFormat="1" x14ac:dyDescent="0.25">
      <c r="A519" s="6"/>
      <c r="D519" s="17"/>
      <c r="E519" s="18"/>
      <c r="F519" s="17"/>
      <c r="G519" s="17"/>
      <c r="H519" s="17"/>
      <c r="I519" s="17"/>
      <c r="J519" s="17"/>
      <c r="K519" s="17"/>
      <c r="L519" s="17"/>
      <c r="M519" s="17"/>
    </row>
    <row r="520" spans="1:13" s="2" customFormat="1" x14ac:dyDescent="0.25">
      <c r="A520" s="6"/>
      <c r="D520" s="17"/>
      <c r="E520" s="18"/>
      <c r="F520" s="17"/>
      <c r="G520" s="17"/>
      <c r="H520" s="17"/>
      <c r="I520" s="17"/>
      <c r="J520" s="17"/>
      <c r="K520" s="17"/>
      <c r="L520" s="17"/>
      <c r="M520" s="17"/>
    </row>
    <row r="521" spans="1:13" s="2" customFormat="1" x14ac:dyDescent="0.25">
      <c r="A521" s="6"/>
      <c r="D521" s="17"/>
      <c r="E521" s="18"/>
      <c r="F521" s="17"/>
      <c r="G521" s="17"/>
      <c r="H521" s="17"/>
      <c r="I521" s="17"/>
      <c r="J521" s="17"/>
      <c r="K521" s="17"/>
      <c r="L521" s="17"/>
      <c r="M521" s="17"/>
    </row>
    <row r="522" spans="1:13" s="2" customFormat="1" x14ac:dyDescent="0.25">
      <c r="A522" s="6"/>
      <c r="D522" s="17"/>
      <c r="E522" s="18"/>
      <c r="F522" s="17"/>
      <c r="G522" s="17"/>
      <c r="H522" s="17"/>
      <c r="I522" s="17"/>
      <c r="J522" s="17"/>
      <c r="K522" s="17"/>
      <c r="L522" s="17"/>
      <c r="M522" s="17"/>
    </row>
    <row r="523" spans="1:13" s="2" customFormat="1" x14ac:dyDescent="0.25">
      <c r="A523" s="6"/>
      <c r="D523" s="17"/>
      <c r="E523" s="18"/>
      <c r="F523" s="17"/>
      <c r="G523" s="17"/>
      <c r="H523" s="17"/>
      <c r="I523" s="17"/>
      <c r="J523" s="17"/>
      <c r="K523" s="17"/>
      <c r="L523" s="17"/>
      <c r="M523" s="17"/>
    </row>
    <row r="524" spans="1:13" s="2" customFormat="1" x14ac:dyDescent="0.25">
      <c r="A524" s="6"/>
      <c r="D524" s="17"/>
      <c r="E524" s="18"/>
      <c r="F524" s="17"/>
      <c r="G524" s="17"/>
      <c r="H524" s="17"/>
      <c r="I524" s="17"/>
      <c r="J524" s="17"/>
      <c r="K524" s="17"/>
      <c r="L524" s="17"/>
      <c r="M524" s="17"/>
    </row>
    <row r="525" spans="1:13" s="2" customFormat="1" x14ac:dyDescent="0.25">
      <c r="A525" s="6"/>
      <c r="D525" s="17"/>
      <c r="E525" s="18"/>
      <c r="F525" s="17"/>
      <c r="G525" s="17"/>
      <c r="H525" s="17"/>
      <c r="I525" s="17"/>
      <c r="J525" s="17"/>
      <c r="K525" s="17"/>
      <c r="L525" s="17"/>
      <c r="M525" s="17"/>
    </row>
    <row r="526" spans="1:13" s="2" customFormat="1" x14ac:dyDescent="0.25">
      <c r="A526" s="6"/>
      <c r="D526" s="17"/>
      <c r="E526" s="18"/>
      <c r="F526" s="17"/>
      <c r="G526" s="17"/>
      <c r="H526" s="17"/>
      <c r="I526" s="17"/>
      <c r="J526" s="17"/>
      <c r="K526" s="17"/>
      <c r="L526" s="17"/>
      <c r="M526" s="17"/>
    </row>
    <row r="527" spans="1:13" s="2" customFormat="1" x14ac:dyDescent="0.25">
      <c r="A527" s="6"/>
      <c r="D527" s="17"/>
      <c r="E527" s="18"/>
      <c r="F527" s="17"/>
      <c r="G527" s="17"/>
      <c r="H527" s="17"/>
      <c r="I527" s="17"/>
      <c r="J527" s="17"/>
      <c r="K527" s="17"/>
      <c r="L527" s="17"/>
      <c r="M527" s="17"/>
    </row>
    <row r="528" spans="1:13" s="2" customFormat="1" x14ac:dyDescent="0.25">
      <c r="A528" s="6"/>
      <c r="D528" s="17"/>
      <c r="E528" s="18"/>
      <c r="F528" s="17"/>
      <c r="G528" s="17"/>
      <c r="H528" s="17"/>
      <c r="I528" s="17"/>
      <c r="J528" s="17"/>
      <c r="K528" s="17"/>
      <c r="L528" s="17"/>
      <c r="M528" s="17"/>
    </row>
    <row r="529" spans="1:13" s="2" customFormat="1" x14ac:dyDescent="0.25">
      <c r="A529" s="6"/>
      <c r="D529" s="17"/>
      <c r="E529" s="18"/>
      <c r="F529" s="17"/>
      <c r="G529" s="17"/>
      <c r="H529" s="17"/>
      <c r="I529" s="17"/>
      <c r="J529" s="17"/>
      <c r="K529" s="17"/>
      <c r="L529" s="17"/>
      <c r="M529" s="17"/>
    </row>
    <row r="530" spans="1:13" s="2" customFormat="1" x14ac:dyDescent="0.25">
      <c r="A530" s="6"/>
      <c r="D530" s="17"/>
      <c r="E530" s="18"/>
      <c r="F530" s="17"/>
      <c r="G530" s="17"/>
      <c r="H530" s="17"/>
      <c r="I530" s="17"/>
      <c r="J530" s="17"/>
      <c r="K530" s="17"/>
      <c r="L530" s="17"/>
      <c r="M530" s="17"/>
    </row>
    <row r="531" spans="1:13" s="2" customFormat="1" x14ac:dyDescent="0.25">
      <c r="A531" s="6"/>
      <c r="D531" s="17"/>
      <c r="E531" s="18"/>
      <c r="F531" s="17"/>
      <c r="G531" s="17"/>
      <c r="H531" s="17"/>
      <c r="I531" s="17"/>
      <c r="J531" s="17"/>
      <c r="K531" s="17"/>
      <c r="L531" s="17"/>
      <c r="M531" s="17"/>
    </row>
    <row r="532" spans="1:13" s="2" customFormat="1" x14ac:dyDescent="0.25">
      <c r="A532" s="6"/>
      <c r="D532" s="17"/>
      <c r="E532" s="18"/>
      <c r="F532" s="17"/>
      <c r="G532" s="17"/>
      <c r="H532" s="17"/>
      <c r="I532" s="17"/>
      <c r="J532" s="17"/>
      <c r="K532" s="17"/>
      <c r="L532" s="17"/>
      <c r="M532" s="17"/>
    </row>
    <row r="533" spans="1:13" s="2" customFormat="1" x14ac:dyDescent="0.25">
      <c r="A533" s="6"/>
      <c r="D533" s="17"/>
      <c r="E533" s="18"/>
      <c r="F533" s="17"/>
      <c r="G533" s="17"/>
      <c r="H533" s="17"/>
      <c r="I533" s="17"/>
      <c r="J533" s="17"/>
      <c r="K533" s="17"/>
      <c r="L533" s="17"/>
      <c r="M533" s="17"/>
    </row>
    <row r="534" spans="1:13" s="2" customFormat="1" x14ac:dyDescent="0.25">
      <c r="A534" s="6"/>
      <c r="D534" s="17"/>
      <c r="E534" s="18"/>
      <c r="F534" s="17"/>
      <c r="G534" s="17"/>
      <c r="H534" s="17"/>
      <c r="I534" s="17"/>
      <c r="J534" s="17"/>
      <c r="K534" s="17"/>
      <c r="L534" s="17"/>
      <c r="M534" s="17"/>
    </row>
    <row r="535" spans="1:13" s="2" customFormat="1" x14ac:dyDescent="0.25">
      <c r="A535" s="6"/>
      <c r="D535" s="17"/>
      <c r="E535" s="18"/>
      <c r="F535" s="17"/>
      <c r="G535" s="17"/>
      <c r="H535" s="17"/>
      <c r="I535" s="17"/>
      <c r="J535" s="17"/>
      <c r="K535" s="17"/>
      <c r="L535" s="17"/>
      <c r="M535" s="17"/>
    </row>
    <row r="536" spans="1:13" s="2" customFormat="1" x14ac:dyDescent="0.25">
      <c r="A536" s="6"/>
      <c r="D536" s="17"/>
      <c r="E536" s="18"/>
      <c r="F536" s="17"/>
      <c r="G536" s="17"/>
      <c r="H536" s="17"/>
      <c r="I536" s="17"/>
      <c r="J536" s="17"/>
      <c r="K536" s="17"/>
      <c r="L536" s="17"/>
      <c r="M536" s="17"/>
    </row>
    <row r="537" spans="1:13" s="2" customFormat="1" x14ac:dyDescent="0.25">
      <c r="A537" s="6"/>
      <c r="D537" s="17"/>
      <c r="E537" s="18"/>
      <c r="F537" s="17"/>
      <c r="G537" s="17"/>
      <c r="H537" s="17"/>
      <c r="I537" s="17"/>
      <c r="J537" s="17"/>
      <c r="K537" s="17"/>
      <c r="L537" s="17"/>
      <c r="M537" s="17"/>
    </row>
    <row r="538" spans="1:13" s="2" customFormat="1" x14ac:dyDescent="0.25">
      <c r="A538" s="6"/>
      <c r="D538" s="17"/>
      <c r="E538" s="18"/>
      <c r="F538" s="17"/>
      <c r="G538" s="17"/>
      <c r="H538" s="17"/>
      <c r="I538" s="17"/>
      <c r="J538" s="17"/>
      <c r="K538" s="17"/>
      <c r="L538" s="17"/>
      <c r="M538" s="17"/>
    </row>
    <row r="539" spans="1:13" s="2" customFormat="1" x14ac:dyDescent="0.25">
      <c r="A539" s="6"/>
      <c r="D539" s="17"/>
      <c r="E539" s="18"/>
      <c r="F539" s="17"/>
      <c r="G539" s="17"/>
      <c r="H539" s="17"/>
      <c r="I539" s="17"/>
      <c r="J539" s="17"/>
      <c r="K539" s="17"/>
      <c r="L539" s="17"/>
      <c r="M539" s="17"/>
    </row>
    <row r="540" spans="1:13" s="2" customFormat="1" x14ac:dyDescent="0.25">
      <c r="A540" s="6"/>
      <c r="D540" s="17"/>
      <c r="E540" s="18"/>
      <c r="F540" s="17"/>
      <c r="G540" s="17"/>
      <c r="H540" s="17"/>
      <c r="I540" s="17"/>
      <c r="J540" s="17"/>
      <c r="K540" s="17"/>
      <c r="L540" s="17"/>
      <c r="M540" s="17"/>
    </row>
    <row r="541" spans="1:13" s="2" customFormat="1" x14ac:dyDescent="0.25">
      <c r="A541" s="6"/>
      <c r="D541" s="17"/>
      <c r="E541" s="18"/>
      <c r="F541" s="17"/>
      <c r="G541" s="17"/>
      <c r="H541" s="17"/>
      <c r="I541" s="17"/>
      <c r="J541" s="17"/>
      <c r="K541" s="17"/>
      <c r="L541" s="17"/>
      <c r="M541" s="17"/>
    </row>
    <row r="542" spans="1:13" s="2" customFormat="1" x14ac:dyDescent="0.25">
      <c r="A542" s="6"/>
      <c r="D542" s="17"/>
      <c r="E542" s="18"/>
      <c r="F542" s="17"/>
      <c r="G542" s="17"/>
      <c r="H542" s="17"/>
      <c r="I542" s="17"/>
      <c r="J542" s="17"/>
      <c r="K542" s="17"/>
      <c r="L542" s="17"/>
      <c r="M542" s="17"/>
    </row>
    <row r="543" spans="1:13" s="2" customFormat="1" x14ac:dyDescent="0.25">
      <c r="A543" s="6"/>
      <c r="D543" s="17"/>
      <c r="E543" s="18"/>
      <c r="F543" s="17"/>
      <c r="G543" s="17"/>
      <c r="H543" s="17"/>
      <c r="I543" s="17"/>
      <c r="J543" s="17"/>
      <c r="K543" s="17"/>
      <c r="L543" s="17"/>
      <c r="M543" s="17"/>
    </row>
    <row r="544" spans="1:13" s="2" customFormat="1" x14ac:dyDescent="0.25">
      <c r="A544" s="6"/>
      <c r="D544" s="17"/>
      <c r="E544" s="18"/>
      <c r="F544" s="17"/>
      <c r="G544" s="17"/>
      <c r="H544" s="17"/>
      <c r="I544" s="17"/>
      <c r="J544" s="17"/>
      <c r="K544" s="17"/>
      <c r="L544" s="17"/>
      <c r="M544" s="17"/>
    </row>
    <row r="545" spans="1:13" s="2" customFormat="1" x14ac:dyDescent="0.25">
      <c r="A545" s="6"/>
      <c r="D545" s="17"/>
      <c r="E545" s="18"/>
      <c r="F545" s="17"/>
      <c r="G545" s="17"/>
      <c r="H545" s="17"/>
      <c r="I545" s="17"/>
      <c r="J545" s="17"/>
      <c r="K545" s="17"/>
      <c r="L545" s="17"/>
      <c r="M545" s="17"/>
    </row>
    <row r="546" spans="1:13" s="2" customFormat="1" x14ac:dyDescent="0.25">
      <c r="A546" s="6"/>
      <c r="D546" s="17"/>
      <c r="E546" s="18"/>
      <c r="F546" s="17"/>
      <c r="G546" s="17"/>
      <c r="H546" s="17"/>
      <c r="I546" s="17"/>
      <c r="J546" s="17"/>
      <c r="K546" s="17"/>
      <c r="L546" s="17"/>
      <c r="M546" s="17"/>
    </row>
    <row r="547" spans="1:13" s="2" customFormat="1" x14ac:dyDescent="0.25">
      <c r="A547" s="6"/>
      <c r="D547" s="17"/>
      <c r="E547" s="18"/>
      <c r="F547" s="17"/>
      <c r="G547" s="17"/>
      <c r="H547" s="17"/>
      <c r="I547" s="17"/>
      <c r="J547" s="17"/>
      <c r="K547" s="17"/>
      <c r="L547" s="17"/>
      <c r="M547" s="17"/>
    </row>
    <row r="548" spans="1:13" s="2" customFormat="1" x14ac:dyDescent="0.25">
      <c r="A548" s="6"/>
      <c r="D548" s="17"/>
      <c r="E548" s="18"/>
      <c r="F548" s="17"/>
      <c r="G548" s="17"/>
      <c r="H548" s="17"/>
      <c r="I548" s="17"/>
      <c r="J548" s="17"/>
      <c r="K548" s="17"/>
      <c r="L548" s="17"/>
      <c r="M548" s="17"/>
    </row>
    <row r="549" spans="1:13" s="2" customFormat="1" x14ac:dyDescent="0.25">
      <c r="A549" s="6"/>
      <c r="D549" s="17"/>
      <c r="E549" s="18"/>
      <c r="F549" s="17"/>
      <c r="G549" s="17"/>
      <c r="H549" s="17"/>
      <c r="I549" s="17"/>
      <c r="J549" s="17"/>
      <c r="K549" s="17"/>
      <c r="L549" s="17"/>
      <c r="M549" s="17"/>
    </row>
    <row r="550" spans="1:13" s="2" customFormat="1" x14ac:dyDescent="0.25">
      <c r="A550" s="6"/>
      <c r="D550" s="17"/>
      <c r="E550" s="18"/>
      <c r="F550" s="17"/>
      <c r="G550" s="17"/>
      <c r="H550" s="17"/>
      <c r="I550" s="17"/>
      <c r="J550" s="17"/>
      <c r="K550" s="17"/>
      <c r="L550" s="17"/>
      <c r="M550" s="17"/>
    </row>
    <row r="551" spans="1:13" s="2" customFormat="1" x14ac:dyDescent="0.25">
      <c r="A551" s="6"/>
      <c r="D551" s="17"/>
      <c r="E551" s="18"/>
      <c r="F551" s="17"/>
      <c r="G551" s="17"/>
      <c r="H551" s="17"/>
      <c r="I551" s="17"/>
      <c r="J551" s="17"/>
      <c r="K551" s="17"/>
      <c r="L551" s="17"/>
      <c r="M551" s="17"/>
    </row>
    <row r="552" spans="1:13" s="2" customFormat="1" x14ac:dyDescent="0.25">
      <c r="A552" s="6"/>
      <c r="D552" s="17"/>
      <c r="E552" s="18"/>
      <c r="F552" s="17"/>
      <c r="G552" s="17"/>
      <c r="H552" s="17"/>
      <c r="I552" s="17"/>
      <c r="J552" s="17"/>
      <c r="K552" s="17"/>
      <c r="L552" s="17"/>
      <c r="M552" s="17"/>
    </row>
    <row r="553" spans="1:13" s="2" customFormat="1" x14ac:dyDescent="0.25">
      <c r="A553" s="6"/>
      <c r="D553" s="17"/>
      <c r="E553" s="18"/>
      <c r="F553" s="17"/>
      <c r="G553" s="17"/>
      <c r="H553" s="17"/>
      <c r="I553" s="17"/>
      <c r="J553" s="17"/>
      <c r="K553" s="17"/>
      <c r="L553" s="17"/>
      <c r="M553" s="17"/>
    </row>
    <row r="554" spans="1:13" s="2" customFormat="1" x14ac:dyDescent="0.25">
      <c r="A554" s="6"/>
      <c r="D554" s="17"/>
      <c r="E554" s="18"/>
      <c r="F554" s="17"/>
      <c r="G554" s="17"/>
      <c r="H554" s="17"/>
      <c r="I554" s="17"/>
      <c r="J554" s="17"/>
      <c r="K554" s="17"/>
      <c r="L554" s="17"/>
      <c r="M554" s="17"/>
    </row>
    <row r="555" spans="1:13" s="2" customFormat="1" x14ac:dyDescent="0.25">
      <c r="A555" s="6"/>
      <c r="D555" s="17"/>
      <c r="E555" s="18"/>
      <c r="F555" s="17"/>
      <c r="G555" s="17"/>
      <c r="H555" s="17"/>
      <c r="I555" s="17"/>
      <c r="J555" s="17"/>
      <c r="K555" s="17"/>
      <c r="L555" s="17"/>
      <c r="M555" s="17"/>
    </row>
    <row r="556" spans="1:13" s="2" customFormat="1" x14ac:dyDescent="0.25">
      <c r="A556" s="6"/>
      <c r="D556" s="17"/>
      <c r="E556" s="18"/>
      <c r="F556" s="17"/>
      <c r="G556" s="17"/>
      <c r="H556" s="17"/>
      <c r="I556" s="17"/>
      <c r="J556" s="17"/>
      <c r="K556" s="17"/>
      <c r="L556" s="17"/>
      <c r="M556" s="17"/>
    </row>
    <row r="557" spans="1:13" s="2" customFormat="1" x14ac:dyDescent="0.25">
      <c r="A557" s="6"/>
      <c r="D557" s="17"/>
      <c r="E557" s="18"/>
      <c r="F557" s="17"/>
      <c r="G557" s="17"/>
      <c r="H557" s="17"/>
      <c r="I557" s="17"/>
      <c r="J557" s="17"/>
      <c r="K557" s="17"/>
      <c r="L557" s="17"/>
      <c r="M557" s="17"/>
    </row>
    <row r="558" spans="1:13" s="2" customFormat="1" x14ac:dyDescent="0.25">
      <c r="A558" s="6"/>
      <c r="D558" s="17"/>
      <c r="E558" s="18"/>
      <c r="F558" s="17"/>
      <c r="G558" s="17"/>
      <c r="H558" s="17"/>
      <c r="I558" s="17"/>
      <c r="J558" s="17"/>
      <c r="K558" s="17"/>
      <c r="L558" s="17"/>
      <c r="M558" s="17"/>
    </row>
    <row r="559" spans="1:13" s="2" customFormat="1" x14ac:dyDescent="0.25">
      <c r="A559" s="6"/>
      <c r="D559" s="17"/>
      <c r="E559" s="18"/>
      <c r="F559" s="17"/>
      <c r="G559" s="17"/>
      <c r="H559" s="17"/>
      <c r="I559" s="17"/>
      <c r="J559" s="17"/>
      <c r="K559" s="17"/>
      <c r="L559" s="17"/>
      <c r="M559" s="17"/>
    </row>
    <row r="560" spans="1:13" s="2" customFormat="1" x14ac:dyDescent="0.25">
      <c r="A560" s="6"/>
      <c r="D560" s="17"/>
      <c r="E560" s="18"/>
      <c r="F560" s="17"/>
      <c r="G560" s="17"/>
      <c r="H560" s="17"/>
      <c r="I560" s="17"/>
      <c r="J560" s="17"/>
      <c r="K560" s="17"/>
      <c r="L560" s="17"/>
      <c r="M560" s="17"/>
    </row>
    <row r="561" spans="1:13" s="2" customFormat="1" x14ac:dyDescent="0.25">
      <c r="A561" s="6"/>
      <c r="D561" s="17"/>
      <c r="E561" s="18"/>
      <c r="F561" s="17"/>
      <c r="G561" s="17"/>
      <c r="H561" s="17"/>
      <c r="I561" s="17"/>
      <c r="J561" s="17"/>
      <c r="K561" s="17"/>
      <c r="L561" s="17"/>
      <c r="M561" s="17"/>
    </row>
    <row r="562" spans="1:13" s="2" customFormat="1" x14ac:dyDescent="0.25">
      <c r="A562" s="6"/>
      <c r="D562" s="17"/>
      <c r="E562" s="18"/>
      <c r="F562" s="17"/>
      <c r="G562" s="17"/>
      <c r="H562" s="17"/>
      <c r="I562" s="17"/>
      <c r="J562" s="17"/>
      <c r="K562" s="17"/>
      <c r="L562" s="17"/>
      <c r="M562" s="17"/>
    </row>
    <row r="563" spans="1:13" s="2" customFormat="1" x14ac:dyDescent="0.25">
      <c r="A563" s="6"/>
      <c r="D563" s="17"/>
      <c r="E563" s="18"/>
      <c r="F563" s="17"/>
      <c r="G563" s="17"/>
      <c r="H563" s="17"/>
      <c r="I563" s="17"/>
      <c r="J563" s="17"/>
      <c r="K563" s="17"/>
      <c r="L563" s="17"/>
      <c r="M563" s="17"/>
    </row>
    <row r="564" spans="1:13" s="2" customFormat="1" x14ac:dyDescent="0.25">
      <c r="A564" s="6"/>
      <c r="D564" s="17"/>
      <c r="E564" s="18"/>
      <c r="F564" s="17"/>
      <c r="G564" s="17"/>
      <c r="H564" s="17"/>
      <c r="I564" s="17"/>
      <c r="J564" s="17"/>
      <c r="K564" s="17"/>
      <c r="L564" s="17"/>
      <c r="M564" s="17"/>
    </row>
    <row r="565" spans="1:13" s="2" customFormat="1" x14ac:dyDescent="0.25">
      <c r="A565" s="6"/>
      <c r="D565" s="17"/>
      <c r="E565" s="18"/>
      <c r="F565" s="17"/>
      <c r="G565" s="17"/>
      <c r="H565" s="17"/>
      <c r="I565" s="17"/>
      <c r="J565" s="17"/>
      <c r="K565" s="17"/>
      <c r="L565" s="17"/>
      <c r="M565" s="17"/>
    </row>
    <row r="566" spans="1:13" s="2" customFormat="1" x14ac:dyDescent="0.25">
      <c r="A566" s="6"/>
      <c r="D566" s="17"/>
      <c r="E566" s="18"/>
      <c r="F566" s="17"/>
      <c r="G566" s="17"/>
      <c r="H566" s="17"/>
      <c r="I566" s="17"/>
      <c r="J566" s="17"/>
      <c r="K566" s="17"/>
      <c r="L566" s="17"/>
      <c r="M566" s="17"/>
    </row>
    <row r="567" spans="1:13" s="2" customFormat="1" x14ac:dyDescent="0.25">
      <c r="A567" s="6"/>
      <c r="D567" s="17"/>
      <c r="E567" s="18"/>
      <c r="F567" s="17"/>
      <c r="G567" s="17"/>
      <c r="H567" s="17"/>
      <c r="I567" s="17"/>
      <c r="J567" s="17"/>
      <c r="K567" s="17"/>
      <c r="L567" s="17"/>
      <c r="M567" s="17"/>
    </row>
    <row r="568" spans="1:13" s="2" customFormat="1" x14ac:dyDescent="0.25">
      <c r="A568" s="6"/>
      <c r="D568" s="17"/>
      <c r="E568" s="18"/>
      <c r="F568" s="17"/>
      <c r="G568" s="17"/>
      <c r="H568" s="17"/>
      <c r="I568" s="17"/>
      <c r="J568" s="17"/>
      <c r="K568" s="17"/>
      <c r="L568" s="17"/>
      <c r="M568" s="17"/>
    </row>
    <row r="569" spans="1:13" s="2" customFormat="1" x14ac:dyDescent="0.25">
      <c r="A569" s="6"/>
      <c r="D569" s="17"/>
      <c r="E569" s="18"/>
      <c r="F569" s="17"/>
      <c r="G569" s="17"/>
      <c r="H569" s="17"/>
      <c r="I569" s="17"/>
      <c r="J569" s="17"/>
      <c r="K569" s="17"/>
      <c r="L569" s="17"/>
      <c r="M569" s="17"/>
    </row>
    <row r="570" spans="1:13" s="2" customFormat="1" x14ac:dyDescent="0.25">
      <c r="A570" s="6"/>
      <c r="D570" s="17"/>
      <c r="E570" s="18"/>
      <c r="F570" s="17"/>
      <c r="G570" s="17"/>
      <c r="H570" s="17"/>
      <c r="I570" s="17"/>
      <c r="J570" s="17"/>
      <c r="K570" s="17"/>
      <c r="L570" s="17"/>
      <c r="M570" s="17"/>
    </row>
    <row r="571" spans="1:13" s="2" customFormat="1" x14ac:dyDescent="0.25">
      <c r="A571" s="6"/>
      <c r="D571" s="17"/>
      <c r="E571" s="18"/>
      <c r="F571" s="17"/>
      <c r="G571" s="17"/>
      <c r="H571" s="17"/>
      <c r="I571" s="17"/>
      <c r="J571" s="17"/>
      <c r="K571" s="17"/>
      <c r="L571" s="17"/>
      <c r="M571" s="17"/>
    </row>
    <row r="572" spans="1:13" s="2" customFormat="1" x14ac:dyDescent="0.25">
      <c r="A572" s="6"/>
      <c r="D572" s="17"/>
      <c r="E572" s="18"/>
      <c r="F572" s="17"/>
      <c r="G572" s="17"/>
      <c r="H572" s="17"/>
      <c r="I572" s="17"/>
      <c r="J572" s="17"/>
      <c r="K572" s="17"/>
      <c r="L572" s="17"/>
      <c r="M572" s="17"/>
    </row>
    <row r="573" spans="1:13" s="2" customFormat="1" x14ac:dyDescent="0.25">
      <c r="A573" s="6"/>
      <c r="D573" s="17"/>
      <c r="E573" s="18"/>
      <c r="F573" s="17"/>
      <c r="G573" s="17"/>
      <c r="H573" s="17"/>
      <c r="I573" s="17"/>
      <c r="J573" s="17"/>
      <c r="K573" s="17"/>
      <c r="L573" s="17"/>
      <c r="M573" s="17"/>
    </row>
    <row r="574" spans="1:13" s="2" customFormat="1" x14ac:dyDescent="0.25">
      <c r="A574" s="6"/>
      <c r="D574" s="17"/>
      <c r="E574" s="18"/>
      <c r="F574" s="17"/>
      <c r="G574" s="17"/>
      <c r="H574" s="17"/>
      <c r="I574" s="17"/>
      <c r="J574" s="17"/>
      <c r="K574" s="17"/>
      <c r="L574" s="17"/>
      <c r="M574" s="17"/>
    </row>
    <row r="575" spans="1:13" s="2" customFormat="1" x14ac:dyDescent="0.25">
      <c r="A575" s="6"/>
      <c r="D575" s="17"/>
      <c r="E575" s="18"/>
      <c r="F575" s="17"/>
      <c r="G575" s="17"/>
      <c r="H575" s="17"/>
      <c r="I575" s="17"/>
      <c r="J575" s="17"/>
      <c r="K575" s="17"/>
      <c r="L575" s="17"/>
      <c r="M575" s="17"/>
    </row>
    <row r="576" spans="1:13" s="2" customFormat="1" x14ac:dyDescent="0.25">
      <c r="A576" s="6"/>
      <c r="D576" s="17"/>
      <c r="E576" s="18"/>
      <c r="F576" s="17"/>
      <c r="G576" s="17"/>
      <c r="H576" s="17"/>
      <c r="I576" s="17"/>
      <c r="J576" s="17"/>
      <c r="K576" s="17"/>
      <c r="L576" s="17"/>
      <c r="M576" s="17"/>
    </row>
    <row r="577" spans="1:13" s="2" customFormat="1" x14ac:dyDescent="0.25">
      <c r="A577" s="6"/>
      <c r="D577" s="17"/>
      <c r="E577" s="18"/>
      <c r="F577" s="17"/>
      <c r="G577" s="17"/>
      <c r="H577" s="17"/>
      <c r="I577" s="17"/>
      <c r="J577" s="17"/>
      <c r="K577" s="17"/>
      <c r="L577" s="17"/>
      <c r="M577" s="17"/>
    </row>
    <row r="578" spans="1:13" s="2" customFormat="1" x14ac:dyDescent="0.25">
      <c r="A578" s="6"/>
      <c r="D578" s="17"/>
      <c r="E578" s="18"/>
      <c r="F578" s="17"/>
      <c r="G578" s="17"/>
      <c r="H578" s="17"/>
      <c r="I578" s="17"/>
      <c r="J578" s="17"/>
      <c r="K578" s="17"/>
      <c r="L578" s="17"/>
      <c r="M578" s="17"/>
    </row>
    <row r="579" spans="1:13" s="2" customFormat="1" x14ac:dyDescent="0.25">
      <c r="A579" s="6"/>
      <c r="D579" s="17"/>
      <c r="E579" s="18"/>
      <c r="F579" s="17"/>
      <c r="G579" s="17"/>
      <c r="H579" s="17"/>
      <c r="I579" s="17"/>
      <c r="J579" s="17"/>
      <c r="K579" s="17"/>
      <c r="L579" s="17"/>
      <c r="M579" s="17"/>
    </row>
    <row r="580" spans="1:13" s="2" customFormat="1" x14ac:dyDescent="0.25">
      <c r="A580" s="6"/>
      <c r="D580" s="17"/>
      <c r="E580" s="18"/>
      <c r="F580" s="17"/>
      <c r="G580" s="17"/>
      <c r="H580" s="17"/>
      <c r="I580" s="17"/>
      <c r="J580" s="17"/>
      <c r="K580" s="17"/>
      <c r="L580" s="17"/>
      <c r="M580" s="17"/>
    </row>
    <row r="581" spans="1:13" s="2" customFormat="1" x14ac:dyDescent="0.25">
      <c r="A581" s="6"/>
      <c r="D581" s="17"/>
      <c r="E581" s="18"/>
      <c r="F581" s="17"/>
      <c r="G581" s="17"/>
      <c r="H581" s="17"/>
      <c r="I581" s="17"/>
      <c r="J581" s="17"/>
      <c r="K581" s="17"/>
      <c r="L581" s="17"/>
      <c r="M581" s="17"/>
    </row>
    <row r="582" spans="1:13" s="2" customFormat="1" x14ac:dyDescent="0.25">
      <c r="A582" s="6"/>
      <c r="D582" s="17"/>
      <c r="E582" s="18"/>
      <c r="F582" s="17"/>
      <c r="G582" s="17"/>
      <c r="H582" s="17"/>
      <c r="I582" s="17"/>
      <c r="J582" s="17"/>
      <c r="K582" s="17"/>
      <c r="L582" s="17"/>
      <c r="M582" s="17"/>
    </row>
    <row r="583" spans="1:13" s="2" customFormat="1" x14ac:dyDescent="0.25">
      <c r="A583" s="6"/>
      <c r="D583" s="17"/>
      <c r="E583" s="18"/>
      <c r="F583" s="17"/>
      <c r="G583" s="17"/>
      <c r="H583" s="17"/>
      <c r="I583" s="17"/>
      <c r="J583" s="17"/>
      <c r="K583" s="17"/>
      <c r="L583" s="17"/>
      <c r="M583" s="17"/>
    </row>
    <row r="584" spans="1:13" s="2" customFormat="1" x14ac:dyDescent="0.25">
      <c r="A584" s="6"/>
      <c r="D584" s="17"/>
      <c r="E584" s="18"/>
      <c r="F584" s="17"/>
      <c r="G584" s="17"/>
      <c r="H584" s="17"/>
      <c r="I584" s="17"/>
      <c r="J584" s="17"/>
      <c r="K584" s="17"/>
      <c r="L584" s="17"/>
      <c r="M584" s="17"/>
    </row>
    <row r="585" spans="1:13" s="2" customFormat="1" x14ac:dyDescent="0.25">
      <c r="A585" s="6"/>
      <c r="D585" s="17"/>
      <c r="E585" s="18"/>
      <c r="F585" s="17"/>
      <c r="G585" s="17"/>
      <c r="H585" s="17"/>
      <c r="I585" s="17"/>
      <c r="J585" s="17"/>
      <c r="K585" s="17"/>
      <c r="L585" s="17"/>
      <c r="M585" s="17"/>
    </row>
    <row r="586" spans="1:13" s="2" customFormat="1" x14ac:dyDescent="0.25">
      <c r="A586" s="6"/>
      <c r="D586" s="17"/>
      <c r="E586" s="18"/>
      <c r="F586" s="17"/>
      <c r="G586" s="17"/>
      <c r="H586" s="17"/>
      <c r="I586" s="17"/>
      <c r="J586" s="17"/>
      <c r="K586" s="17"/>
      <c r="L586" s="17"/>
      <c r="M586" s="17"/>
    </row>
    <row r="587" spans="1:13" s="2" customFormat="1" x14ac:dyDescent="0.25">
      <c r="A587" s="6"/>
      <c r="D587" s="17"/>
      <c r="E587" s="18"/>
      <c r="F587" s="17"/>
      <c r="G587" s="17"/>
      <c r="H587" s="17"/>
      <c r="I587" s="17"/>
      <c r="J587" s="17"/>
      <c r="K587" s="17"/>
      <c r="L587" s="17"/>
      <c r="M587" s="17"/>
    </row>
    <row r="588" spans="1:13" s="2" customFormat="1" x14ac:dyDescent="0.25">
      <c r="A588" s="6"/>
      <c r="D588" s="17"/>
      <c r="E588" s="18"/>
      <c r="F588" s="17"/>
      <c r="G588" s="17"/>
      <c r="H588" s="17"/>
      <c r="I588" s="17"/>
      <c r="J588" s="17"/>
      <c r="K588" s="17"/>
      <c r="L588" s="17"/>
      <c r="M588" s="17"/>
    </row>
    <row r="589" spans="1:13" s="2" customFormat="1" x14ac:dyDescent="0.25">
      <c r="A589" s="6"/>
      <c r="D589" s="17"/>
      <c r="E589" s="18"/>
      <c r="F589" s="17"/>
      <c r="G589" s="17"/>
      <c r="H589" s="17"/>
      <c r="I589" s="17"/>
      <c r="J589" s="17"/>
      <c r="K589" s="17"/>
      <c r="L589" s="17"/>
      <c r="M589" s="17"/>
    </row>
    <row r="590" spans="1:13" s="2" customFormat="1" x14ac:dyDescent="0.25">
      <c r="A590" s="6"/>
      <c r="D590" s="17"/>
      <c r="E590" s="18"/>
      <c r="F590" s="17"/>
      <c r="G590" s="17"/>
      <c r="H590" s="17"/>
      <c r="I590" s="17"/>
      <c r="J590" s="17"/>
      <c r="K590" s="17"/>
      <c r="L590" s="17"/>
      <c r="M590" s="17"/>
    </row>
    <row r="591" spans="1:13" s="2" customFormat="1" x14ac:dyDescent="0.25">
      <c r="A591" s="6"/>
      <c r="D591" s="17"/>
      <c r="E591" s="18"/>
      <c r="F591" s="17"/>
      <c r="G591" s="17"/>
      <c r="H591" s="17"/>
      <c r="I591" s="17"/>
      <c r="J591" s="17"/>
      <c r="K591" s="17"/>
      <c r="L591" s="17"/>
      <c r="M591" s="17"/>
    </row>
    <row r="592" spans="1:13" s="2" customFormat="1" x14ac:dyDescent="0.25">
      <c r="A592" s="6"/>
      <c r="D592" s="17"/>
      <c r="E592" s="18"/>
      <c r="F592" s="17"/>
      <c r="G592" s="17"/>
      <c r="H592" s="17"/>
      <c r="I592" s="17"/>
      <c r="J592" s="17"/>
      <c r="K592" s="17"/>
      <c r="L592" s="17"/>
      <c r="M592" s="17"/>
    </row>
    <row r="593" spans="1:13" s="2" customFormat="1" x14ac:dyDescent="0.25">
      <c r="A593" s="6"/>
      <c r="D593" s="17"/>
      <c r="E593" s="18"/>
      <c r="F593" s="17"/>
      <c r="G593" s="17"/>
      <c r="H593" s="17"/>
      <c r="I593" s="17"/>
      <c r="J593" s="17"/>
      <c r="K593" s="17"/>
      <c r="L593" s="17"/>
      <c r="M593" s="17"/>
    </row>
    <row r="594" spans="1:13" s="2" customFormat="1" x14ac:dyDescent="0.25">
      <c r="A594" s="6"/>
      <c r="D594" s="17"/>
      <c r="E594" s="18"/>
      <c r="F594" s="17"/>
      <c r="G594" s="17"/>
      <c r="H594" s="17"/>
      <c r="I594" s="17"/>
      <c r="J594" s="17"/>
      <c r="K594" s="17"/>
      <c r="L594" s="17"/>
      <c r="M594" s="17"/>
    </row>
    <row r="595" spans="1:13" s="2" customFormat="1" x14ac:dyDescent="0.25">
      <c r="A595" s="6"/>
      <c r="D595" s="17"/>
      <c r="E595" s="18"/>
      <c r="F595" s="17"/>
      <c r="G595" s="17"/>
      <c r="H595" s="17"/>
      <c r="I595" s="17"/>
      <c r="J595" s="17"/>
      <c r="K595" s="17"/>
      <c r="L595" s="17"/>
      <c r="M595" s="17"/>
    </row>
    <row r="596" spans="1:13" s="2" customFormat="1" x14ac:dyDescent="0.25">
      <c r="A596" s="6"/>
      <c r="D596" s="17"/>
      <c r="E596" s="18"/>
      <c r="F596" s="17"/>
      <c r="G596" s="17"/>
      <c r="H596" s="17"/>
      <c r="I596" s="17"/>
      <c r="J596" s="17"/>
      <c r="K596" s="17"/>
      <c r="L596" s="17"/>
      <c r="M596" s="17"/>
    </row>
    <row r="597" spans="1:13" s="2" customFormat="1" x14ac:dyDescent="0.25">
      <c r="A597" s="6"/>
      <c r="D597" s="17"/>
      <c r="E597" s="18"/>
      <c r="F597" s="17"/>
      <c r="G597" s="17"/>
      <c r="H597" s="17"/>
      <c r="I597" s="17"/>
      <c r="J597" s="17"/>
      <c r="K597" s="17"/>
      <c r="L597" s="17"/>
      <c r="M597" s="17"/>
    </row>
    <row r="598" spans="1:13" s="2" customFormat="1" x14ac:dyDescent="0.25">
      <c r="A598" s="6"/>
      <c r="D598" s="17"/>
      <c r="E598" s="18"/>
      <c r="F598" s="17"/>
      <c r="G598" s="17"/>
      <c r="H598" s="17"/>
      <c r="I598" s="17"/>
      <c r="J598" s="17"/>
      <c r="K598" s="17"/>
      <c r="L598" s="17"/>
      <c r="M598" s="17"/>
    </row>
    <row r="599" spans="1:13" s="2" customFormat="1" x14ac:dyDescent="0.25">
      <c r="A599" s="6"/>
      <c r="D599" s="17"/>
      <c r="E599" s="18"/>
      <c r="F599" s="17"/>
      <c r="G599" s="17"/>
      <c r="H599" s="17"/>
      <c r="I599" s="17"/>
      <c r="J599" s="17"/>
      <c r="K599" s="17"/>
      <c r="L599" s="17"/>
      <c r="M599" s="17"/>
    </row>
    <row r="600" spans="1:13" s="2" customFormat="1" x14ac:dyDescent="0.25">
      <c r="A600" s="6"/>
      <c r="D600" s="17"/>
      <c r="E600" s="18"/>
      <c r="F600" s="17"/>
      <c r="G600" s="17"/>
      <c r="H600" s="17"/>
      <c r="I600" s="17"/>
      <c r="J600" s="17"/>
      <c r="K600" s="17"/>
      <c r="L600" s="17"/>
      <c r="M600" s="17"/>
    </row>
    <row r="601" spans="1:13" s="2" customFormat="1" x14ac:dyDescent="0.25">
      <c r="A601" s="6"/>
      <c r="D601" s="17"/>
      <c r="E601" s="18"/>
      <c r="F601" s="17"/>
      <c r="G601" s="17"/>
      <c r="H601" s="17"/>
      <c r="I601" s="17"/>
      <c r="J601" s="17"/>
      <c r="K601" s="17"/>
      <c r="L601" s="17"/>
      <c r="M601" s="17"/>
    </row>
    <row r="602" spans="1:13" s="2" customFormat="1" x14ac:dyDescent="0.25">
      <c r="A602" s="6"/>
      <c r="D602" s="17"/>
      <c r="E602" s="18"/>
      <c r="F602" s="17"/>
      <c r="G602" s="17"/>
      <c r="H602" s="17"/>
      <c r="I602" s="17"/>
      <c r="J602" s="17"/>
      <c r="K602" s="17"/>
      <c r="L602" s="17"/>
      <c r="M602" s="17"/>
    </row>
    <row r="603" spans="1:13" s="2" customFormat="1" x14ac:dyDescent="0.25">
      <c r="A603" s="6"/>
      <c r="D603" s="17"/>
      <c r="E603" s="18"/>
      <c r="F603" s="17"/>
      <c r="G603" s="17"/>
      <c r="H603" s="17"/>
      <c r="I603" s="17"/>
      <c r="J603" s="17"/>
      <c r="K603" s="17"/>
      <c r="L603" s="17"/>
      <c r="M603" s="17"/>
    </row>
    <row r="604" spans="1:13" s="2" customFormat="1" x14ac:dyDescent="0.25">
      <c r="A604" s="6"/>
      <c r="D604" s="17"/>
      <c r="E604" s="18"/>
      <c r="F604" s="17"/>
      <c r="G604" s="17"/>
      <c r="H604" s="17"/>
      <c r="I604" s="17"/>
      <c r="J604" s="17"/>
      <c r="K604" s="17"/>
      <c r="L604" s="17"/>
      <c r="M604" s="17"/>
    </row>
    <row r="605" spans="1:13" s="2" customFormat="1" x14ac:dyDescent="0.25">
      <c r="A605" s="6"/>
      <c r="D605" s="17"/>
      <c r="E605" s="18"/>
      <c r="F605" s="17"/>
      <c r="G605" s="17"/>
      <c r="H605" s="17"/>
      <c r="I605" s="17"/>
      <c r="J605" s="17"/>
      <c r="K605" s="17"/>
      <c r="L605" s="17"/>
      <c r="M605" s="17"/>
    </row>
    <row r="606" spans="1:13" s="2" customFormat="1" x14ac:dyDescent="0.25">
      <c r="A606" s="6"/>
      <c r="D606" s="17"/>
      <c r="E606" s="18"/>
      <c r="F606" s="17"/>
      <c r="G606" s="17"/>
      <c r="H606" s="17"/>
      <c r="I606" s="17"/>
      <c r="J606" s="17"/>
      <c r="K606" s="17"/>
      <c r="L606" s="17"/>
      <c r="M606" s="17"/>
    </row>
    <row r="607" spans="1:13" s="2" customFormat="1" x14ac:dyDescent="0.25">
      <c r="A607" s="6"/>
      <c r="D607" s="17"/>
      <c r="E607" s="18"/>
      <c r="F607" s="17"/>
      <c r="G607" s="17"/>
      <c r="H607" s="17"/>
      <c r="I607" s="17"/>
      <c r="J607" s="17"/>
      <c r="K607" s="17"/>
      <c r="L607" s="17"/>
      <c r="M607" s="17"/>
    </row>
    <row r="608" spans="1:13" s="2" customFormat="1" x14ac:dyDescent="0.25">
      <c r="A608" s="6"/>
      <c r="D608" s="17"/>
      <c r="E608" s="18"/>
      <c r="F608" s="17"/>
      <c r="G608" s="17"/>
      <c r="H608" s="17"/>
      <c r="I608" s="17"/>
      <c r="J608" s="17"/>
      <c r="K608" s="17"/>
      <c r="L608" s="17"/>
      <c r="M608" s="17"/>
    </row>
    <row r="609" spans="1:13" s="2" customFormat="1" x14ac:dyDescent="0.25">
      <c r="A609" s="6"/>
      <c r="D609" s="17"/>
      <c r="E609" s="18"/>
      <c r="F609" s="17"/>
      <c r="G609" s="17"/>
      <c r="H609" s="17"/>
      <c r="I609" s="17"/>
      <c r="J609" s="17"/>
      <c r="K609" s="17"/>
      <c r="L609" s="17"/>
      <c r="M609" s="17"/>
    </row>
    <row r="610" spans="1:13" s="2" customFormat="1" x14ac:dyDescent="0.25">
      <c r="A610" s="6"/>
      <c r="D610" s="17"/>
      <c r="E610" s="18"/>
      <c r="F610" s="17"/>
      <c r="G610" s="17"/>
      <c r="H610" s="17"/>
      <c r="I610" s="17"/>
      <c r="J610" s="17"/>
      <c r="K610" s="17"/>
      <c r="L610" s="17"/>
      <c r="M610" s="17"/>
    </row>
    <row r="611" spans="1:13" s="2" customFormat="1" x14ac:dyDescent="0.25">
      <c r="A611" s="6"/>
      <c r="D611" s="17"/>
      <c r="E611" s="18"/>
      <c r="F611" s="17"/>
      <c r="G611" s="17"/>
      <c r="H611" s="17"/>
      <c r="I611" s="17"/>
      <c r="J611" s="17"/>
      <c r="K611" s="17"/>
      <c r="L611" s="17"/>
      <c r="M611" s="17"/>
    </row>
    <row r="612" spans="1:13" s="2" customFormat="1" x14ac:dyDescent="0.25">
      <c r="A612" s="6"/>
      <c r="D612" s="17"/>
      <c r="E612" s="18"/>
      <c r="F612" s="17"/>
      <c r="G612" s="17"/>
      <c r="H612" s="17"/>
      <c r="I612" s="17"/>
      <c r="J612" s="17"/>
      <c r="K612" s="17"/>
      <c r="L612" s="17"/>
      <c r="M612" s="17"/>
    </row>
    <row r="613" spans="1:13" s="2" customFormat="1" x14ac:dyDescent="0.25">
      <c r="A613" s="6"/>
      <c r="D613" s="17"/>
      <c r="E613" s="18"/>
      <c r="F613" s="17"/>
      <c r="G613" s="17"/>
      <c r="H613" s="17"/>
      <c r="I613" s="17"/>
      <c r="J613" s="17"/>
      <c r="K613" s="17"/>
      <c r="L613" s="17"/>
      <c r="M613" s="17"/>
    </row>
    <row r="614" spans="1:13" s="2" customFormat="1" x14ac:dyDescent="0.25">
      <c r="A614" s="6"/>
      <c r="D614" s="17"/>
      <c r="E614" s="18"/>
      <c r="F614" s="17"/>
      <c r="G614" s="17"/>
      <c r="H614" s="17"/>
      <c r="I614" s="17"/>
      <c r="J614" s="17"/>
      <c r="K614" s="17"/>
      <c r="L614" s="17"/>
      <c r="M614" s="17"/>
    </row>
    <row r="615" spans="1:13" s="2" customFormat="1" x14ac:dyDescent="0.25">
      <c r="A615" s="6"/>
      <c r="D615" s="17"/>
      <c r="E615" s="18"/>
      <c r="F615" s="17"/>
      <c r="G615" s="17"/>
      <c r="H615" s="17"/>
      <c r="I615" s="17"/>
      <c r="J615" s="17"/>
      <c r="K615" s="17"/>
      <c r="L615" s="17"/>
      <c r="M615" s="17"/>
    </row>
    <row r="616" spans="1:13" s="2" customFormat="1" x14ac:dyDescent="0.25">
      <c r="A616" s="6"/>
      <c r="D616" s="17"/>
      <c r="E616" s="18"/>
      <c r="F616" s="17"/>
      <c r="G616" s="17"/>
      <c r="H616" s="17"/>
      <c r="I616" s="17"/>
      <c r="J616" s="17"/>
      <c r="K616" s="17"/>
      <c r="L616" s="17"/>
      <c r="M616" s="17"/>
    </row>
    <row r="617" spans="1:13" s="2" customFormat="1" x14ac:dyDescent="0.25">
      <c r="A617" s="6"/>
      <c r="D617" s="17"/>
      <c r="E617" s="18"/>
      <c r="F617" s="17"/>
      <c r="G617" s="17"/>
      <c r="H617" s="17"/>
      <c r="I617" s="17"/>
      <c r="J617" s="17"/>
      <c r="K617" s="17"/>
      <c r="L617" s="17"/>
      <c r="M617" s="17"/>
    </row>
    <row r="618" spans="1:13" s="2" customFormat="1" x14ac:dyDescent="0.25">
      <c r="A618" s="6"/>
      <c r="D618" s="17"/>
      <c r="E618" s="18"/>
      <c r="F618" s="17"/>
      <c r="G618" s="17"/>
      <c r="H618" s="17"/>
      <c r="I618" s="17"/>
      <c r="J618" s="17"/>
      <c r="K618" s="17"/>
      <c r="L618" s="17"/>
      <c r="M618" s="17"/>
    </row>
    <row r="619" spans="1:13" s="2" customFormat="1" x14ac:dyDescent="0.25">
      <c r="A619" s="6"/>
      <c r="D619" s="17"/>
      <c r="E619" s="18"/>
      <c r="F619" s="17"/>
      <c r="G619" s="17"/>
      <c r="H619" s="17"/>
      <c r="I619" s="17"/>
      <c r="J619" s="17"/>
      <c r="K619" s="17"/>
      <c r="L619" s="17"/>
      <c r="M619" s="17"/>
    </row>
    <row r="620" spans="1:13" s="2" customFormat="1" x14ac:dyDescent="0.25">
      <c r="A620" s="6"/>
      <c r="D620" s="17"/>
      <c r="E620" s="18"/>
      <c r="F620" s="17"/>
      <c r="G620" s="17"/>
      <c r="H620" s="17"/>
      <c r="I620" s="17"/>
      <c r="J620" s="17"/>
      <c r="K620" s="17"/>
      <c r="L620" s="17"/>
      <c r="M620" s="17"/>
    </row>
    <row r="621" spans="1:13" s="2" customFormat="1" x14ac:dyDescent="0.25">
      <c r="A621" s="6"/>
      <c r="D621" s="17"/>
      <c r="E621" s="18"/>
      <c r="F621" s="17"/>
      <c r="G621" s="17"/>
      <c r="H621" s="17"/>
      <c r="I621" s="17"/>
      <c r="J621" s="17"/>
      <c r="K621" s="17"/>
      <c r="L621" s="17"/>
      <c r="M621" s="17"/>
    </row>
    <row r="622" spans="1:13" s="2" customFormat="1" x14ac:dyDescent="0.25">
      <c r="A622" s="6"/>
      <c r="D622" s="17"/>
      <c r="E622" s="18"/>
      <c r="F622" s="17"/>
      <c r="G622" s="17"/>
      <c r="H622" s="17"/>
      <c r="I622" s="17"/>
      <c r="J622" s="17"/>
      <c r="K622" s="17"/>
      <c r="L622" s="17"/>
      <c r="M622" s="17"/>
    </row>
    <row r="623" spans="1:13" s="2" customFormat="1" x14ac:dyDescent="0.25">
      <c r="A623" s="6"/>
      <c r="D623" s="17"/>
      <c r="E623" s="18"/>
      <c r="F623" s="17"/>
      <c r="G623" s="17"/>
      <c r="H623" s="17"/>
      <c r="I623" s="17"/>
      <c r="J623" s="17"/>
      <c r="K623" s="17"/>
      <c r="L623" s="17"/>
      <c r="M623" s="17"/>
    </row>
    <row r="624" spans="1:13" s="2" customFormat="1" x14ac:dyDescent="0.25">
      <c r="A624" s="6"/>
      <c r="D624" s="17"/>
      <c r="E624" s="18"/>
      <c r="F624" s="17"/>
      <c r="G624" s="17"/>
      <c r="H624" s="17"/>
      <c r="I624" s="17"/>
      <c r="J624" s="17"/>
      <c r="K624" s="17"/>
      <c r="L624" s="17"/>
      <c r="M624" s="17"/>
    </row>
    <row r="625" spans="1:13" s="2" customFormat="1" x14ac:dyDescent="0.25">
      <c r="A625" s="6"/>
      <c r="D625" s="17"/>
      <c r="E625" s="18"/>
      <c r="F625" s="17"/>
      <c r="G625" s="17"/>
      <c r="H625" s="17"/>
      <c r="I625" s="17"/>
      <c r="J625" s="17"/>
      <c r="K625" s="17"/>
      <c r="L625" s="17"/>
      <c r="M625" s="17"/>
    </row>
    <row r="626" spans="1:13" s="2" customFormat="1" x14ac:dyDescent="0.25">
      <c r="A626" s="6"/>
      <c r="D626" s="17"/>
      <c r="E626" s="18"/>
      <c r="F626" s="17"/>
      <c r="G626" s="17"/>
      <c r="H626" s="17"/>
      <c r="I626" s="17"/>
      <c r="J626" s="17"/>
      <c r="K626" s="17"/>
      <c r="L626" s="17"/>
      <c r="M626" s="17"/>
    </row>
    <row r="627" spans="1:13" s="2" customFormat="1" x14ac:dyDescent="0.25">
      <c r="A627" s="6"/>
      <c r="D627" s="17"/>
      <c r="E627" s="18"/>
      <c r="F627" s="17"/>
      <c r="G627" s="17"/>
      <c r="H627" s="17"/>
      <c r="I627" s="17"/>
      <c r="J627" s="17"/>
      <c r="K627" s="17"/>
      <c r="L627" s="17"/>
      <c r="M627" s="17"/>
    </row>
    <row r="628" spans="1:13" s="2" customFormat="1" x14ac:dyDescent="0.25">
      <c r="A628" s="6"/>
      <c r="D628" s="17"/>
      <c r="E628" s="18"/>
      <c r="F628" s="17"/>
      <c r="G628" s="17"/>
      <c r="H628" s="17"/>
      <c r="I628" s="17"/>
      <c r="J628" s="17"/>
      <c r="K628" s="17"/>
      <c r="L628" s="17"/>
      <c r="M628" s="17"/>
    </row>
    <row r="629" spans="1:13" s="2" customFormat="1" x14ac:dyDescent="0.25">
      <c r="A629" s="6"/>
      <c r="D629" s="17"/>
      <c r="E629" s="18"/>
      <c r="F629" s="17"/>
      <c r="G629" s="17"/>
      <c r="H629" s="17"/>
      <c r="I629" s="17"/>
      <c r="J629" s="17"/>
      <c r="K629" s="17"/>
      <c r="L629" s="17"/>
      <c r="M629" s="17"/>
    </row>
    <row r="630" spans="1:13" s="2" customFormat="1" x14ac:dyDescent="0.25">
      <c r="A630" s="6"/>
      <c r="D630" s="17"/>
      <c r="E630" s="18"/>
      <c r="F630" s="17"/>
      <c r="G630" s="17"/>
      <c r="H630" s="17"/>
      <c r="I630" s="17"/>
      <c r="J630" s="17"/>
      <c r="K630" s="17"/>
      <c r="L630" s="17"/>
      <c r="M630" s="17"/>
    </row>
    <row r="631" spans="1:13" s="2" customFormat="1" x14ac:dyDescent="0.25">
      <c r="A631" s="6"/>
      <c r="D631" s="17"/>
      <c r="E631" s="18"/>
      <c r="F631" s="17"/>
      <c r="G631" s="17"/>
      <c r="H631" s="17"/>
      <c r="I631" s="17"/>
      <c r="J631" s="17"/>
      <c r="K631" s="17"/>
      <c r="L631" s="17"/>
      <c r="M631" s="17"/>
    </row>
    <row r="632" spans="1:13" s="2" customFormat="1" x14ac:dyDescent="0.25">
      <c r="A632" s="6"/>
      <c r="D632" s="17"/>
      <c r="E632" s="18"/>
      <c r="F632" s="17"/>
      <c r="G632" s="17"/>
      <c r="H632" s="17"/>
      <c r="I632" s="17"/>
      <c r="J632" s="17"/>
      <c r="K632" s="17"/>
      <c r="L632" s="17"/>
      <c r="M632" s="17"/>
    </row>
    <row r="633" spans="1:13" s="2" customFormat="1" x14ac:dyDescent="0.25">
      <c r="A633" s="6"/>
      <c r="D633" s="17"/>
      <c r="E633" s="18"/>
      <c r="F633" s="17"/>
      <c r="G633" s="17"/>
      <c r="H633" s="17"/>
      <c r="I633" s="17"/>
      <c r="J633" s="17"/>
      <c r="K633" s="17"/>
      <c r="L633" s="17"/>
      <c r="M633" s="17"/>
    </row>
    <row r="634" spans="1:13" s="2" customFormat="1" x14ac:dyDescent="0.25">
      <c r="A634" s="6"/>
      <c r="D634" s="17"/>
      <c r="E634" s="18"/>
      <c r="F634" s="17"/>
      <c r="G634" s="17"/>
      <c r="H634" s="17"/>
      <c r="I634" s="17"/>
      <c r="J634" s="17"/>
      <c r="K634" s="17"/>
      <c r="L634" s="17"/>
      <c r="M634" s="17"/>
    </row>
    <row r="635" spans="1:13" s="2" customFormat="1" x14ac:dyDescent="0.25">
      <c r="A635" s="6"/>
      <c r="D635" s="17"/>
      <c r="E635" s="18"/>
      <c r="F635" s="17"/>
      <c r="G635" s="17"/>
      <c r="H635" s="17"/>
      <c r="I635" s="17"/>
      <c r="J635" s="17"/>
      <c r="K635" s="17"/>
      <c r="L635" s="17"/>
      <c r="M635" s="17"/>
    </row>
    <row r="636" spans="1:13" s="2" customFormat="1" x14ac:dyDescent="0.25">
      <c r="A636" s="6"/>
      <c r="D636" s="17"/>
      <c r="E636" s="18"/>
      <c r="F636" s="17"/>
      <c r="G636" s="17"/>
      <c r="H636" s="17"/>
      <c r="I636" s="17"/>
      <c r="J636" s="17"/>
      <c r="K636" s="17"/>
      <c r="L636" s="17"/>
      <c r="M636" s="17"/>
    </row>
    <row r="637" spans="1:13" s="2" customFormat="1" x14ac:dyDescent="0.25">
      <c r="A637" s="6"/>
      <c r="D637" s="17"/>
      <c r="E637" s="18"/>
      <c r="F637" s="17"/>
      <c r="G637" s="17"/>
      <c r="H637" s="17"/>
      <c r="I637" s="17"/>
      <c r="J637" s="17"/>
      <c r="K637" s="17"/>
      <c r="L637" s="17"/>
      <c r="M637" s="17"/>
    </row>
    <row r="638" spans="1:13" s="2" customFormat="1" x14ac:dyDescent="0.25">
      <c r="A638" s="6"/>
      <c r="D638" s="17"/>
      <c r="E638" s="18"/>
      <c r="F638" s="17"/>
      <c r="G638" s="17"/>
      <c r="H638" s="17"/>
      <c r="I638" s="17"/>
      <c r="J638" s="17"/>
      <c r="K638" s="17"/>
      <c r="L638" s="17"/>
      <c r="M638" s="17"/>
    </row>
    <row r="639" spans="1:13" s="2" customFormat="1" x14ac:dyDescent="0.25">
      <c r="A639" s="6"/>
      <c r="D639" s="17"/>
      <c r="E639" s="18"/>
      <c r="F639" s="17"/>
      <c r="G639" s="17"/>
      <c r="H639" s="17"/>
      <c r="I639" s="17"/>
      <c r="J639" s="17"/>
      <c r="K639" s="17"/>
      <c r="L639" s="17"/>
      <c r="M639" s="17"/>
    </row>
    <row r="640" spans="1:13" s="2" customFormat="1" x14ac:dyDescent="0.25">
      <c r="A640" s="6"/>
      <c r="D640" s="17"/>
      <c r="E640" s="18"/>
      <c r="F640" s="17"/>
      <c r="G640" s="17"/>
      <c r="H640" s="17"/>
      <c r="I640" s="17"/>
      <c r="J640" s="17"/>
      <c r="K640" s="17"/>
      <c r="L640" s="17"/>
      <c r="M640" s="17"/>
    </row>
    <row r="641" spans="1:13" s="2" customFormat="1" x14ac:dyDescent="0.25">
      <c r="A641" s="6"/>
      <c r="D641" s="17"/>
      <c r="E641" s="18"/>
      <c r="F641" s="17"/>
      <c r="G641" s="17"/>
      <c r="H641" s="17"/>
      <c r="I641" s="17"/>
      <c r="J641" s="17"/>
      <c r="K641" s="17"/>
      <c r="L641" s="17"/>
      <c r="M641" s="17"/>
    </row>
    <row r="642" spans="1:13" s="2" customFormat="1" x14ac:dyDescent="0.25">
      <c r="A642" s="6"/>
      <c r="D642" s="17"/>
      <c r="E642" s="18"/>
      <c r="F642" s="17"/>
      <c r="G642" s="17"/>
      <c r="H642" s="17"/>
      <c r="I642" s="17"/>
      <c r="J642" s="17"/>
      <c r="K642" s="17"/>
      <c r="L642" s="17"/>
      <c r="M642" s="17"/>
    </row>
    <row r="643" spans="1:13" s="2" customFormat="1" x14ac:dyDescent="0.25">
      <c r="A643" s="6"/>
      <c r="D643" s="17"/>
      <c r="E643" s="18"/>
      <c r="F643" s="17"/>
      <c r="G643" s="17"/>
      <c r="H643" s="17"/>
      <c r="I643" s="17"/>
      <c r="J643" s="17"/>
      <c r="K643" s="17"/>
      <c r="L643" s="17"/>
      <c r="M643" s="17"/>
    </row>
    <row r="644" spans="1:13" s="2" customFormat="1" x14ac:dyDescent="0.25">
      <c r="A644" s="6"/>
      <c r="D644" s="17"/>
      <c r="E644" s="18"/>
      <c r="F644" s="17"/>
      <c r="G644" s="17"/>
      <c r="H644" s="17"/>
      <c r="I644" s="17"/>
      <c r="J644" s="17"/>
      <c r="K644" s="17"/>
      <c r="L644" s="17"/>
      <c r="M644" s="17"/>
    </row>
    <row r="645" spans="1:13" s="2" customFormat="1" x14ac:dyDescent="0.25">
      <c r="A645" s="6"/>
      <c r="D645" s="17"/>
      <c r="E645" s="18"/>
      <c r="F645" s="17"/>
      <c r="G645" s="17"/>
      <c r="H645" s="17"/>
      <c r="I645" s="17"/>
      <c r="J645" s="17"/>
      <c r="K645" s="17"/>
      <c r="L645" s="17"/>
      <c r="M645" s="17"/>
    </row>
    <row r="646" spans="1:13" s="2" customFormat="1" x14ac:dyDescent="0.25">
      <c r="A646" s="6"/>
      <c r="D646" s="17"/>
      <c r="E646" s="18"/>
      <c r="F646" s="17"/>
      <c r="G646" s="17"/>
      <c r="H646" s="17"/>
      <c r="I646" s="17"/>
      <c r="J646" s="17"/>
      <c r="K646" s="17"/>
      <c r="L646" s="17"/>
      <c r="M646" s="17"/>
    </row>
    <row r="647" spans="1:13" s="2" customFormat="1" x14ac:dyDescent="0.25">
      <c r="A647" s="6"/>
      <c r="D647" s="17"/>
      <c r="E647" s="18"/>
      <c r="F647" s="17"/>
      <c r="G647" s="17"/>
      <c r="H647" s="17"/>
      <c r="I647" s="17"/>
      <c r="J647" s="17"/>
      <c r="K647" s="17"/>
      <c r="L647" s="17"/>
      <c r="M647" s="17"/>
    </row>
    <row r="648" spans="1:13" s="2" customFormat="1" x14ac:dyDescent="0.25">
      <c r="A648" s="6"/>
      <c r="D648" s="17"/>
      <c r="E648" s="18"/>
      <c r="F648" s="17"/>
      <c r="G648" s="17"/>
      <c r="H648" s="17"/>
      <c r="I648" s="17"/>
      <c r="J648" s="17"/>
      <c r="K648" s="17"/>
      <c r="L648" s="17"/>
      <c r="M648" s="17"/>
    </row>
    <row r="649" spans="1:13" s="2" customFormat="1" x14ac:dyDescent="0.25">
      <c r="A649" s="6"/>
      <c r="D649" s="17"/>
      <c r="E649" s="18"/>
      <c r="F649" s="17"/>
      <c r="G649" s="17"/>
      <c r="H649" s="17"/>
      <c r="I649" s="17"/>
      <c r="J649" s="17"/>
      <c r="K649" s="17"/>
      <c r="L649" s="17"/>
      <c r="M649" s="17"/>
    </row>
    <row r="650" spans="1:13" s="2" customFormat="1" x14ac:dyDescent="0.25">
      <c r="A650" s="6"/>
      <c r="D650" s="17"/>
      <c r="E650" s="18"/>
      <c r="F650" s="17"/>
      <c r="G650" s="17"/>
      <c r="H650" s="17"/>
      <c r="I650" s="17"/>
      <c r="J650" s="17"/>
      <c r="K650" s="17"/>
      <c r="L650" s="17"/>
      <c r="M650" s="17"/>
    </row>
    <row r="651" spans="1:13" s="2" customFormat="1" x14ac:dyDescent="0.25">
      <c r="A651" s="6"/>
      <c r="D651" s="17"/>
      <c r="E651" s="18"/>
      <c r="F651" s="17"/>
      <c r="G651" s="17"/>
      <c r="H651" s="17"/>
      <c r="I651" s="17"/>
      <c r="J651" s="17"/>
      <c r="K651" s="17"/>
      <c r="L651" s="17"/>
      <c r="M651" s="17"/>
    </row>
    <row r="652" spans="1:13" s="2" customFormat="1" x14ac:dyDescent="0.25">
      <c r="A652" s="6"/>
      <c r="D652" s="17"/>
      <c r="E652" s="18"/>
      <c r="F652" s="17"/>
      <c r="G652" s="17"/>
      <c r="H652" s="17"/>
      <c r="I652" s="17"/>
      <c r="J652" s="17"/>
      <c r="K652" s="17"/>
      <c r="L652" s="17"/>
      <c r="M652" s="17"/>
    </row>
    <row r="653" spans="1:13" s="2" customFormat="1" x14ac:dyDescent="0.25">
      <c r="A653" s="6"/>
      <c r="D653" s="17"/>
      <c r="E653" s="18"/>
      <c r="F653" s="17"/>
      <c r="G653" s="17"/>
      <c r="H653" s="17"/>
      <c r="I653" s="17"/>
      <c r="J653" s="17"/>
      <c r="K653" s="17"/>
      <c r="L653" s="17"/>
      <c r="M653" s="17"/>
    </row>
    <row r="654" spans="1:13" s="2" customFormat="1" x14ac:dyDescent="0.25">
      <c r="A654" s="6"/>
      <c r="D654" s="17"/>
      <c r="E654" s="18"/>
      <c r="F654" s="17"/>
      <c r="G654" s="17"/>
      <c r="H654" s="17"/>
      <c r="I654" s="17"/>
      <c r="J654" s="17"/>
      <c r="K654" s="17"/>
      <c r="L654" s="17"/>
      <c r="M654" s="17"/>
    </row>
    <row r="655" spans="1:13" s="2" customFormat="1" x14ac:dyDescent="0.25">
      <c r="A655" s="6"/>
      <c r="D655" s="17"/>
      <c r="E655" s="18"/>
      <c r="F655" s="17"/>
      <c r="G655" s="17"/>
      <c r="H655" s="17"/>
      <c r="I655" s="17"/>
      <c r="J655" s="17"/>
      <c r="K655" s="17"/>
      <c r="L655" s="17"/>
      <c r="M655" s="17"/>
    </row>
    <row r="656" spans="1:13" s="2" customFormat="1" x14ac:dyDescent="0.25">
      <c r="A656" s="6"/>
      <c r="D656" s="17"/>
      <c r="E656" s="18"/>
      <c r="F656" s="17"/>
      <c r="G656" s="17"/>
      <c r="H656" s="17"/>
      <c r="I656" s="17"/>
      <c r="J656" s="17"/>
      <c r="K656" s="17"/>
      <c r="L656" s="17"/>
      <c r="M656" s="17"/>
    </row>
    <row r="657" spans="1:13" s="2" customFormat="1" x14ac:dyDescent="0.25">
      <c r="A657" s="6"/>
      <c r="D657" s="17"/>
      <c r="E657" s="18"/>
      <c r="F657" s="17"/>
      <c r="G657" s="17"/>
      <c r="H657" s="17"/>
      <c r="I657" s="17"/>
      <c r="J657" s="17"/>
      <c r="K657" s="17"/>
      <c r="L657" s="17"/>
      <c r="M657" s="17"/>
    </row>
    <row r="658" spans="1:13" s="2" customFormat="1" x14ac:dyDescent="0.25">
      <c r="A658" s="6"/>
      <c r="D658" s="17"/>
      <c r="E658" s="18"/>
      <c r="F658" s="17"/>
      <c r="G658" s="17"/>
      <c r="H658" s="17"/>
      <c r="I658" s="17"/>
      <c r="J658" s="17"/>
      <c r="K658" s="17"/>
      <c r="L658" s="17"/>
      <c r="M658" s="17"/>
    </row>
    <row r="659" spans="1:13" s="2" customFormat="1" x14ac:dyDescent="0.25">
      <c r="A659" s="6"/>
      <c r="D659" s="17"/>
      <c r="E659" s="18"/>
      <c r="F659" s="17"/>
      <c r="G659" s="17"/>
      <c r="H659" s="17"/>
      <c r="I659" s="17"/>
      <c r="J659" s="17"/>
      <c r="K659" s="17"/>
      <c r="L659" s="17"/>
      <c r="M659" s="17"/>
    </row>
    <row r="660" spans="1:13" s="2" customFormat="1" x14ac:dyDescent="0.25">
      <c r="A660" s="6"/>
      <c r="D660" s="17"/>
      <c r="E660" s="18"/>
      <c r="F660" s="17"/>
      <c r="G660" s="17"/>
      <c r="H660" s="17"/>
      <c r="I660" s="17"/>
      <c r="J660" s="17"/>
      <c r="K660" s="17"/>
      <c r="L660" s="17"/>
      <c r="M660" s="17"/>
    </row>
    <row r="661" spans="1:13" s="2" customFormat="1" x14ac:dyDescent="0.25">
      <c r="A661" s="6"/>
      <c r="D661" s="17"/>
      <c r="E661" s="18"/>
      <c r="F661" s="17"/>
      <c r="G661" s="17"/>
      <c r="H661" s="17"/>
      <c r="I661" s="17"/>
      <c r="J661" s="17"/>
      <c r="K661" s="17"/>
      <c r="L661" s="17"/>
      <c r="M661" s="17"/>
    </row>
    <row r="662" spans="1:13" s="2" customFormat="1" x14ac:dyDescent="0.25">
      <c r="A662" s="6"/>
      <c r="D662" s="17"/>
      <c r="E662" s="18"/>
      <c r="F662" s="17"/>
      <c r="G662" s="17"/>
      <c r="H662" s="17"/>
      <c r="I662" s="17"/>
      <c r="J662" s="17"/>
      <c r="K662" s="17"/>
      <c r="L662" s="17"/>
      <c r="M662" s="17"/>
    </row>
    <row r="663" spans="1:13" s="2" customFormat="1" x14ac:dyDescent="0.25">
      <c r="A663" s="6"/>
      <c r="D663" s="17"/>
      <c r="E663" s="18"/>
      <c r="F663" s="17"/>
      <c r="G663" s="17"/>
      <c r="H663" s="17"/>
      <c r="I663" s="17"/>
      <c r="J663" s="17"/>
      <c r="K663" s="17"/>
      <c r="L663" s="17"/>
      <c r="M663" s="17"/>
    </row>
    <row r="664" spans="1:13" s="2" customFormat="1" x14ac:dyDescent="0.25">
      <c r="A664" s="6"/>
      <c r="D664" s="17"/>
      <c r="E664" s="18"/>
      <c r="F664" s="17"/>
      <c r="G664" s="17"/>
      <c r="H664" s="17"/>
      <c r="I664" s="17"/>
      <c r="J664" s="17"/>
      <c r="K664" s="17"/>
      <c r="L664" s="17"/>
      <c r="M664" s="17"/>
    </row>
    <row r="665" spans="1:13" s="2" customFormat="1" x14ac:dyDescent="0.25">
      <c r="A665" s="6"/>
      <c r="D665" s="17"/>
      <c r="E665" s="18"/>
      <c r="F665" s="17"/>
      <c r="G665" s="17"/>
      <c r="H665" s="17"/>
      <c r="I665" s="17"/>
      <c r="J665" s="17"/>
      <c r="K665" s="17"/>
      <c r="L665" s="17"/>
      <c r="M665" s="17"/>
    </row>
    <row r="666" spans="1:13" s="2" customFormat="1" x14ac:dyDescent="0.25">
      <c r="A666" s="6"/>
      <c r="D666" s="17"/>
      <c r="E666" s="18"/>
      <c r="F666" s="17"/>
      <c r="G666" s="17"/>
      <c r="H666" s="17"/>
      <c r="I666" s="17"/>
      <c r="J666" s="17"/>
      <c r="K666" s="17"/>
      <c r="L666" s="17"/>
      <c r="M666" s="17"/>
    </row>
    <row r="667" spans="1:13" s="2" customFormat="1" x14ac:dyDescent="0.25">
      <c r="A667" s="6"/>
      <c r="D667" s="17"/>
      <c r="E667" s="18"/>
      <c r="F667" s="17"/>
      <c r="G667" s="17"/>
      <c r="H667" s="17"/>
      <c r="I667" s="17"/>
      <c r="J667" s="17"/>
      <c r="K667" s="17"/>
      <c r="L667" s="17"/>
      <c r="M667" s="17"/>
    </row>
    <row r="668" spans="1:13" s="2" customFormat="1" x14ac:dyDescent="0.25">
      <c r="A668" s="6"/>
      <c r="D668" s="17"/>
      <c r="E668" s="18"/>
      <c r="F668" s="17"/>
      <c r="G668" s="17"/>
      <c r="H668" s="17"/>
      <c r="I668" s="17"/>
      <c r="J668" s="17"/>
      <c r="K668" s="17"/>
      <c r="L668" s="17"/>
      <c r="M668" s="17"/>
    </row>
    <row r="669" spans="1:13" s="2" customFormat="1" x14ac:dyDescent="0.25">
      <c r="A669" s="6"/>
      <c r="D669" s="17"/>
      <c r="E669" s="18"/>
      <c r="F669" s="17"/>
      <c r="G669" s="17"/>
      <c r="H669" s="17"/>
      <c r="I669" s="17"/>
      <c r="J669" s="17"/>
      <c r="K669" s="17"/>
      <c r="L669" s="17"/>
      <c r="M669" s="17"/>
    </row>
    <row r="670" spans="1:13" s="2" customFormat="1" x14ac:dyDescent="0.25">
      <c r="A670" s="6"/>
      <c r="D670" s="17"/>
      <c r="E670" s="18"/>
      <c r="F670" s="17"/>
      <c r="G670" s="17"/>
      <c r="H670" s="17"/>
      <c r="I670" s="17"/>
      <c r="J670" s="17"/>
      <c r="K670" s="17"/>
      <c r="L670" s="17"/>
      <c r="M670" s="17"/>
    </row>
    <row r="671" spans="1:13" s="2" customFormat="1" x14ac:dyDescent="0.25">
      <c r="A671" s="6"/>
      <c r="D671" s="17"/>
      <c r="E671" s="18"/>
      <c r="F671" s="17"/>
      <c r="G671" s="17"/>
      <c r="H671" s="17"/>
      <c r="I671" s="17"/>
      <c r="J671" s="17"/>
      <c r="K671" s="17"/>
      <c r="L671" s="17"/>
      <c r="M671" s="17"/>
    </row>
    <row r="672" spans="1:13" s="2" customFormat="1" x14ac:dyDescent="0.25">
      <c r="A672" s="6"/>
      <c r="D672" s="17"/>
      <c r="E672" s="18"/>
      <c r="F672" s="17"/>
      <c r="G672" s="17"/>
      <c r="H672" s="17"/>
      <c r="I672" s="17"/>
      <c r="J672" s="17"/>
      <c r="K672" s="17"/>
      <c r="L672" s="17"/>
      <c r="M672" s="17"/>
    </row>
    <row r="673" spans="1:13" s="2" customFormat="1" x14ac:dyDescent="0.25">
      <c r="A673" s="6"/>
      <c r="D673" s="17"/>
      <c r="E673" s="18"/>
      <c r="F673" s="17"/>
      <c r="G673" s="17"/>
      <c r="H673" s="17"/>
      <c r="I673" s="17"/>
      <c r="J673" s="17"/>
      <c r="K673" s="17"/>
      <c r="L673" s="17"/>
      <c r="M673" s="17"/>
    </row>
    <row r="674" spans="1:13" s="2" customFormat="1" x14ac:dyDescent="0.25">
      <c r="A674" s="6"/>
      <c r="D674" s="17"/>
      <c r="E674" s="18"/>
      <c r="F674" s="17"/>
      <c r="G674" s="17"/>
      <c r="H674" s="17"/>
      <c r="I674" s="17"/>
      <c r="J674" s="17"/>
      <c r="K674" s="17"/>
      <c r="L674" s="17"/>
      <c r="M674" s="17"/>
    </row>
    <row r="675" spans="1:13" s="2" customFormat="1" x14ac:dyDescent="0.25">
      <c r="A675" s="6"/>
      <c r="D675" s="17"/>
      <c r="E675" s="18"/>
      <c r="F675" s="17"/>
      <c r="G675" s="17"/>
      <c r="H675" s="17"/>
      <c r="I675" s="17"/>
      <c r="J675" s="17"/>
      <c r="K675" s="17"/>
      <c r="L675" s="17"/>
      <c r="M675" s="17"/>
    </row>
    <row r="676" spans="1:13" s="2" customFormat="1" x14ac:dyDescent="0.25">
      <c r="A676" s="6"/>
      <c r="D676" s="17"/>
      <c r="E676" s="18"/>
      <c r="F676" s="17"/>
      <c r="G676" s="17"/>
      <c r="H676" s="17"/>
      <c r="I676" s="17"/>
      <c r="J676" s="17"/>
      <c r="K676" s="17"/>
      <c r="L676" s="17"/>
      <c r="M676" s="17"/>
    </row>
    <row r="677" spans="1:13" s="2" customFormat="1" x14ac:dyDescent="0.25">
      <c r="A677" s="6"/>
      <c r="D677" s="17"/>
      <c r="E677" s="18"/>
      <c r="F677" s="17"/>
      <c r="G677" s="17"/>
      <c r="H677" s="17"/>
      <c r="I677" s="17"/>
      <c r="J677" s="17"/>
      <c r="K677" s="17"/>
      <c r="L677" s="17"/>
      <c r="M677" s="17"/>
    </row>
    <row r="678" spans="1:13" s="2" customFormat="1" x14ac:dyDescent="0.25">
      <c r="A678" s="6"/>
      <c r="D678" s="17"/>
      <c r="E678" s="18"/>
      <c r="F678" s="17"/>
      <c r="G678" s="17"/>
      <c r="H678" s="17"/>
      <c r="I678" s="17"/>
      <c r="J678" s="17"/>
      <c r="K678" s="17"/>
      <c r="L678" s="17"/>
      <c r="M678" s="17"/>
    </row>
    <row r="679" spans="1:13" s="2" customFormat="1" x14ac:dyDescent="0.25">
      <c r="A679" s="6"/>
      <c r="D679" s="17"/>
      <c r="E679" s="18"/>
      <c r="F679" s="17"/>
      <c r="G679" s="17"/>
      <c r="H679" s="17"/>
      <c r="I679" s="17"/>
      <c r="J679" s="17"/>
      <c r="K679" s="17"/>
      <c r="L679" s="17"/>
      <c r="M679" s="17"/>
    </row>
    <row r="680" spans="1:13" s="2" customFormat="1" x14ac:dyDescent="0.25">
      <c r="A680" s="6"/>
      <c r="D680" s="17"/>
      <c r="E680" s="18"/>
      <c r="F680" s="17"/>
      <c r="G680" s="17"/>
      <c r="H680" s="17"/>
      <c r="I680" s="17"/>
      <c r="J680" s="17"/>
      <c r="K680" s="17"/>
      <c r="L680" s="17"/>
      <c r="M680" s="17"/>
    </row>
    <row r="681" spans="1:13" s="2" customFormat="1" x14ac:dyDescent="0.25">
      <c r="A681" s="6"/>
      <c r="D681" s="17"/>
      <c r="E681" s="18"/>
      <c r="F681" s="17"/>
      <c r="G681" s="17"/>
      <c r="H681" s="17"/>
      <c r="I681" s="17"/>
      <c r="J681" s="17"/>
      <c r="K681" s="17"/>
      <c r="L681" s="17"/>
      <c r="M681" s="17"/>
    </row>
    <row r="682" spans="1:13" s="2" customFormat="1" x14ac:dyDescent="0.25">
      <c r="A682" s="6"/>
      <c r="D682" s="17"/>
      <c r="E682" s="18"/>
      <c r="F682" s="17"/>
      <c r="G682" s="17"/>
      <c r="H682" s="17"/>
      <c r="I682" s="17"/>
      <c r="J682" s="17"/>
      <c r="K682" s="17"/>
      <c r="L682" s="17"/>
      <c r="M682" s="17"/>
    </row>
    <row r="683" spans="1:13" s="2" customFormat="1" x14ac:dyDescent="0.25">
      <c r="A683" s="6"/>
      <c r="D683" s="17"/>
      <c r="E683" s="18"/>
      <c r="F683" s="17"/>
      <c r="G683" s="17"/>
      <c r="H683" s="17"/>
      <c r="I683" s="17"/>
      <c r="J683" s="17"/>
      <c r="K683" s="17"/>
      <c r="L683" s="17"/>
      <c r="M683" s="17"/>
    </row>
    <row r="684" spans="1:13" s="2" customFormat="1" x14ac:dyDescent="0.25">
      <c r="A684" s="6"/>
      <c r="D684" s="17"/>
      <c r="E684" s="18"/>
      <c r="F684" s="17"/>
      <c r="G684" s="17"/>
      <c r="H684" s="17"/>
      <c r="I684" s="17"/>
      <c r="J684" s="17"/>
      <c r="K684" s="17"/>
      <c r="L684" s="17"/>
      <c r="M684" s="17"/>
    </row>
    <row r="685" spans="1:13" s="2" customFormat="1" x14ac:dyDescent="0.25">
      <c r="A685" s="6"/>
      <c r="D685" s="17"/>
      <c r="E685" s="18"/>
      <c r="F685" s="17"/>
      <c r="G685" s="17"/>
      <c r="H685" s="17"/>
      <c r="I685" s="17"/>
      <c r="J685" s="17"/>
      <c r="K685" s="17"/>
      <c r="L685" s="17"/>
      <c r="M685" s="17"/>
    </row>
    <row r="686" spans="1:13" s="2" customFormat="1" x14ac:dyDescent="0.25">
      <c r="A686" s="6"/>
      <c r="D686" s="17"/>
      <c r="E686" s="18"/>
      <c r="F686" s="17"/>
      <c r="G686" s="17"/>
      <c r="H686" s="17"/>
      <c r="I686" s="17"/>
      <c r="J686" s="17"/>
      <c r="K686" s="17"/>
      <c r="L686" s="17"/>
      <c r="M686" s="17"/>
    </row>
    <row r="687" spans="1:13" s="2" customFormat="1" x14ac:dyDescent="0.25">
      <c r="A687" s="6"/>
      <c r="D687" s="17"/>
      <c r="E687" s="18"/>
      <c r="F687" s="17"/>
      <c r="G687" s="17"/>
      <c r="H687" s="17"/>
      <c r="I687" s="17"/>
      <c r="J687" s="17"/>
      <c r="K687" s="17"/>
      <c r="L687" s="17"/>
      <c r="M687" s="17"/>
    </row>
    <row r="688" spans="1:13" s="2" customFormat="1" x14ac:dyDescent="0.25">
      <c r="A688" s="6"/>
      <c r="D688" s="17"/>
      <c r="E688" s="18"/>
      <c r="F688" s="17"/>
      <c r="G688" s="17"/>
      <c r="H688" s="17"/>
      <c r="I688" s="17"/>
      <c r="J688" s="17"/>
      <c r="K688" s="17"/>
      <c r="L688" s="17"/>
      <c r="M688" s="17"/>
    </row>
    <row r="689" spans="1:13" s="2" customFormat="1" x14ac:dyDescent="0.25">
      <c r="A689" s="6"/>
      <c r="D689" s="17"/>
      <c r="E689" s="18"/>
      <c r="F689" s="17"/>
      <c r="G689" s="17"/>
      <c r="H689" s="17"/>
      <c r="I689" s="17"/>
      <c r="J689" s="17"/>
      <c r="K689" s="17"/>
      <c r="L689" s="17"/>
      <c r="M689" s="17"/>
    </row>
    <row r="690" spans="1:13" s="2" customFormat="1" x14ac:dyDescent="0.25">
      <c r="A690" s="6"/>
      <c r="D690" s="17"/>
      <c r="E690" s="18"/>
      <c r="F690" s="17"/>
      <c r="G690" s="17"/>
      <c r="H690" s="17"/>
      <c r="I690" s="17"/>
      <c r="J690" s="17"/>
      <c r="K690" s="17"/>
      <c r="L690" s="17"/>
      <c r="M690" s="17"/>
    </row>
    <row r="691" spans="1:13" s="2" customFormat="1" x14ac:dyDescent="0.25">
      <c r="A691" s="6"/>
      <c r="D691" s="17"/>
      <c r="E691" s="18"/>
      <c r="F691" s="17"/>
      <c r="G691" s="17"/>
      <c r="H691" s="17"/>
      <c r="I691" s="17"/>
      <c r="J691" s="17"/>
      <c r="K691" s="17"/>
      <c r="L691" s="17"/>
      <c r="M691" s="17"/>
    </row>
    <row r="692" spans="1:13" s="2" customFormat="1" x14ac:dyDescent="0.25">
      <c r="A692" s="6"/>
      <c r="D692" s="17"/>
      <c r="E692" s="18"/>
      <c r="F692" s="17"/>
      <c r="G692" s="17"/>
      <c r="H692" s="17"/>
      <c r="I692" s="17"/>
      <c r="J692" s="17"/>
      <c r="K692" s="17"/>
      <c r="L692" s="17"/>
      <c r="M692" s="17"/>
    </row>
    <row r="693" spans="1:13" s="2" customFormat="1" x14ac:dyDescent="0.25">
      <c r="A693" s="6"/>
      <c r="D693" s="17"/>
      <c r="E693" s="18"/>
      <c r="F693" s="17"/>
      <c r="G693" s="17"/>
      <c r="H693" s="17"/>
      <c r="I693" s="17"/>
      <c r="J693" s="17"/>
      <c r="K693" s="17"/>
      <c r="L693" s="17"/>
      <c r="M693" s="17"/>
    </row>
    <row r="694" spans="1:13" s="2" customFormat="1" x14ac:dyDescent="0.25">
      <c r="A694" s="6"/>
      <c r="D694" s="17"/>
      <c r="E694" s="18"/>
      <c r="F694" s="17"/>
      <c r="G694" s="17"/>
      <c r="H694" s="17"/>
      <c r="I694" s="17"/>
      <c r="J694" s="17"/>
      <c r="K694" s="17"/>
      <c r="L694" s="17"/>
      <c r="M694" s="17"/>
    </row>
    <row r="695" spans="1:13" s="2" customFormat="1" x14ac:dyDescent="0.25">
      <c r="A695" s="6"/>
      <c r="D695" s="17"/>
      <c r="E695" s="18"/>
      <c r="F695" s="17"/>
      <c r="G695" s="17"/>
      <c r="H695" s="17"/>
      <c r="I695" s="17"/>
      <c r="J695" s="17"/>
      <c r="K695" s="17"/>
      <c r="L695" s="17"/>
      <c r="M695" s="17"/>
    </row>
    <row r="696" spans="1:13" s="2" customFormat="1" x14ac:dyDescent="0.25">
      <c r="A696" s="6"/>
      <c r="D696" s="17"/>
      <c r="E696" s="18"/>
      <c r="F696" s="17"/>
      <c r="G696" s="17"/>
      <c r="H696" s="17"/>
      <c r="I696" s="17"/>
      <c r="J696" s="17"/>
      <c r="K696" s="17"/>
      <c r="L696" s="17"/>
      <c r="M696" s="17"/>
    </row>
    <row r="697" spans="1:13" s="2" customFormat="1" x14ac:dyDescent="0.25">
      <c r="A697" s="6"/>
      <c r="D697" s="17"/>
      <c r="E697" s="18"/>
      <c r="F697" s="17"/>
      <c r="G697" s="17"/>
      <c r="H697" s="17"/>
      <c r="I697" s="17"/>
      <c r="J697" s="17"/>
      <c r="K697" s="17"/>
      <c r="L697" s="17"/>
      <c r="M697" s="17"/>
    </row>
    <row r="698" spans="1:13" s="2" customFormat="1" x14ac:dyDescent="0.25">
      <c r="A698" s="6"/>
      <c r="D698" s="17"/>
      <c r="E698" s="18"/>
      <c r="F698" s="17"/>
      <c r="G698" s="17"/>
      <c r="H698" s="17"/>
      <c r="I698" s="17"/>
      <c r="J698" s="17"/>
      <c r="K698" s="17"/>
      <c r="L698" s="17"/>
      <c r="M698" s="17"/>
    </row>
    <row r="699" spans="1:13" s="2" customFormat="1" x14ac:dyDescent="0.25">
      <c r="A699" s="6"/>
      <c r="D699" s="17"/>
      <c r="E699" s="18"/>
      <c r="F699" s="17"/>
      <c r="G699" s="17"/>
      <c r="H699" s="17"/>
      <c r="I699" s="17"/>
      <c r="J699" s="17"/>
      <c r="K699" s="17"/>
      <c r="L699" s="17"/>
      <c r="M699" s="17"/>
    </row>
    <row r="700" spans="1:13" s="2" customFormat="1" x14ac:dyDescent="0.25">
      <c r="A700" s="6"/>
      <c r="D700" s="17"/>
      <c r="E700" s="18"/>
      <c r="F700" s="17"/>
      <c r="G700" s="17"/>
      <c r="H700" s="17"/>
      <c r="I700" s="17"/>
      <c r="J700" s="17"/>
      <c r="K700" s="17"/>
      <c r="L700" s="17"/>
      <c r="M700" s="17"/>
    </row>
    <row r="701" spans="1:13" s="2" customFormat="1" x14ac:dyDescent="0.25">
      <c r="A701" s="6"/>
      <c r="D701" s="17"/>
      <c r="E701" s="18"/>
      <c r="F701" s="17"/>
      <c r="G701" s="17"/>
      <c r="H701" s="17"/>
      <c r="I701" s="17"/>
      <c r="J701" s="17"/>
      <c r="K701" s="17"/>
      <c r="L701" s="17"/>
      <c r="M701" s="17"/>
    </row>
    <row r="702" spans="1:13" s="2" customFormat="1" x14ac:dyDescent="0.25">
      <c r="A702" s="6"/>
      <c r="D702" s="17"/>
      <c r="E702" s="18"/>
      <c r="F702" s="17"/>
      <c r="G702" s="17"/>
      <c r="H702" s="17"/>
      <c r="I702" s="17"/>
      <c r="J702" s="17"/>
      <c r="K702" s="17"/>
      <c r="L702" s="17"/>
      <c r="M702" s="17"/>
    </row>
    <row r="703" spans="1:13" s="2" customFormat="1" x14ac:dyDescent="0.25">
      <c r="A703" s="6"/>
      <c r="D703" s="17"/>
      <c r="E703" s="18"/>
      <c r="F703" s="17"/>
      <c r="G703" s="17"/>
      <c r="H703" s="17"/>
      <c r="I703" s="17"/>
      <c r="J703" s="17"/>
      <c r="K703" s="17"/>
      <c r="L703" s="17"/>
      <c r="M703" s="17"/>
    </row>
    <row r="704" spans="1:13" s="2" customFormat="1" x14ac:dyDescent="0.25">
      <c r="A704" s="6"/>
      <c r="D704" s="17"/>
      <c r="E704" s="18"/>
      <c r="F704" s="17"/>
      <c r="G704" s="17"/>
      <c r="H704" s="17"/>
      <c r="I704" s="17"/>
      <c r="J704" s="17"/>
      <c r="K704" s="17"/>
      <c r="L704" s="17"/>
      <c r="M704" s="17"/>
    </row>
    <row r="705" spans="1:13" s="2" customFormat="1" x14ac:dyDescent="0.25">
      <c r="A705" s="6"/>
      <c r="D705" s="17"/>
      <c r="E705" s="18"/>
      <c r="F705" s="17"/>
      <c r="G705" s="17"/>
      <c r="H705" s="17"/>
      <c r="I705" s="17"/>
      <c r="J705" s="17"/>
      <c r="K705" s="17"/>
      <c r="L705" s="17"/>
      <c r="M705" s="17"/>
    </row>
    <row r="706" spans="1:13" s="2" customFormat="1" x14ac:dyDescent="0.25">
      <c r="A706" s="6"/>
      <c r="D706" s="17"/>
      <c r="E706" s="18"/>
      <c r="F706" s="17"/>
      <c r="G706" s="17"/>
      <c r="H706" s="17"/>
      <c r="I706" s="17"/>
      <c r="J706" s="17"/>
      <c r="K706" s="17"/>
      <c r="L706" s="17"/>
      <c r="M706" s="17"/>
    </row>
    <row r="707" spans="1:13" s="2" customFormat="1" x14ac:dyDescent="0.25">
      <c r="A707" s="6"/>
      <c r="D707" s="17"/>
      <c r="E707" s="18"/>
      <c r="F707" s="17"/>
      <c r="G707" s="17"/>
      <c r="H707" s="17"/>
      <c r="I707" s="17"/>
      <c r="J707" s="17"/>
      <c r="K707" s="17"/>
      <c r="L707" s="17"/>
      <c r="M707" s="17"/>
    </row>
    <row r="708" spans="1:13" s="2" customFormat="1" x14ac:dyDescent="0.25">
      <c r="A708" s="6"/>
      <c r="D708" s="17"/>
      <c r="E708" s="18"/>
      <c r="F708" s="17"/>
      <c r="G708" s="17"/>
      <c r="H708" s="17"/>
      <c r="I708" s="17"/>
      <c r="J708" s="17"/>
      <c r="K708" s="17"/>
      <c r="L708" s="17"/>
      <c r="M708" s="17"/>
    </row>
    <row r="709" spans="1:13" s="2" customFormat="1" x14ac:dyDescent="0.25">
      <c r="A709" s="6"/>
      <c r="D709" s="17"/>
      <c r="E709" s="18"/>
      <c r="F709" s="17"/>
      <c r="G709" s="17"/>
      <c r="H709" s="17"/>
      <c r="I709" s="17"/>
      <c r="J709" s="17"/>
      <c r="K709" s="17"/>
      <c r="L709" s="17"/>
      <c r="M709" s="17"/>
    </row>
    <row r="710" spans="1:13" s="2" customFormat="1" x14ac:dyDescent="0.25">
      <c r="A710" s="6"/>
      <c r="D710" s="17"/>
      <c r="E710" s="18"/>
      <c r="F710" s="17"/>
      <c r="G710" s="17"/>
      <c r="H710" s="17"/>
      <c r="I710" s="17"/>
      <c r="J710" s="17"/>
      <c r="K710" s="17"/>
      <c r="L710" s="17"/>
      <c r="M710" s="17"/>
    </row>
    <row r="711" spans="1:13" s="2" customFormat="1" x14ac:dyDescent="0.25">
      <c r="A711" s="6"/>
      <c r="D711" s="17"/>
      <c r="E711" s="18"/>
      <c r="F711" s="17"/>
      <c r="G711" s="17"/>
      <c r="H711" s="17"/>
      <c r="I711" s="17"/>
      <c r="J711" s="17"/>
      <c r="K711" s="17"/>
      <c r="L711" s="17"/>
      <c r="M711" s="17"/>
    </row>
    <row r="712" spans="1:13" s="2" customFormat="1" x14ac:dyDescent="0.25">
      <c r="A712" s="6"/>
      <c r="D712" s="17"/>
      <c r="E712" s="18"/>
      <c r="F712" s="17"/>
      <c r="G712" s="17"/>
      <c r="H712" s="17"/>
      <c r="I712" s="17"/>
      <c r="J712" s="17"/>
      <c r="K712" s="17"/>
      <c r="L712" s="17"/>
      <c r="M712" s="17"/>
    </row>
    <row r="713" spans="1:13" s="2" customFormat="1" x14ac:dyDescent="0.25">
      <c r="A713" s="6"/>
      <c r="D713" s="17"/>
      <c r="E713" s="18"/>
      <c r="F713" s="17"/>
      <c r="G713" s="17"/>
      <c r="H713" s="17"/>
      <c r="I713" s="17"/>
      <c r="J713" s="17"/>
      <c r="K713" s="17"/>
      <c r="L713" s="17"/>
      <c r="M713" s="17"/>
    </row>
    <row r="714" spans="1:13" s="2" customFormat="1" x14ac:dyDescent="0.25">
      <c r="A714" s="6"/>
      <c r="D714" s="17"/>
      <c r="E714" s="18"/>
      <c r="F714" s="17"/>
      <c r="G714" s="17"/>
      <c r="H714" s="17"/>
      <c r="I714" s="17"/>
      <c r="J714" s="17"/>
      <c r="K714" s="17"/>
      <c r="L714" s="17"/>
      <c r="M714" s="17"/>
    </row>
    <row r="715" spans="1:13" s="2" customFormat="1" x14ac:dyDescent="0.25">
      <c r="A715" s="6"/>
      <c r="D715" s="17"/>
      <c r="E715" s="18"/>
      <c r="F715" s="17"/>
      <c r="G715" s="17"/>
      <c r="H715" s="17"/>
      <c r="I715" s="17"/>
      <c r="J715" s="17"/>
      <c r="K715" s="17"/>
      <c r="L715" s="17"/>
      <c r="M715" s="17"/>
    </row>
    <row r="716" spans="1:13" s="2" customFormat="1" x14ac:dyDescent="0.25">
      <c r="A716" s="6"/>
      <c r="D716" s="17"/>
      <c r="E716" s="18"/>
      <c r="F716" s="17"/>
      <c r="G716" s="17"/>
      <c r="H716" s="17"/>
      <c r="I716" s="17"/>
      <c r="J716" s="17"/>
      <c r="K716" s="17"/>
      <c r="L716" s="17"/>
      <c r="M716" s="17"/>
    </row>
    <row r="717" spans="1:13" s="2" customFormat="1" x14ac:dyDescent="0.25">
      <c r="A717" s="6"/>
      <c r="D717" s="17"/>
      <c r="E717" s="18"/>
      <c r="F717" s="17"/>
      <c r="G717" s="17"/>
      <c r="H717" s="17"/>
      <c r="I717" s="17"/>
      <c r="J717" s="17"/>
      <c r="K717" s="17"/>
      <c r="L717" s="17"/>
      <c r="M717" s="17"/>
    </row>
    <row r="718" spans="1:13" s="2" customFormat="1" x14ac:dyDescent="0.25">
      <c r="A718" s="6"/>
      <c r="D718" s="17"/>
      <c r="E718" s="18"/>
      <c r="F718" s="17"/>
      <c r="G718" s="17"/>
      <c r="H718" s="17"/>
      <c r="I718" s="17"/>
      <c r="J718" s="17"/>
      <c r="K718" s="17"/>
      <c r="L718" s="17"/>
      <c r="M718" s="17"/>
    </row>
    <row r="719" spans="1:13" s="2" customFormat="1" x14ac:dyDescent="0.25">
      <c r="A719" s="6"/>
      <c r="D719" s="17"/>
      <c r="E719" s="18"/>
      <c r="F719" s="17"/>
      <c r="G719" s="17"/>
      <c r="H719" s="17"/>
      <c r="I719" s="17"/>
      <c r="J719" s="17"/>
      <c r="K719" s="17"/>
      <c r="L719" s="17"/>
      <c r="M719" s="17"/>
    </row>
    <row r="720" spans="1:13" s="2" customFormat="1" x14ac:dyDescent="0.25">
      <c r="A720" s="6"/>
      <c r="D720" s="17"/>
      <c r="E720" s="18"/>
      <c r="F720" s="17"/>
      <c r="G720" s="17"/>
      <c r="H720" s="17"/>
      <c r="I720" s="17"/>
      <c r="J720" s="17"/>
      <c r="K720" s="17"/>
      <c r="L720" s="17"/>
      <c r="M720" s="17"/>
    </row>
    <row r="721" spans="1:13" s="2" customFormat="1" x14ac:dyDescent="0.25">
      <c r="A721" s="6"/>
      <c r="D721" s="17"/>
      <c r="E721" s="18"/>
      <c r="F721" s="17"/>
      <c r="G721" s="17"/>
      <c r="H721" s="17"/>
      <c r="I721" s="17"/>
      <c r="J721" s="17"/>
      <c r="K721" s="17"/>
      <c r="L721" s="17"/>
      <c r="M721" s="17"/>
    </row>
    <row r="722" spans="1:13" s="2" customFormat="1" x14ac:dyDescent="0.25">
      <c r="A722" s="6"/>
      <c r="D722" s="17"/>
      <c r="E722" s="18"/>
      <c r="F722" s="17"/>
      <c r="G722" s="17"/>
      <c r="H722" s="17"/>
      <c r="I722" s="17"/>
      <c r="J722" s="17"/>
      <c r="K722" s="17"/>
      <c r="L722" s="17"/>
      <c r="M722" s="17"/>
    </row>
    <row r="723" spans="1:13" s="2" customFormat="1" x14ac:dyDescent="0.25">
      <c r="A723" s="6"/>
      <c r="D723" s="17"/>
      <c r="E723" s="18"/>
      <c r="F723" s="17"/>
      <c r="G723" s="17"/>
      <c r="H723" s="17"/>
      <c r="I723" s="17"/>
      <c r="J723" s="17"/>
      <c r="K723" s="17"/>
      <c r="L723" s="17"/>
      <c r="M723" s="17"/>
    </row>
    <row r="724" spans="1:13" s="2" customFormat="1" x14ac:dyDescent="0.25">
      <c r="A724" s="6"/>
      <c r="D724" s="17"/>
      <c r="E724" s="18"/>
      <c r="F724" s="17"/>
      <c r="G724" s="17"/>
      <c r="H724" s="17"/>
      <c r="I724" s="17"/>
      <c r="J724" s="17"/>
      <c r="K724" s="17"/>
      <c r="L724" s="17"/>
      <c r="M724" s="17"/>
    </row>
    <row r="725" spans="1:13" s="2" customFormat="1" x14ac:dyDescent="0.25">
      <c r="A725" s="6"/>
      <c r="D725" s="17"/>
      <c r="E725" s="18"/>
      <c r="F725" s="17"/>
      <c r="G725" s="17"/>
      <c r="H725" s="17"/>
      <c r="I725" s="17"/>
      <c r="J725" s="17"/>
      <c r="K725" s="17"/>
      <c r="L725" s="17"/>
      <c r="M725" s="17"/>
    </row>
    <row r="726" spans="1:13" s="2" customFormat="1" x14ac:dyDescent="0.25">
      <c r="A726" s="6"/>
      <c r="D726" s="17"/>
      <c r="E726" s="18"/>
      <c r="F726" s="17"/>
      <c r="G726" s="17"/>
      <c r="H726" s="17"/>
      <c r="I726" s="17"/>
      <c r="J726" s="17"/>
      <c r="K726" s="17"/>
      <c r="L726" s="17"/>
      <c r="M726" s="17"/>
    </row>
    <row r="727" spans="1:13" s="2" customFormat="1" x14ac:dyDescent="0.25">
      <c r="A727" s="6"/>
      <c r="D727" s="17"/>
      <c r="E727" s="18"/>
      <c r="F727" s="17"/>
      <c r="G727" s="17"/>
      <c r="H727" s="17"/>
      <c r="I727" s="17"/>
      <c r="J727" s="17"/>
      <c r="K727" s="17"/>
      <c r="L727" s="17"/>
      <c r="M727" s="17"/>
    </row>
    <row r="728" spans="1:13" s="2" customFormat="1" x14ac:dyDescent="0.25">
      <c r="A728" s="6"/>
      <c r="D728" s="17"/>
      <c r="E728" s="18"/>
      <c r="F728" s="17"/>
      <c r="G728" s="17"/>
      <c r="H728" s="17"/>
      <c r="I728" s="17"/>
      <c r="J728" s="17"/>
      <c r="K728" s="17"/>
      <c r="L728" s="17"/>
      <c r="M728" s="17"/>
    </row>
    <row r="729" spans="1:13" s="2" customFormat="1" x14ac:dyDescent="0.25">
      <c r="A729" s="6"/>
      <c r="D729" s="17"/>
      <c r="E729" s="18"/>
      <c r="F729" s="17"/>
      <c r="G729" s="17"/>
      <c r="H729" s="17"/>
      <c r="I729" s="17"/>
      <c r="J729" s="17"/>
      <c r="K729" s="17"/>
      <c r="L729" s="17"/>
      <c r="M729" s="17"/>
    </row>
    <row r="730" spans="1:13" s="2" customFormat="1" x14ac:dyDescent="0.25">
      <c r="A730" s="6"/>
      <c r="D730" s="17"/>
      <c r="E730" s="18"/>
      <c r="F730" s="17"/>
      <c r="G730" s="17"/>
      <c r="H730" s="17"/>
      <c r="I730" s="17"/>
      <c r="J730" s="17"/>
      <c r="K730" s="17"/>
      <c r="L730" s="17"/>
      <c r="M730" s="17"/>
    </row>
    <row r="731" spans="1:13" s="2" customFormat="1" x14ac:dyDescent="0.25">
      <c r="A731" s="6"/>
      <c r="D731" s="17"/>
      <c r="E731" s="18"/>
      <c r="F731" s="17"/>
      <c r="G731" s="17"/>
      <c r="H731" s="17"/>
      <c r="I731" s="17"/>
      <c r="J731" s="17"/>
      <c r="K731" s="17"/>
      <c r="L731" s="17"/>
      <c r="M731" s="17"/>
    </row>
    <row r="732" spans="1:13" s="2" customFormat="1" x14ac:dyDescent="0.25">
      <c r="A732" s="6"/>
      <c r="D732" s="17"/>
      <c r="E732" s="18"/>
      <c r="F732" s="17"/>
      <c r="G732" s="17"/>
      <c r="H732" s="17"/>
      <c r="I732" s="17"/>
      <c r="J732" s="17"/>
      <c r="K732" s="17"/>
      <c r="L732" s="17"/>
      <c r="M732" s="17"/>
    </row>
    <row r="733" spans="1:13" s="2" customFormat="1" x14ac:dyDescent="0.25">
      <c r="A733" s="6"/>
      <c r="D733" s="17"/>
      <c r="E733" s="18"/>
      <c r="F733" s="17"/>
      <c r="G733" s="17"/>
      <c r="H733" s="17"/>
      <c r="I733" s="17"/>
      <c r="J733" s="17"/>
      <c r="K733" s="17"/>
      <c r="L733" s="17"/>
      <c r="M733" s="17"/>
    </row>
    <row r="734" spans="1:13" s="2" customFormat="1" x14ac:dyDescent="0.25">
      <c r="A734" s="6"/>
      <c r="D734" s="17"/>
      <c r="E734" s="18"/>
      <c r="F734" s="17"/>
      <c r="G734" s="17"/>
      <c r="H734" s="17"/>
      <c r="I734" s="17"/>
      <c r="J734" s="17"/>
      <c r="K734" s="17"/>
      <c r="L734" s="17"/>
      <c r="M734" s="17"/>
    </row>
    <row r="735" spans="1:13" s="2" customFormat="1" x14ac:dyDescent="0.25">
      <c r="A735" s="6"/>
      <c r="D735" s="17"/>
      <c r="E735" s="18"/>
      <c r="F735" s="17"/>
      <c r="G735" s="17"/>
      <c r="H735" s="17"/>
      <c r="I735" s="17"/>
      <c r="J735" s="17"/>
      <c r="K735" s="17"/>
      <c r="L735" s="17"/>
      <c r="M735" s="17"/>
    </row>
    <row r="736" spans="1:13" s="2" customFormat="1" x14ac:dyDescent="0.25">
      <c r="A736" s="6"/>
      <c r="D736" s="17"/>
      <c r="E736" s="18"/>
      <c r="F736" s="17"/>
      <c r="G736" s="17"/>
      <c r="H736" s="17"/>
      <c r="I736" s="17"/>
      <c r="J736" s="17"/>
      <c r="K736" s="17"/>
      <c r="L736" s="17"/>
      <c r="M736" s="17"/>
    </row>
    <row r="737" spans="1:13" s="2" customFormat="1" x14ac:dyDescent="0.25">
      <c r="A737" s="6"/>
      <c r="D737" s="17"/>
      <c r="E737" s="18"/>
      <c r="F737" s="17"/>
      <c r="G737" s="17"/>
      <c r="H737" s="17"/>
      <c r="I737" s="17"/>
      <c r="J737" s="17"/>
      <c r="K737" s="17"/>
      <c r="L737" s="17"/>
      <c r="M737" s="17"/>
    </row>
    <row r="738" spans="1:13" s="2" customFormat="1" x14ac:dyDescent="0.25">
      <c r="A738" s="6"/>
      <c r="D738" s="17"/>
      <c r="E738" s="18"/>
      <c r="F738" s="17"/>
      <c r="G738" s="17"/>
      <c r="H738" s="17"/>
      <c r="I738" s="17"/>
      <c r="J738" s="17"/>
      <c r="K738" s="17"/>
      <c r="L738" s="17"/>
      <c r="M738" s="17"/>
    </row>
    <row r="739" spans="1:13" s="2" customFormat="1" x14ac:dyDescent="0.25">
      <c r="A739" s="6"/>
      <c r="D739" s="17"/>
      <c r="E739" s="18"/>
      <c r="F739" s="17"/>
      <c r="G739" s="17"/>
      <c r="H739" s="17"/>
      <c r="I739" s="17"/>
      <c r="J739" s="17"/>
      <c r="K739" s="17"/>
      <c r="L739" s="17"/>
      <c r="M739" s="17"/>
    </row>
    <row r="740" spans="1:13" s="2" customFormat="1" x14ac:dyDescent="0.25">
      <c r="A740" s="6"/>
      <c r="D740" s="17"/>
      <c r="E740" s="18"/>
      <c r="F740" s="17"/>
      <c r="G740" s="17"/>
      <c r="H740" s="17"/>
      <c r="I740" s="17"/>
      <c r="J740" s="17"/>
      <c r="K740" s="17"/>
      <c r="L740" s="17"/>
      <c r="M740" s="17"/>
    </row>
    <row r="741" spans="1:13" s="2" customFormat="1" x14ac:dyDescent="0.25">
      <c r="A741" s="6"/>
      <c r="D741" s="17"/>
      <c r="E741" s="18"/>
      <c r="F741" s="17"/>
      <c r="G741" s="17"/>
      <c r="H741" s="17"/>
      <c r="I741" s="17"/>
      <c r="J741" s="17"/>
      <c r="K741" s="17"/>
      <c r="L741" s="17"/>
      <c r="M741" s="17"/>
    </row>
    <row r="742" spans="1:13" s="2" customFormat="1" x14ac:dyDescent="0.25">
      <c r="A742" s="6"/>
      <c r="D742" s="17"/>
      <c r="E742" s="18"/>
      <c r="F742" s="17"/>
      <c r="G742" s="17"/>
      <c r="H742" s="17"/>
      <c r="I742" s="17"/>
      <c r="J742" s="17"/>
      <c r="K742" s="17"/>
      <c r="L742" s="17"/>
      <c r="M742" s="17"/>
    </row>
    <row r="743" spans="1:13" s="2" customFormat="1" x14ac:dyDescent="0.25">
      <c r="A743" s="6"/>
      <c r="D743" s="17"/>
      <c r="E743" s="18"/>
      <c r="F743" s="17"/>
      <c r="G743" s="17"/>
      <c r="H743" s="17"/>
      <c r="I743" s="17"/>
      <c r="J743" s="17"/>
      <c r="K743" s="17"/>
      <c r="L743" s="17"/>
      <c r="M743" s="17"/>
    </row>
    <row r="744" spans="1:13" s="2" customFormat="1" x14ac:dyDescent="0.25">
      <c r="A744" s="6"/>
      <c r="D744" s="17"/>
      <c r="E744" s="18"/>
      <c r="F744" s="17"/>
      <c r="G744" s="17"/>
      <c r="H744" s="17"/>
      <c r="I744" s="17"/>
      <c r="J744" s="17"/>
      <c r="K744" s="17"/>
      <c r="L744" s="17"/>
      <c r="M744" s="17"/>
    </row>
    <row r="745" spans="1:13" s="2" customFormat="1" x14ac:dyDescent="0.25">
      <c r="A745" s="6"/>
      <c r="D745" s="17"/>
      <c r="E745" s="18"/>
      <c r="F745" s="17"/>
      <c r="G745" s="17"/>
      <c r="H745" s="17"/>
      <c r="I745" s="17"/>
      <c r="J745" s="17"/>
      <c r="K745" s="17"/>
      <c r="L745" s="17"/>
      <c r="M745" s="17"/>
    </row>
    <row r="746" spans="1:13" s="2" customFormat="1" x14ac:dyDescent="0.25">
      <c r="A746" s="6"/>
      <c r="D746" s="17"/>
      <c r="E746" s="18"/>
      <c r="F746" s="17"/>
      <c r="G746" s="17"/>
      <c r="H746" s="17"/>
      <c r="I746" s="17"/>
      <c r="J746" s="17"/>
      <c r="K746" s="17"/>
      <c r="L746" s="17"/>
      <c r="M746" s="17"/>
    </row>
    <row r="747" spans="1:13" s="2" customFormat="1" x14ac:dyDescent="0.25">
      <c r="A747" s="6"/>
      <c r="D747" s="17"/>
      <c r="E747" s="18"/>
      <c r="F747" s="17"/>
      <c r="G747" s="17"/>
      <c r="H747" s="17"/>
      <c r="I747" s="17"/>
      <c r="J747" s="17"/>
      <c r="K747" s="17"/>
      <c r="L747" s="17"/>
      <c r="M747" s="17"/>
    </row>
    <row r="748" spans="1:13" s="2" customFormat="1" x14ac:dyDescent="0.25">
      <c r="A748" s="6"/>
      <c r="D748" s="17"/>
      <c r="E748" s="18"/>
      <c r="F748" s="17"/>
      <c r="G748" s="17"/>
      <c r="H748" s="17"/>
      <c r="I748" s="17"/>
      <c r="J748" s="17"/>
      <c r="K748" s="17"/>
      <c r="L748" s="17"/>
      <c r="M748" s="17"/>
    </row>
    <row r="749" spans="1:13" s="2" customFormat="1" x14ac:dyDescent="0.25">
      <c r="A749" s="6"/>
      <c r="D749" s="17"/>
      <c r="E749" s="18"/>
      <c r="F749" s="17"/>
      <c r="G749" s="17"/>
      <c r="H749" s="17"/>
      <c r="I749" s="17"/>
      <c r="J749" s="17"/>
      <c r="K749" s="17"/>
      <c r="L749" s="17"/>
      <c r="M749" s="17"/>
    </row>
    <row r="750" spans="1:13" s="2" customFormat="1" x14ac:dyDescent="0.25">
      <c r="A750" s="6"/>
      <c r="D750" s="17"/>
      <c r="E750" s="18"/>
      <c r="F750" s="17"/>
      <c r="G750" s="17"/>
      <c r="H750" s="17"/>
      <c r="I750" s="17"/>
      <c r="J750" s="17"/>
      <c r="K750" s="17"/>
      <c r="L750" s="17"/>
      <c r="M750" s="17"/>
    </row>
    <row r="751" spans="1:13" s="2" customFormat="1" x14ac:dyDescent="0.25">
      <c r="A751" s="6"/>
      <c r="D751" s="17"/>
      <c r="E751" s="18"/>
      <c r="F751" s="17"/>
      <c r="G751" s="17"/>
      <c r="H751" s="17"/>
      <c r="I751" s="17"/>
      <c r="J751" s="17"/>
      <c r="K751" s="17"/>
      <c r="L751" s="17"/>
      <c r="M751" s="17"/>
    </row>
    <row r="752" spans="1:13" s="2" customFormat="1" x14ac:dyDescent="0.25">
      <c r="A752" s="6"/>
      <c r="D752" s="17"/>
      <c r="E752" s="18"/>
      <c r="F752" s="17"/>
      <c r="G752" s="17"/>
      <c r="H752" s="17"/>
      <c r="I752" s="17"/>
      <c r="J752" s="17"/>
      <c r="K752" s="17"/>
      <c r="L752" s="17"/>
      <c r="M752" s="17"/>
    </row>
    <row r="753" spans="1:13" s="2" customFormat="1" x14ac:dyDescent="0.25">
      <c r="A753" s="6"/>
      <c r="D753" s="17"/>
      <c r="E753" s="18"/>
      <c r="F753" s="17"/>
      <c r="G753" s="17"/>
      <c r="H753" s="17"/>
      <c r="I753" s="17"/>
      <c r="J753" s="17"/>
      <c r="K753" s="17"/>
      <c r="L753" s="17"/>
      <c r="M753" s="17"/>
    </row>
    <row r="754" spans="1:13" s="2" customFormat="1" x14ac:dyDescent="0.25">
      <c r="A754" s="6"/>
      <c r="D754" s="17"/>
      <c r="E754" s="18"/>
      <c r="F754" s="17"/>
      <c r="G754" s="17"/>
      <c r="H754" s="17"/>
      <c r="I754" s="17"/>
      <c r="J754" s="17"/>
      <c r="K754" s="17"/>
      <c r="L754" s="17"/>
      <c r="M754" s="17"/>
    </row>
    <row r="755" spans="1:13" s="2" customFormat="1" x14ac:dyDescent="0.25">
      <c r="A755" s="6"/>
      <c r="D755" s="17"/>
      <c r="E755" s="18"/>
      <c r="F755" s="17"/>
      <c r="G755" s="17"/>
      <c r="H755" s="17"/>
      <c r="I755" s="17"/>
      <c r="J755" s="17"/>
      <c r="K755" s="17"/>
      <c r="L755" s="17"/>
      <c r="M755" s="17"/>
    </row>
    <row r="756" spans="1:13" s="2" customFormat="1" x14ac:dyDescent="0.25">
      <c r="A756" s="6"/>
      <c r="D756" s="17"/>
      <c r="E756" s="18"/>
      <c r="F756" s="17"/>
      <c r="G756" s="17"/>
      <c r="H756" s="17"/>
      <c r="I756" s="17"/>
      <c r="J756" s="17"/>
      <c r="K756" s="17"/>
      <c r="L756" s="17"/>
      <c r="M756" s="17"/>
    </row>
    <row r="757" spans="1:13" s="2" customFormat="1" x14ac:dyDescent="0.25">
      <c r="A757" s="6"/>
      <c r="D757" s="17"/>
      <c r="E757" s="18"/>
      <c r="F757" s="17"/>
      <c r="G757" s="17"/>
      <c r="H757" s="17"/>
      <c r="I757" s="17"/>
      <c r="J757" s="17"/>
      <c r="K757" s="17"/>
      <c r="L757" s="17"/>
      <c r="M757" s="17"/>
    </row>
    <row r="758" spans="1:13" s="2" customFormat="1" x14ac:dyDescent="0.25">
      <c r="A758" s="6"/>
      <c r="D758" s="17"/>
      <c r="E758" s="18"/>
      <c r="F758" s="17"/>
      <c r="G758" s="17"/>
      <c r="H758" s="17"/>
      <c r="I758" s="17"/>
      <c r="J758" s="17"/>
      <c r="K758" s="17"/>
      <c r="L758" s="17"/>
      <c r="M758" s="17"/>
    </row>
    <row r="759" spans="1:13" s="2" customFormat="1" x14ac:dyDescent="0.25">
      <c r="A759" s="6"/>
      <c r="D759" s="17"/>
      <c r="E759" s="18"/>
      <c r="F759" s="17"/>
      <c r="G759" s="17"/>
      <c r="H759" s="17"/>
      <c r="I759" s="17"/>
      <c r="J759" s="17"/>
      <c r="K759" s="17"/>
      <c r="L759" s="17"/>
      <c r="M759" s="17"/>
    </row>
    <row r="760" spans="1:13" s="2" customFormat="1" x14ac:dyDescent="0.25">
      <c r="A760" s="6"/>
      <c r="D760" s="17"/>
      <c r="E760" s="18"/>
      <c r="F760" s="17"/>
      <c r="G760" s="17"/>
      <c r="H760" s="17"/>
      <c r="I760" s="17"/>
      <c r="J760" s="17"/>
      <c r="K760" s="17"/>
      <c r="L760" s="17"/>
      <c r="M760" s="17"/>
    </row>
    <row r="761" spans="1:13" s="2" customFormat="1" x14ac:dyDescent="0.25">
      <c r="A761" s="6"/>
      <c r="D761" s="17"/>
      <c r="E761" s="18"/>
      <c r="F761" s="17"/>
      <c r="G761" s="17"/>
      <c r="H761" s="17"/>
      <c r="I761" s="17"/>
      <c r="J761" s="17"/>
      <c r="K761" s="17"/>
      <c r="L761" s="17"/>
      <c r="M761" s="17"/>
    </row>
    <row r="762" spans="1:13" s="2" customFormat="1" x14ac:dyDescent="0.25">
      <c r="A762" s="6"/>
      <c r="D762" s="17"/>
      <c r="E762" s="18"/>
      <c r="F762" s="17"/>
      <c r="G762" s="17"/>
      <c r="H762" s="17"/>
      <c r="I762" s="17"/>
      <c r="J762" s="17"/>
      <c r="K762" s="17"/>
      <c r="L762" s="17"/>
      <c r="M762" s="17"/>
    </row>
    <row r="763" spans="1:13" s="2" customFormat="1" x14ac:dyDescent="0.25">
      <c r="A763" s="6"/>
      <c r="D763" s="17"/>
      <c r="E763" s="18"/>
      <c r="F763" s="17"/>
      <c r="G763" s="17"/>
      <c r="H763" s="17"/>
      <c r="I763" s="17"/>
      <c r="J763" s="17"/>
      <c r="K763" s="17"/>
      <c r="L763" s="17"/>
      <c r="M763" s="17"/>
    </row>
    <row r="764" spans="1:13" s="2" customFormat="1" x14ac:dyDescent="0.25">
      <c r="A764" s="6"/>
      <c r="D764" s="17"/>
      <c r="E764" s="18"/>
      <c r="F764" s="17"/>
      <c r="G764" s="17"/>
      <c r="H764" s="17"/>
      <c r="I764" s="17"/>
      <c r="J764" s="17"/>
      <c r="K764" s="17"/>
      <c r="L764" s="17"/>
      <c r="M764" s="17"/>
    </row>
    <row r="765" spans="1:13" s="2" customFormat="1" x14ac:dyDescent="0.25">
      <c r="A765" s="6"/>
      <c r="D765" s="17"/>
      <c r="E765" s="18"/>
      <c r="F765" s="17"/>
      <c r="G765" s="17"/>
      <c r="H765" s="17"/>
      <c r="I765" s="17"/>
      <c r="J765" s="17"/>
      <c r="K765" s="17"/>
      <c r="L765" s="17"/>
      <c r="M765" s="17"/>
    </row>
    <row r="766" spans="1:13" s="2" customFormat="1" x14ac:dyDescent="0.25">
      <c r="A766" s="6"/>
      <c r="D766" s="17"/>
      <c r="E766" s="18"/>
      <c r="F766" s="17"/>
      <c r="G766" s="17"/>
      <c r="H766" s="17"/>
      <c r="I766" s="17"/>
      <c r="J766" s="17"/>
      <c r="K766" s="17"/>
      <c r="L766" s="17"/>
      <c r="M766" s="17"/>
    </row>
    <row r="767" spans="1:13" s="2" customFormat="1" x14ac:dyDescent="0.25">
      <c r="A767" s="6"/>
      <c r="D767" s="17"/>
      <c r="E767" s="18"/>
      <c r="F767" s="17"/>
      <c r="G767" s="17"/>
      <c r="H767" s="17"/>
      <c r="I767" s="17"/>
      <c r="J767" s="17"/>
      <c r="K767" s="17"/>
      <c r="L767" s="17"/>
      <c r="M767" s="17"/>
    </row>
    <row r="768" spans="1:13" s="2" customFormat="1" x14ac:dyDescent="0.25">
      <c r="A768" s="6"/>
      <c r="D768" s="17"/>
      <c r="E768" s="18"/>
      <c r="F768" s="17"/>
      <c r="G768" s="17"/>
      <c r="H768" s="17"/>
      <c r="I768" s="17"/>
      <c r="J768" s="17"/>
      <c r="K768" s="17"/>
      <c r="L768" s="17"/>
      <c r="M768" s="17"/>
    </row>
    <row r="769" spans="1:13" s="2" customFormat="1" x14ac:dyDescent="0.25">
      <c r="A769" s="6"/>
      <c r="D769" s="17"/>
      <c r="E769" s="18"/>
      <c r="F769" s="17"/>
      <c r="G769" s="17"/>
      <c r="H769" s="17"/>
      <c r="I769" s="17"/>
      <c r="J769" s="17"/>
      <c r="K769" s="17"/>
      <c r="L769" s="17"/>
      <c r="M769" s="17"/>
    </row>
    <row r="770" spans="1:13" s="2" customFormat="1" x14ac:dyDescent="0.25">
      <c r="A770" s="6"/>
      <c r="D770" s="17"/>
      <c r="E770" s="18"/>
      <c r="F770" s="17"/>
      <c r="G770" s="17"/>
      <c r="H770" s="17"/>
      <c r="I770" s="17"/>
      <c r="J770" s="17"/>
      <c r="K770" s="17"/>
      <c r="L770" s="17"/>
      <c r="M770" s="17"/>
    </row>
    <row r="771" spans="1:13" s="2" customFormat="1" x14ac:dyDescent="0.25">
      <c r="A771" s="6"/>
      <c r="D771" s="17"/>
      <c r="E771" s="18"/>
      <c r="F771" s="17"/>
      <c r="G771" s="17"/>
      <c r="H771" s="17"/>
      <c r="I771" s="17"/>
      <c r="J771" s="17"/>
      <c r="K771" s="17"/>
      <c r="L771" s="17"/>
      <c r="M771" s="17"/>
    </row>
    <row r="772" spans="1:13" s="2" customFormat="1" x14ac:dyDescent="0.25">
      <c r="A772" s="6"/>
      <c r="D772" s="17"/>
      <c r="E772" s="18"/>
      <c r="F772" s="17"/>
      <c r="G772" s="17"/>
      <c r="H772" s="17"/>
      <c r="I772" s="17"/>
      <c r="J772" s="17"/>
      <c r="K772" s="17"/>
      <c r="L772" s="17"/>
      <c r="M772" s="17"/>
    </row>
    <row r="773" spans="1:13" s="2" customFormat="1" x14ac:dyDescent="0.25">
      <c r="A773" s="6"/>
      <c r="D773" s="17"/>
      <c r="E773" s="18"/>
      <c r="F773" s="17"/>
      <c r="G773" s="17"/>
      <c r="H773" s="17"/>
      <c r="I773" s="17"/>
      <c r="J773" s="17"/>
      <c r="K773" s="17"/>
      <c r="L773" s="17"/>
      <c r="M773" s="17"/>
    </row>
    <row r="774" spans="1:13" s="2" customFormat="1" x14ac:dyDescent="0.25">
      <c r="A774" s="6"/>
      <c r="D774" s="17"/>
      <c r="E774" s="18"/>
      <c r="F774" s="17"/>
      <c r="G774" s="17"/>
      <c r="H774" s="17"/>
      <c r="I774" s="17"/>
      <c r="J774" s="17"/>
      <c r="K774" s="17"/>
      <c r="L774" s="17"/>
      <c r="M774" s="17"/>
    </row>
    <row r="775" spans="1:13" s="2" customFormat="1" x14ac:dyDescent="0.25">
      <c r="A775" s="6"/>
      <c r="D775" s="17"/>
      <c r="E775" s="18"/>
      <c r="F775" s="17"/>
      <c r="G775" s="17"/>
      <c r="H775" s="17"/>
      <c r="I775" s="17"/>
      <c r="J775" s="17"/>
      <c r="K775" s="17"/>
      <c r="L775" s="17"/>
      <c r="M775" s="17"/>
    </row>
    <row r="776" spans="1:13" s="2" customFormat="1" x14ac:dyDescent="0.25">
      <c r="A776" s="6"/>
      <c r="D776" s="17"/>
      <c r="E776" s="18"/>
      <c r="F776" s="17"/>
      <c r="G776" s="17"/>
      <c r="H776" s="17"/>
      <c r="I776" s="17"/>
      <c r="J776" s="17"/>
      <c r="K776" s="17"/>
      <c r="L776" s="17"/>
      <c r="M776" s="17"/>
    </row>
    <row r="777" spans="1:13" s="2" customFormat="1" x14ac:dyDescent="0.25">
      <c r="A777" s="6"/>
      <c r="D777" s="17"/>
      <c r="E777" s="18"/>
      <c r="F777" s="17"/>
      <c r="G777" s="17"/>
      <c r="H777" s="17"/>
      <c r="I777" s="17"/>
      <c r="J777" s="17"/>
      <c r="K777" s="17"/>
      <c r="L777" s="17"/>
      <c r="M777" s="17"/>
    </row>
    <row r="778" spans="1:13" s="2" customFormat="1" x14ac:dyDescent="0.25">
      <c r="A778" s="6"/>
      <c r="D778" s="17"/>
      <c r="E778" s="18"/>
      <c r="F778" s="17"/>
      <c r="G778" s="17"/>
      <c r="H778" s="17"/>
      <c r="I778" s="17"/>
      <c r="J778" s="17"/>
      <c r="K778" s="17"/>
      <c r="L778" s="17"/>
      <c r="M778" s="17"/>
    </row>
    <row r="779" spans="1:13" s="2" customFormat="1" x14ac:dyDescent="0.25">
      <c r="A779" s="6"/>
      <c r="D779" s="17"/>
      <c r="E779" s="18"/>
      <c r="F779" s="17"/>
      <c r="G779" s="17"/>
      <c r="H779" s="17"/>
      <c r="I779" s="17"/>
      <c r="J779" s="17"/>
      <c r="K779" s="17"/>
      <c r="L779" s="17"/>
      <c r="M779" s="17"/>
    </row>
    <row r="780" spans="1:13" s="2" customFormat="1" x14ac:dyDescent="0.25">
      <c r="A780" s="6"/>
      <c r="D780" s="17"/>
      <c r="E780" s="18"/>
      <c r="F780" s="17"/>
      <c r="G780" s="17"/>
      <c r="H780" s="17"/>
      <c r="I780" s="17"/>
      <c r="J780" s="17"/>
      <c r="K780" s="17"/>
      <c r="L780" s="17"/>
      <c r="M780" s="17"/>
    </row>
    <row r="781" spans="1:13" s="2" customFormat="1" x14ac:dyDescent="0.25">
      <c r="A781" s="6"/>
      <c r="D781" s="17"/>
      <c r="E781" s="18"/>
      <c r="F781" s="17"/>
      <c r="G781" s="17"/>
      <c r="H781" s="17"/>
      <c r="I781" s="17"/>
      <c r="J781" s="17"/>
      <c r="K781" s="17"/>
      <c r="L781" s="17"/>
      <c r="M781" s="17"/>
    </row>
    <row r="782" spans="1:13" s="2" customFormat="1" x14ac:dyDescent="0.25">
      <c r="A782" s="6"/>
      <c r="D782" s="17"/>
      <c r="E782" s="18"/>
      <c r="F782" s="17"/>
      <c r="G782" s="17"/>
      <c r="H782" s="17"/>
      <c r="I782" s="17"/>
      <c r="J782" s="17"/>
      <c r="K782" s="17"/>
      <c r="L782" s="17"/>
      <c r="M782" s="17"/>
    </row>
    <row r="783" spans="1:13" s="2" customFormat="1" x14ac:dyDescent="0.25">
      <c r="A783" s="6"/>
      <c r="D783" s="17"/>
      <c r="E783" s="18"/>
      <c r="F783" s="17"/>
      <c r="G783" s="17"/>
      <c r="H783" s="17"/>
      <c r="I783" s="17"/>
      <c r="J783" s="17"/>
      <c r="K783" s="17"/>
      <c r="L783" s="17"/>
      <c r="M783" s="17"/>
    </row>
    <row r="784" spans="1:13" s="2" customFormat="1" x14ac:dyDescent="0.25">
      <c r="A784" s="6"/>
      <c r="D784" s="17"/>
      <c r="E784" s="18"/>
      <c r="F784" s="17"/>
      <c r="G784" s="17"/>
      <c r="H784" s="17"/>
      <c r="I784" s="17"/>
      <c r="J784" s="17"/>
      <c r="K784" s="17"/>
      <c r="L784" s="17"/>
      <c r="M784" s="17"/>
    </row>
    <row r="785" spans="1:13" s="2" customFormat="1" x14ac:dyDescent="0.25">
      <c r="A785" s="6"/>
      <c r="D785" s="17"/>
      <c r="E785" s="18"/>
      <c r="F785" s="17"/>
      <c r="G785" s="17"/>
      <c r="H785" s="17"/>
      <c r="I785" s="17"/>
      <c r="J785" s="17"/>
      <c r="K785" s="17"/>
      <c r="L785" s="17"/>
      <c r="M785" s="17"/>
    </row>
    <row r="786" spans="1:13" s="2" customFormat="1" x14ac:dyDescent="0.25">
      <c r="A786" s="6"/>
      <c r="D786" s="17"/>
      <c r="E786" s="18"/>
      <c r="F786" s="17"/>
      <c r="G786" s="17"/>
      <c r="H786" s="17"/>
      <c r="I786" s="17"/>
      <c r="J786" s="17"/>
      <c r="K786" s="17"/>
      <c r="L786" s="17"/>
      <c r="M786" s="17"/>
    </row>
    <row r="787" spans="1:13" s="2" customFormat="1" x14ac:dyDescent="0.25">
      <c r="A787" s="6"/>
      <c r="D787" s="17"/>
      <c r="E787" s="18"/>
      <c r="F787" s="17"/>
      <c r="G787" s="17"/>
      <c r="H787" s="17"/>
      <c r="I787" s="17"/>
      <c r="J787" s="17"/>
      <c r="K787" s="17"/>
      <c r="L787" s="17"/>
      <c r="M787" s="17"/>
    </row>
    <row r="788" spans="1:13" s="2" customFormat="1" x14ac:dyDescent="0.25">
      <c r="A788" s="6"/>
      <c r="D788" s="17"/>
      <c r="E788" s="18"/>
      <c r="F788" s="17"/>
      <c r="G788" s="17"/>
      <c r="H788" s="17"/>
      <c r="I788" s="17"/>
      <c r="J788" s="17"/>
      <c r="K788" s="17"/>
      <c r="L788" s="17"/>
      <c r="M788" s="17"/>
    </row>
    <row r="789" spans="1:13" s="2" customFormat="1" x14ac:dyDescent="0.25">
      <c r="A789" s="6"/>
      <c r="D789" s="17"/>
      <c r="E789" s="18"/>
      <c r="F789" s="17"/>
      <c r="G789" s="17"/>
      <c r="H789" s="17"/>
      <c r="I789" s="17"/>
      <c r="J789" s="17"/>
      <c r="K789" s="17"/>
      <c r="L789" s="17"/>
      <c r="M789" s="17"/>
    </row>
    <row r="790" spans="1:13" s="2" customFormat="1" x14ac:dyDescent="0.25">
      <c r="A790" s="6"/>
      <c r="D790" s="17"/>
      <c r="E790" s="18"/>
      <c r="F790" s="17"/>
      <c r="G790" s="17"/>
      <c r="H790" s="17"/>
      <c r="I790" s="17"/>
      <c r="J790" s="17"/>
      <c r="K790" s="17"/>
      <c r="L790" s="17"/>
      <c r="M790" s="17"/>
    </row>
    <row r="791" spans="1:13" s="2" customFormat="1" x14ac:dyDescent="0.25">
      <c r="A791" s="6"/>
      <c r="D791" s="17"/>
      <c r="E791" s="18"/>
      <c r="F791" s="17"/>
      <c r="G791" s="17"/>
      <c r="H791" s="17"/>
      <c r="I791" s="17"/>
      <c r="J791" s="17"/>
      <c r="K791" s="17"/>
      <c r="L791" s="17"/>
      <c r="M791" s="17"/>
    </row>
    <row r="792" spans="1:13" s="2" customFormat="1" x14ac:dyDescent="0.25">
      <c r="A792" s="6"/>
      <c r="D792" s="17"/>
      <c r="E792" s="18"/>
      <c r="F792" s="17"/>
      <c r="G792" s="17"/>
      <c r="H792" s="17"/>
      <c r="I792" s="17"/>
      <c r="J792" s="17"/>
      <c r="K792" s="17"/>
      <c r="L792" s="17"/>
      <c r="M792" s="17"/>
    </row>
    <row r="793" spans="1:13" s="2" customFormat="1" x14ac:dyDescent="0.25">
      <c r="A793" s="6"/>
      <c r="D793" s="17"/>
      <c r="E793" s="18"/>
      <c r="F793" s="17"/>
      <c r="G793" s="17"/>
      <c r="H793" s="17"/>
      <c r="I793" s="17"/>
      <c r="J793" s="17"/>
      <c r="K793" s="17"/>
      <c r="L793" s="17"/>
      <c r="M793" s="17"/>
    </row>
    <row r="794" spans="1:13" s="2" customFormat="1" x14ac:dyDescent="0.25">
      <c r="A794" s="6"/>
      <c r="D794" s="17"/>
      <c r="E794" s="18"/>
      <c r="F794" s="17"/>
      <c r="G794" s="17"/>
      <c r="H794" s="17"/>
      <c r="I794" s="17"/>
      <c r="J794" s="17"/>
      <c r="K794" s="17"/>
      <c r="L794" s="17"/>
      <c r="M794" s="17"/>
    </row>
    <row r="795" spans="1:13" s="2" customFormat="1" x14ac:dyDescent="0.25">
      <c r="A795" s="6"/>
      <c r="D795" s="17"/>
      <c r="E795" s="18"/>
      <c r="F795" s="17"/>
      <c r="G795" s="17"/>
      <c r="H795" s="17"/>
      <c r="I795" s="17"/>
      <c r="J795" s="17"/>
      <c r="K795" s="17"/>
      <c r="L795" s="17"/>
      <c r="M795" s="17"/>
    </row>
    <row r="796" spans="1:13" s="2" customFormat="1" x14ac:dyDescent="0.25">
      <c r="A796" s="6"/>
      <c r="D796" s="17"/>
      <c r="E796" s="18"/>
      <c r="F796" s="17"/>
      <c r="G796" s="17"/>
      <c r="H796" s="17"/>
      <c r="I796" s="17"/>
      <c r="J796" s="17"/>
      <c r="K796" s="17"/>
      <c r="L796" s="17"/>
      <c r="M796" s="17"/>
    </row>
    <row r="797" spans="1:13" s="2" customFormat="1" x14ac:dyDescent="0.25">
      <c r="A797" s="6"/>
      <c r="D797" s="17"/>
      <c r="E797" s="18"/>
      <c r="F797" s="17"/>
      <c r="G797" s="17"/>
      <c r="H797" s="17"/>
      <c r="I797" s="17"/>
      <c r="J797" s="17"/>
      <c r="K797" s="17"/>
      <c r="L797" s="17"/>
      <c r="M797" s="17"/>
    </row>
    <row r="798" spans="1:13" s="2" customFormat="1" x14ac:dyDescent="0.25">
      <c r="A798" s="6"/>
      <c r="D798" s="17"/>
      <c r="E798" s="18"/>
      <c r="F798" s="17"/>
      <c r="G798" s="17"/>
      <c r="H798" s="17"/>
      <c r="I798" s="17"/>
      <c r="J798" s="17"/>
      <c r="K798" s="17"/>
      <c r="L798" s="17"/>
      <c r="M798" s="17"/>
    </row>
    <row r="799" spans="1:13" s="2" customFormat="1" x14ac:dyDescent="0.25">
      <c r="A799" s="6"/>
      <c r="D799" s="17"/>
      <c r="E799" s="18"/>
      <c r="F799" s="17"/>
      <c r="G799" s="17"/>
      <c r="H799" s="17"/>
      <c r="I799" s="17"/>
      <c r="J799" s="17"/>
      <c r="K799" s="17"/>
      <c r="L799" s="17"/>
      <c r="M799" s="17"/>
    </row>
    <row r="800" spans="1:13" s="2" customFormat="1" x14ac:dyDescent="0.25">
      <c r="A800" s="6"/>
      <c r="D800" s="17"/>
      <c r="E800" s="18"/>
      <c r="F800" s="17"/>
      <c r="G800" s="17"/>
      <c r="H800" s="17"/>
      <c r="I800" s="17"/>
      <c r="J800" s="17"/>
      <c r="K800" s="17"/>
      <c r="L800" s="17"/>
      <c r="M800" s="17"/>
    </row>
    <row r="801" spans="1:13" s="2" customFormat="1" x14ac:dyDescent="0.25">
      <c r="A801" s="6"/>
      <c r="D801" s="17"/>
      <c r="E801" s="18"/>
      <c r="F801" s="17"/>
      <c r="G801" s="17"/>
      <c r="H801" s="17"/>
      <c r="I801" s="17"/>
      <c r="J801" s="17"/>
      <c r="K801" s="17"/>
      <c r="L801" s="17"/>
      <c r="M801" s="17"/>
    </row>
    <row r="802" spans="1:13" s="2" customFormat="1" x14ac:dyDescent="0.25">
      <c r="A802" s="6"/>
      <c r="D802" s="17"/>
      <c r="E802" s="18"/>
      <c r="F802" s="17"/>
      <c r="G802" s="17"/>
      <c r="H802" s="17"/>
      <c r="I802" s="17"/>
      <c r="J802" s="17"/>
      <c r="K802" s="17"/>
      <c r="L802" s="17"/>
      <c r="M802" s="17"/>
    </row>
    <row r="803" spans="1:13" s="2" customFormat="1" x14ac:dyDescent="0.25">
      <c r="A803" s="6"/>
      <c r="D803" s="17"/>
      <c r="E803" s="18"/>
      <c r="F803" s="17"/>
      <c r="G803" s="17"/>
      <c r="H803" s="17"/>
      <c r="I803" s="17"/>
      <c r="J803" s="17"/>
      <c r="K803" s="17"/>
      <c r="L803" s="17"/>
      <c r="M803" s="17"/>
    </row>
    <row r="804" spans="1:13" s="2" customFormat="1" x14ac:dyDescent="0.25">
      <c r="A804" s="6"/>
      <c r="D804" s="17"/>
      <c r="E804" s="18"/>
      <c r="F804" s="17"/>
      <c r="G804" s="17"/>
      <c r="H804" s="17"/>
      <c r="I804" s="17"/>
      <c r="J804" s="17"/>
      <c r="K804" s="17"/>
      <c r="L804" s="17"/>
      <c r="M804" s="17"/>
    </row>
    <row r="805" spans="1:13" s="2" customFormat="1" x14ac:dyDescent="0.25">
      <c r="A805" s="6"/>
      <c r="D805" s="17"/>
      <c r="E805" s="18"/>
      <c r="F805" s="17"/>
      <c r="G805" s="17"/>
      <c r="H805" s="17"/>
      <c r="I805" s="17"/>
      <c r="J805" s="17"/>
      <c r="K805" s="17"/>
      <c r="L805" s="17"/>
      <c r="M805" s="17"/>
    </row>
    <row r="806" spans="1:13" s="2" customFormat="1" x14ac:dyDescent="0.25">
      <c r="A806" s="6"/>
      <c r="D806" s="17"/>
      <c r="E806" s="18"/>
      <c r="F806" s="17"/>
      <c r="G806" s="17"/>
      <c r="H806" s="17"/>
      <c r="I806" s="17"/>
      <c r="J806" s="17"/>
      <c r="K806" s="17"/>
      <c r="L806" s="17"/>
      <c r="M806" s="17"/>
    </row>
    <row r="807" spans="1:13" s="2" customFormat="1" x14ac:dyDescent="0.25">
      <c r="A807" s="6"/>
      <c r="D807" s="17"/>
      <c r="E807" s="18"/>
      <c r="F807" s="17"/>
      <c r="G807" s="17"/>
      <c r="H807" s="17"/>
      <c r="I807" s="17"/>
      <c r="J807" s="17"/>
      <c r="K807" s="17"/>
      <c r="L807" s="17"/>
      <c r="M807" s="17"/>
    </row>
    <row r="808" spans="1:13" s="2" customFormat="1" x14ac:dyDescent="0.25">
      <c r="A808" s="6"/>
      <c r="D808" s="17"/>
      <c r="E808" s="18"/>
      <c r="F808" s="17"/>
      <c r="G808" s="17"/>
      <c r="H808" s="17"/>
      <c r="I808" s="17"/>
      <c r="J808" s="17"/>
      <c r="K808" s="17"/>
      <c r="L808" s="17"/>
      <c r="M808" s="17"/>
    </row>
    <row r="809" spans="1:13" s="2" customFormat="1" x14ac:dyDescent="0.25">
      <c r="A809" s="6"/>
      <c r="D809" s="17"/>
      <c r="E809" s="18"/>
      <c r="F809" s="17"/>
      <c r="G809" s="17"/>
      <c r="H809" s="17"/>
      <c r="I809" s="17"/>
      <c r="J809" s="17"/>
      <c r="K809" s="17"/>
      <c r="L809" s="17"/>
      <c r="M809" s="17"/>
    </row>
    <row r="810" spans="1:13" s="2" customFormat="1" x14ac:dyDescent="0.25">
      <c r="A810" s="6"/>
      <c r="D810" s="17"/>
      <c r="E810" s="18"/>
      <c r="F810" s="17"/>
      <c r="G810" s="17"/>
      <c r="H810" s="17"/>
      <c r="I810" s="17"/>
      <c r="J810" s="17"/>
      <c r="K810" s="17"/>
      <c r="L810" s="17"/>
      <c r="M810" s="17"/>
    </row>
    <row r="811" spans="1:13" s="2" customFormat="1" x14ac:dyDescent="0.25">
      <c r="A811" s="6"/>
      <c r="D811" s="17"/>
      <c r="E811" s="18"/>
      <c r="F811" s="17"/>
      <c r="G811" s="17"/>
      <c r="H811" s="17"/>
      <c r="I811" s="17"/>
      <c r="J811" s="17"/>
      <c r="K811" s="17"/>
      <c r="L811" s="17"/>
      <c r="M811" s="17"/>
    </row>
    <row r="812" spans="1:13" s="2" customFormat="1" x14ac:dyDescent="0.25">
      <c r="A812" s="6"/>
      <c r="D812" s="17"/>
      <c r="E812" s="18"/>
      <c r="F812" s="17"/>
      <c r="G812" s="17"/>
      <c r="H812" s="17"/>
      <c r="I812" s="17"/>
      <c r="J812" s="17"/>
      <c r="K812" s="17"/>
      <c r="L812" s="17"/>
      <c r="M812" s="17"/>
    </row>
    <row r="813" spans="1:13" s="2" customFormat="1" x14ac:dyDescent="0.25">
      <c r="A813" s="6"/>
      <c r="D813" s="17"/>
      <c r="E813" s="18"/>
      <c r="F813" s="17"/>
      <c r="G813" s="17"/>
      <c r="H813" s="17"/>
      <c r="I813" s="17"/>
      <c r="J813" s="17"/>
      <c r="K813" s="17"/>
      <c r="L813" s="17"/>
      <c r="M813" s="17"/>
    </row>
    <row r="814" spans="1:13" s="2" customFormat="1" x14ac:dyDescent="0.25">
      <c r="A814" s="6"/>
      <c r="D814" s="17"/>
      <c r="E814" s="18"/>
      <c r="F814" s="17"/>
      <c r="G814" s="17"/>
      <c r="H814" s="17"/>
      <c r="I814" s="17"/>
      <c r="J814" s="17"/>
      <c r="K814" s="17"/>
      <c r="L814" s="17"/>
      <c r="M814" s="17"/>
    </row>
    <row r="815" spans="1:13" s="2" customFormat="1" x14ac:dyDescent="0.25">
      <c r="A815" s="6"/>
      <c r="D815" s="17"/>
      <c r="E815" s="18"/>
      <c r="F815" s="17"/>
      <c r="G815" s="17"/>
      <c r="H815" s="17"/>
      <c r="I815" s="17"/>
      <c r="J815" s="17"/>
      <c r="K815" s="17"/>
      <c r="L815" s="17"/>
      <c r="M815" s="17"/>
    </row>
    <row r="816" spans="1:13" s="2" customFormat="1" x14ac:dyDescent="0.25">
      <c r="A816" s="6"/>
      <c r="D816" s="17"/>
      <c r="E816" s="18"/>
      <c r="F816" s="17"/>
      <c r="G816" s="17"/>
      <c r="H816" s="17"/>
      <c r="I816" s="17"/>
      <c r="J816" s="17"/>
      <c r="K816" s="17"/>
      <c r="L816" s="17"/>
      <c r="M816" s="17"/>
    </row>
    <row r="817" spans="1:13" s="2" customFormat="1" x14ac:dyDescent="0.25">
      <c r="A817" s="6"/>
      <c r="D817" s="17"/>
      <c r="E817" s="18"/>
      <c r="F817" s="17"/>
      <c r="G817" s="17"/>
      <c r="H817" s="17"/>
      <c r="I817" s="17"/>
      <c r="J817" s="17"/>
      <c r="K817" s="17"/>
      <c r="L817" s="17"/>
      <c r="M817" s="17"/>
    </row>
    <row r="818" spans="1:13" s="2" customFormat="1" x14ac:dyDescent="0.25">
      <c r="A818" s="6"/>
      <c r="D818" s="17"/>
      <c r="E818" s="18"/>
      <c r="F818" s="17"/>
      <c r="G818" s="17"/>
      <c r="H818" s="17"/>
      <c r="I818" s="17"/>
      <c r="J818" s="17"/>
      <c r="K818" s="17"/>
      <c r="L818" s="17"/>
      <c r="M818" s="17"/>
    </row>
    <row r="819" spans="1:13" s="2" customFormat="1" x14ac:dyDescent="0.25">
      <c r="A819" s="6"/>
      <c r="D819" s="17"/>
      <c r="E819" s="18"/>
      <c r="F819" s="17"/>
      <c r="G819" s="17"/>
      <c r="H819" s="17"/>
      <c r="I819" s="17"/>
      <c r="J819" s="17"/>
      <c r="K819" s="17"/>
      <c r="L819" s="17"/>
      <c r="M819" s="17"/>
    </row>
    <row r="820" spans="1:13" s="2" customFormat="1" x14ac:dyDescent="0.25">
      <c r="A820" s="6"/>
      <c r="D820" s="17"/>
      <c r="E820" s="18"/>
      <c r="F820" s="17"/>
      <c r="G820" s="17"/>
      <c r="H820" s="17"/>
      <c r="I820" s="17"/>
      <c r="J820" s="17"/>
      <c r="K820" s="17"/>
      <c r="L820" s="17"/>
      <c r="M820" s="17"/>
    </row>
    <row r="821" spans="1:13" s="2" customFormat="1" x14ac:dyDescent="0.25">
      <c r="A821" s="6"/>
      <c r="D821" s="17"/>
      <c r="E821" s="18"/>
      <c r="F821" s="17"/>
      <c r="G821" s="17"/>
      <c r="H821" s="17"/>
      <c r="I821" s="17"/>
      <c r="J821" s="17"/>
      <c r="K821" s="17"/>
      <c r="L821" s="17"/>
      <c r="M821" s="17"/>
    </row>
    <row r="822" spans="1:13" s="2" customFormat="1" x14ac:dyDescent="0.25">
      <c r="A822" s="6"/>
      <c r="D822" s="17"/>
      <c r="E822" s="18"/>
      <c r="F822" s="17"/>
      <c r="G822" s="17"/>
      <c r="H822" s="17"/>
      <c r="I822" s="17"/>
      <c r="J822" s="17"/>
      <c r="K822" s="17"/>
      <c r="L822" s="17"/>
      <c r="M822" s="17"/>
    </row>
    <row r="823" spans="1:13" s="2" customFormat="1" x14ac:dyDescent="0.25">
      <c r="A823" s="6"/>
      <c r="D823" s="17"/>
      <c r="E823" s="18"/>
      <c r="F823" s="17"/>
      <c r="G823" s="17"/>
      <c r="H823" s="17"/>
      <c r="I823" s="17"/>
      <c r="J823" s="17"/>
      <c r="K823" s="17"/>
      <c r="L823" s="17"/>
      <c r="M823" s="17"/>
    </row>
    <row r="824" spans="1:13" s="2" customFormat="1" x14ac:dyDescent="0.25">
      <c r="A824" s="6"/>
      <c r="D824" s="17"/>
      <c r="E824" s="18"/>
      <c r="F824" s="17"/>
      <c r="G824" s="17"/>
      <c r="H824" s="17"/>
      <c r="I824" s="17"/>
      <c r="J824" s="17"/>
      <c r="K824" s="17"/>
      <c r="L824" s="17"/>
      <c r="M824" s="17"/>
    </row>
    <row r="825" spans="1:13" s="2" customFormat="1" x14ac:dyDescent="0.25">
      <c r="A825" s="6"/>
      <c r="D825" s="17"/>
      <c r="E825" s="18"/>
      <c r="F825" s="17"/>
      <c r="G825" s="17"/>
      <c r="H825" s="17"/>
      <c r="I825" s="17"/>
      <c r="J825" s="17"/>
      <c r="K825" s="17"/>
      <c r="L825" s="17"/>
      <c r="M825" s="17"/>
    </row>
    <row r="826" spans="1:13" s="2" customFormat="1" x14ac:dyDescent="0.25">
      <c r="A826" s="6"/>
      <c r="D826" s="17"/>
      <c r="E826" s="18"/>
      <c r="F826" s="17"/>
      <c r="G826" s="17"/>
      <c r="H826" s="17"/>
      <c r="I826" s="17"/>
      <c r="J826" s="17"/>
      <c r="K826" s="17"/>
      <c r="L826" s="17"/>
      <c r="M826" s="17"/>
    </row>
    <row r="827" spans="1:13" s="2" customFormat="1" x14ac:dyDescent="0.25">
      <c r="A827" s="6"/>
      <c r="D827" s="17"/>
      <c r="E827" s="18"/>
      <c r="F827" s="17"/>
      <c r="G827" s="17"/>
      <c r="H827" s="17"/>
      <c r="I827" s="17"/>
      <c r="J827" s="17"/>
      <c r="K827" s="17"/>
      <c r="L827" s="17"/>
      <c r="M827" s="17"/>
    </row>
    <row r="828" spans="1:13" s="2" customFormat="1" x14ac:dyDescent="0.25">
      <c r="A828" s="6"/>
      <c r="D828" s="17"/>
      <c r="E828" s="18"/>
      <c r="F828" s="17"/>
      <c r="G828" s="17"/>
      <c r="H828" s="17"/>
      <c r="I828" s="17"/>
      <c r="J828" s="17"/>
      <c r="K828" s="17"/>
      <c r="L828" s="17"/>
      <c r="M828" s="17"/>
    </row>
    <row r="829" spans="1:13" s="2" customFormat="1" x14ac:dyDescent="0.25">
      <c r="A829" s="6"/>
      <c r="D829" s="17"/>
      <c r="E829" s="18"/>
      <c r="F829" s="17"/>
      <c r="G829" s="17"/>
      <c r="H829" s="17"/>
      <c r="I829" s="17"/>
      <c r="J829" s="17"/>
      <c r="K829" s="17"/>
      <c r="L829" s="17"/>
      <c r="M829" s="17"/>
    </row>
    <row r="830" spans="1:13" s="2" customFormat="1" x14ac:dyDescent="0.25">
      <c r="A830" s="6"/>
      <c r="D830" s="17"/>
      <c r="E830" s="18"/>
      <c r="F830" s="17"/>
      <c r="G830" s="17"/>
      <c r="H830" s="17"/>
      <c r="I830" s="17"/>
      <c r="J830" s="17"/>
      <c r="K830" s="17"/>
      <c r="L830" s="17"/>
      <c r="M830" s="17"/>
    </row>
    <row r="831" spans="1:13" s="2" customFormat="1" x14ac:dyDescent="0.25">
      <c r="A831" s="6"/>
      <c r="D831" s="17"/>
      <c r="E831" s="18"/>
      <c r="F831" s="17"/>
      <c r="G831" s="17"/>
      <c r="H831" s="17"/>
      <c r="I831" s="17"/>
      <c r="J831" s="17"/>
      <c r="K831" s="17"/>
      <c r="L831" s="17"/>
      <c r="M831" s="17"/>
    </row>
    <row r="832" spans="1:13" s="2" customFormat="1" x14ac:dyDescent="0.25">
      <c r="A832" s="6"/>
      <c r="D832" s="17"/>
      <c r="E832" s="18"/>
      <c r="F832" s="17"/>
      <c r="G832" s="17"/>
      <c r="H832" s="17"/>
      <c r="I832" s="17"/>
      <c r="J832" s="17"/>
      <c r="K832" s="17"/>
      <c r="L832" s="17"/>
      <c r="M832" s="17"/>
    </row>
    <row r="833" spans="1:13" s="2" customFormat="1" x14ac:dyDescent="0.25">
      <c r="A833" s="6"/>
      <c r="D833" s="17"/>
      <c r="E833" s="18"/>
      <c r="F833" s="17"/>
      <c r="G833" s="17"/>
      <c r="H833" s="17"/>
      <c r="I833" s="17"/>
      <c r="J833" s="17"/>
      <c r="K833" s="17"/>
      <c r="L833" s="17"/>
      <c r="M833" s="17"/>
    </row>
    <row r="834" spans="1:13" s="2" customFormat="1" x14ac:dyDescent="0.25">
      <c r="A834" s="6"/>
      <c r="D834" s="17"/>
      <c r="E834" s="18"/>
      <c r="F834" s="17"/>
      <c r="G834" s="17"/>
      <c r="H834" s="17"/>
      <c r="I834" s="17"/>
      <c r="J834" s="17"/>
      <c r="K834" s="17"/>
      <c r="L834" s="17"/>
      <c r="M834" s="17"/>
    </row>
    <row r="835" spans="1:13" s="2" customFormat="1" x14ac:dyDescent="0.25">
      <c r="A835" s="6"/>
      <c r="D835" s="17"/>
      <c r="E835" s="18"/>
      <c r="F835" s="17"/>
      <c r="G835" s="17"/>
      <c r="H835" s="17"/>
      <c r="I835" s="17"/>
      <c r="J835" s="17"/>
      <c r="K835" s="17"/>
      <c r="L835" s="17"/>
      <c r="M835" s="17"/>
    </row>
    <row r="836" spans="1:13" s="2" customFormat="1" x14ac:dyDescent="0.25">
      <c r="A836" s="6"/>
      <c r="D836" s="17"/>
      <c r="E836" s="18"/>
      <c r="F836" s="17"/>
      <c r="G836" s="17"/>
      <c r="H836" s="17"/>
      <c r="I836" s="17"/>
      <c r="J836" s="17"/>
      <c r="K836" s="17"/>
      <c r="L836" s="17"/>
      <c r="M836" s="17"/>
    </row>
    <row r="837" spans="1:13" s="2" customFormat="1" x14ac:dyDescent="0.25">
      <c r="A837" s="6"/>
      <c r="D837" s="17"/>
      <c r="E837" s="18"/>
      <c r="F837" s="17"/>
      <c r="G837" s="17"/>
      <c r="H837" s="17"/>
      <c r="I837" s="17"/>
      <c r="J837" s="17"/>
      <c r="K837" s="17"/>
      <c r="L837" s="17"/>
      <c r="M837" s="17"/>
    </row>
    <row r="838" spans="1:13" s="2" customFormat="1" x14ac:dyDescent="0.25">
      <c r="A838" s="6"/>
      <c r="D838" s="17"/>
      <c r="E838" s="18"/>
      <c r="F838" s="17"/>
      <c r="G838" s="17"/>
      <c r="H838" s="17"/>
      <c r="I838" s="17"/>
      <c r="J838" s="17"/>
      <c r="K838" s="17"/>
      <c r="L838" s="17"/>
      <c r="M838" s="17"/>
    </row>
    <row r="839" spans="1:13" s="2" customFormat="1" x14ac:dyDescent="0.25">
      <c r="A839" s="6"/>
      <c r="D839" s="17"/>
      <c r="E839" s="18"/>
      <c r="F839" s="17"/>
      <c r="G839" s="17"/>
      <c r="H839" s="17"/>
      <c r="I839" s="17"/>
      <c r="J839" s="17"/>
      <c r="K839" s="17"/>
      <c r="L839" s="17"/>
      <c r="M839" s="17"/>
    </row>
    <row r="840" spans="1:13" s="2" customFormat="1" x14ac:dyDescent="0.25">
      <c r="A840" s="6"/>
      <c r="D840" s="17"/>
      <c r="E840" s="18"/>
      <c r="F840" s="17"/>
      <c r="G840" s="17"/>
      <c r="H840" s="17"/>
      <c r="I840" s="17"/>
      <c r="J840" s="17"/>
      <c r="K840" s="17"/>
      <c r="L840" s="17"/>
      <c r="M840" s="17"/>
    </row>
    <row r="841" spans="1:13" s="2" customFormat="1" x14ac:dyDescent="0.25">
      <c r="A841" s="6"/>
      <c r="D841" s="17"/>
      <c r="E841" s="18"/>
      <c r="F841" s="17"/>
      <c r="G841" s="17"/>
      <c r="H841" s="17"/>
      <c r="I841" s="17"/>
      <c r="J841" s="17"/>
      <c r="K841" s="17"/>
      <c r="L841" s="17"/>
      <c r="M841" s="17"/>
    </row>
    <row r="842" spans="1:13" s="2" customFormat="1" x14ac:dyDescent="0.25">
      <c r="A842" s="6"/>
      <c r="D842" s="17"/>
      <c r="E842" s="18"/>
      <c r="F842" s="17"/>
      <c r="G842" s="17"/>
      <c r="H842" s="17"/>
      <c r="I842" s="17"/>
      <c r="J842" s="17"/>
      <c r="K842" s="17"/>
      <c r="L842" s="17"/>
      <c r="M842" s="17"/>
    </row>
    <row r="843" spans="1:13" s="2" customFormat="1" x14ac:dyDescent="0.25">
      <c r="A843" s="6"/>
      <c r="D843" s="17"/>
      <c r="E843" s="18"/>
      <c r="F843" s="17"/>
      <c r="G843" s="17"/>
      <c r="H843" s="17"/>
      <c r="I843" s="17"/>
      <c r="J843" s="17"/>
      <c r="K843" s="17"/>
      <c r="L843" s="17"/>
      <c r="M843" s="17"/>
    </row>
    <row r="844" spans="1:13" s="2" customFormat="1" x14ac:dyDescent="0.25">
      <c r="A844" s="6"/>
      <c r="D844" s="17"/>
      <c r="E844" s="18"/>
      <c r="F844" s="17"/>
      <c r="G844" s="17"/>
      <c r="H844" s="17"/>
      <c r="I844" s="17"/>
      <c r="J844" s="17"/>
      <c r="K844" s="17"/>
      <c r="L844" s="17"/>
      <c r="M844" s="17"/>
    </row>
    <row r="845" spans="1:13" s="2" customFormat="1" x14ac:dyDescent="0.25">
      <c r="A845" s="6"/>
      <c r="D845" s="17"/>
      <c r="E845" s="18"/>
      <c r="F845" s="17"/>
      <c r="G845" s="17"/>
      <c r="H845" s="17"/>
      <c r="I845" s="17"/>
      <c r="J845" s="17"/>
      <c r="K845" s="17"/>
      <c r="L845" s="17"/>
      <c r="M845" s="17"/>
    </row>
    <row r="846" spans="1:13" s="2" customFormat="1" x14ac:dyDescent="0.25">
      <c r="A846" s="6"/>
      <c r="D846" s="17"/>
      <c r="E846" s="18"/>
      <c r="F846" s="17"/>
      <c r="G846" s="17"/>
      <c r="H846" s="17"/>
      <c r="I846" s="17"/>
      <c r="J846" s="17"/>
      <c r="K846" s="17"/>
      <c r="L846" s="17"/>
      <c r="M846" s="17"/>
    </row>
    <row r="847" spans="1:13" s="2" customFormat="1" x14ac:dyDescent="0.25">
      <c r="A847" s="6"/>
      <c r="D847" s="17"/>
      <c r="E847" s="18"/>
      <c r="F847" s="17"/>
      <c r="G847" s="17"/>
      <c r="H847" s="17"/>
      <c r="I847" s="17"/>
      <c r="J847" s="17"/>
      <c r="K847" s="17"/>
      <c r="L847" s="17"/>
      <c r="M847" s="17"/>
    </row>
    <row r="848" spans="1:13" s="2" customFormat="1" x14ac:dyDescent="0.25">
      <c r="A848" s="6"/>
      <c r="D848" s="17"/>
      <c r="E848" s="18"/>
      <c r="F848" s="17"/>
      <c r="G848" s="17"/>
      <c r="H848" s="17"/>
      <c r="I848" s="17"/>
      <c r="J848" s="17"/>
      <c r="K848" s="17"/>
      <c r="L848" s="17"/>
      <c r="M848" s="17"/>
    </row>
    <row r="849" spans="1:13" s="2" customFormat="1" x14ac:dyDescent="0.25">
      <c r="A849" s="6"/>
      <c r="D849" s="17"/>
      <c r="E849" s="18"/>
      <c r="F849" s="17"/>
      <c r="G849" s="17"/>
      <c r="H849" s="17"/>
      <c r="I849" s="17"/>
      <c r="J849" s="17"/>
      <c r="K849" s="17"/>
      <c r="L849" s="17"/>
      <c r="M849" s="17"/>
    </row>
    <row r="850" spans="1:13" s="2" customFormat="1" x14ac:dyDescent="0.25">
      <c r="A850" s="6"/>
      <c r="D850" s="17"/>
      <c r="E850" s="18"/>
      <c r="F850" s="17"/>
      <c r="G850" s="17"/>
      <c r="H850" s="17"/>
      <c r="I850" s="17"/>
      <c r="J850" s="17"/>
      <c r="K850" s="17"/>
      <c r="L850" s="17"/>
      <c r="M850" s="17"/>
    </row>
    <row r="851" spans="1:13" s="2" customFormat="1" x14ac:dyDescent="0.25">
      <c r="A851" s="6"/>
      <c r="D851" s="17"/>
      <c r="E851" s="18"/>
      <c r="F851" s="17"/>
      <c r="G851" s="17"/>
      <c r="H851" s="17"/>
      <c r="I851" s="17"/>
      <c r="J851" s="17"/>
      <c r="K851" s="17"/>
      <c r="L851" s="17"/>
      <c r="M851" s="17"/>
    </row>
    <row r="852" spans="1:13" s="2" customFormat="1" x14ac:dyDescent="0.25">
      <c r="A852" s="6"/>
      <c r="D852" s="17"/>
      <c r="E852" s="18"/>
      <c r="F852" s="17"/>
      <c r="G852" s="17"/>
      <c r="H852" s="17"/>
      <c r="I852" s="17"/>
      <c r="J852" s="17"/>
      <c r="K852" s="17"/>
      <c r="L852" s="17"/>
      <c r="M852" s="17"/>
    </row>
    <row r="853" spans="1:13" s="2" customFormat="1" x14ac:dyDescent="0.25">
      <c r="A853" s="6"/>
      <c r="D853" s="17"/>
      <c r="E853" s="18"/>
      <c r="F853" s="17"/>
      <c r="G853" s="17"/>
      <c r="H853" s="17"/>
      <c r="I853" s="17"/>
      <c r="J853" s="17"/>
      <c r="K853" s="17"/>
      <c r="L853" s="17"/>
      <c r="M853" s="17"/>
    </row>
    <row r="854" spans="1:13" s="2" customFormat="1" x14ac:dyDescent="0.25">
      <c r="A854" s="6"/>
      <c r="D854" s="17"/>
      <c r="E854" s="18"/>
      <c r="F854" s="17"/>
      <c r="G854" s="17"/>
      <c r="H854" s="17"/>
      <c r="I854" s="17"/>
      <c r="J854" s="17"/>
      <c r="K854" s="17"/>
      <c r="L854" s="17"/>
      <c r="M854" s="17"/>
    </row>
    <row r="855" spans="1:13" s="2" customFormat="1" x14ac:dyDescent="0.25">
      <c r="A855" s="6"/>
      <c r="D855" s="17"/>
      <c r="E855" s="18"/>
      <c r="F855" s="17"/>
      <c r="G855" s="17"/>
      <c r="H855" s="17"/>
      <c r="I855" s="17"/>
      <c r="J855" s="17"/>
      <c r="K855" s="17"/>
      <c r="L855" s="17"/>
      <c r="M855" s="17"/>
    </row>
    <row r="856" spans="1:13" s="2" customFormat="1" x14ac:dyDescent="0.25">
      <c r="A856" s="6"/>
      <c r="D856" s="17"/>
      <c r="E856" s="18"/>
      <c r="F856" s="17"/>
      <c r="G856" s="17"/>
      <c r="H856" s="17"/>
      <c r="I856" s="17"/>
      <c r="J856" s="17"/>
      <c r="K856" s="17"/>
      <c r="L856" s="17"/>
      <c r="M856" s="17"/>
    </row>
    <row r="857" spans="1:13" s="2" customFormat="1" x14ac:dyDescent="0.25">
      <c r="A857" s="6"/>
      <c r="D857" s="17"/>
      <c r="E857" s="18"/>
      <c r="F857" s="17"/>
      <c r="G857" s="17"/>
      <c r="H857" s="17"/>
      <c r="I857" s="17"/>
      <c r="J857" s="17"/>
      <c r="K857" s="17"/>
      <c r="L857" s="17"/>
      <c r="M857" s="17"/>
    </row>
    <row r="858" spans="1:13" s="2" customFormat="1" x14ac:dyDescent="0.25">
      <c r="A858" s="6"/>
      <c r="D858" s="17"/>
      <c r="E858" s="18"/>
      <c r="F858" s="17"/>
      <c r="G858" s="17"/>
      <c r="H858" s="17"/>
      <c r="I858" s="17"/>
      <c r="J858" s="17"/>
      <c r="K858" s="17"/>
      <c r="L858" s="17"/>
      <c r="M858" s="17"/>
    </row>
    <row r="859" spans="1:13" s="2" customFormat="1" x14ac:dyDescent="0.25">
      <c r="A859" s="6"/>
      <c r="D859" s="17"/>
      <c r="E859" s="18"/>
      <c r="F859" s="17"/>
      <c r="G859" s="17"/>
      <c r="H859" s="17"/>
      <c r="I859" s="17"/>
      <c r="J859" s="17"/>
      <c r="K859" s="17"/>
      <c r="L859" s="17"/>
      <c r="M859" s="17"/>
    </row>
    <row r="860" spans="1:13" s="2" customFormat="1" x14ac:dyDescent="0.25">
      <c r="A860" s="6"/>
      <c r="D860" s="17"/>
      <c r="E860" s="18"/>
      <c r="F860" s="17"/>
      <c r="G860" s="17"/>
      <c r="H860" s="17"/>
      <c r="I860" s="17"/>
      <c r="J860" s="17"/>
      <c r="K860" s="17"/>
      <c r="L860" s="17"/>
      <c r="M860" s="17"/>
    </row>
    <row r="861" spans="1:13" s="2" customFormat="1" x14ac:dyDescent="0.25">
      <c r="A861" s="6"/>
      <c r="D861" s="17"/>
      <c r="E861" s="18"/>
      <c r="F861" s="17"/>
      <c r="G861" s="17"/>
      <c r="H861" s="17"/>
      <c r="I861" s="17"/>
      <c r="J861" s="17"/>
      <c r="K861" s="17"/>
      <c r="L861" s="17"/>
      <c r="M861" s="17"/>
    </row>
    <row r="862" spans="1:13" s="2" customFormat="1" x14ac:dyDescent="0.25">
      <c r="A862" s="6"/>
      <c r="D862" s="17"/>
      <c r="E862" s="18"/>
      <c r="F862" s="17"/>
      <c r="G862" s="17"/>
      <c r="H862" s="17"/>
      <c r="I862" s="17"/>
      <c r="J862" s="17"/>
      <c r="K862" s="17"/>
      <c r="L862" s="17"/>
      <c r="M862" s="17"/>
    </row>
    <row r="863" spans="1:13" s="2" customFormat="1" x14ac:dyDescent="0.25">
      <c r="A863" s="6"/>
      <c r="D863" s="17"/>
      <c r="E863" s="18"/>
      <c r="F863" s="17"/>
      <c r="G863" s="17"/>
      <c r="H863" s="17"/>
      <c r="I863" s="17"/>
      <c r="J863" s="17"/>
      <c r="K863" s="17"/>
      <c r="L863" s="17"/>
      <c r="M863" s="17"/>
    </row>
    <row r="864" spans="1:13" s="2" customFormat="1" x14ac:dyDescent="0.25">
      <c r="A864" s="6"/>
      <c r="D864" s="17"/>
      <c r="E864" s="18"/>
      <c r="F864" s="17"/>
      <c r="G864" s="17"/>
      <c r="H864" s="17"/>
      <c r="I864" s="17"/>
      <c r="J864" s="17"/>
      <c r="K864" s="17"/>
      <c r="L864" s="17"/>
      <c r="M864" s="17"/>
    </row>
    <row r="865" spans="1:13" s="2" customFormat="1" x14ac:dyDescent="0.25">
      <c r="A865" s="6"/>
      <c r="D865" s="17"/>
      <c r="E865" s="18"/>
      <c r="F865" s="17"/>
      <c r="G865" s="17"/>
      <c r="H865" s="17"/>
      <c r="I865" s="17"/>
      <c r="J865" s="17"/>
      <c r="K865" s="17"/>
      <c r="L865" s="17"/>
      <c r="M865" s="17"/>
    </row>
    <row r="866" spans="1:13" s="2" customFormat="1" x14ac:dyDescent="0.25">
      <c r="A866" s="6"/>
      <c r="D866" s="17"/>
      <c r="E866" s="18"/>
      <c r="F866" s="17"/>
      <c r="G866" s="17"/>
      <c r="H866" s="17"/>
      <c r="I866" s="17"/>
      <c r="J866" s="17"/>
      <c r="K866" s="17"/>
      <c r="L866" s="17"/>
      <c r="M866" s="17"/>
    </row>
    <row r="867" spans="1:13" s="2" customFormat="1" x14ac:dyDescent="0.25">
      <c r="A867" s="6"/>
      <c r="D867" s="17"/>
      <c r="E867" s="18"/>
      <c r="F867" s="17"/>
      <c r="G867" s="17"/>
      <c r="H867" s="17"/>
      <c r="I867" s="17"/>
      <c r="J867" s="17"/>
      <c r="K867" s="17"/>
      <c r="L867" s="17"/>
      <c r="M867" s="17"/>
    </row>
    <row r="868" spans="1:13" s="2" customFormat="1" x14ac:dyDescent="0.25">
      <c r="A868" s="6"/>
      <c r="D868" s="17"/>
      <c r="E868" s="18"/>
      <c r="F868" s="17"/>
      <c r="G868" s="17"/>
      <c r="H868" s="17"/>
      <c r="I868" s="17"/>
      <c r="J868" s="17"/>
      <c r="K868" s="17"/>
      <c r="L868" s="17"/>
      <c r="M868" s="17"/>
    </row>
    <row r="869" spans="1:13" s="2" customFormat="1" x14ac:dyDescent="0.25">
      <c r="A869" s="6"/>
      <c r="D869" s="17"/>
      <c r="E869" s="18"/>
      <c r="F869" s="17"/>
      <c r="G869" s="17"/>
      <c r="H869" s="17"/>
      <c r="I869" s="17"/>
      <c r="J869" s="17"/>
      <c r="K869" s="17"/>
      <c r="L869" s="17"/>
      <c r="M869" s="17"/>
    </row>
    <row r="870" spans="1:13" s="2" customFormat="1" x14ac:dyDescent="0.25">
      <c r="A870" s="6"/>
      <c r="D870" s="17"/>
      <c r="E870" s="18"/>
      <c r="F870" s="17"/>
      <c r="G870" s="17"/>
      <c r="H870" s="17"/>
      <c r="I870" s="17"/>
      <c r="J870" s="17"/>
      <c r="K870" s="17"/>
      <c r="L870" s="17"/>
      <c r="M870" s="17"/>
    </row>
    <row r="871" spans="1:13" s="2" customFormat="1" x14ac:dyDescent="0.25">
      <c r="A871" s="6"/>
      <c r="D871" s="17"/>
      <c r="E871" s="18"/>
      <c r="F871" s="17"/>
      <c r="G871" s="17"/>
      <c r="H871" s="17"/>
      <c r="I871" s="17"/>
      <c r="J871" s="17"/>
      <c r="K871" s="17"/>
      <c r="L871" s="17"/>
      <c r="M871" s="17"/>
    </row>
    <row r="872" spans="1:13" s="2" customFormat="1" x14ac:dyDescent="0.25">
      <c r="A872" s="6"/>
      <c r="D872" s="17"/>
      <c r="E872" s="18"/>
      <c r="F872" s="17"/>
      <c r="G872" s="17"/>
      <c r="H872" s="17"/>
      <c r="I872" s="17"/>
      <c r="J872" s="17"/>
      <c r="K872" s="17"/>
      <c r="L872" s="17"/>
      <c r="M872" s="17"/>
    </row>
    <row r="873" spans="1:13" s="2" customFormat="1" x14ac:dyDescent="0.25">
      <c r="A873" s="6"/>
      <c r="D873" s="17"/>
      <c r="E873" s="18"/>
      <c r="F873" s="17"/>
      <c r="G873" s="17"/>
      <c r="H873" s="17"/>
      <c r="I873" s="17"/>
      <c r="J873" s="17"/>
      <c r="K873" s="17"/>
      <c r="L873" s="17"/>
      <c r="M873" s="17"/>
    </row>
    <row r="874" spans="1:13" s="2" customFormat="1" x14ac:dyDescent="0.25">
      <c r="A874" s="6"/>
      <c r="D874" s="17"/>
      <c r="E874" s="18"/>
      <c r="F874" s="17"/>
      <c r="G874" s="17"/>
      <c r="H874" s="17"/>
      <c r="I874" s="17"/>
      <c r="J874" s="17"/>
      <c r="K874" s="17"/>
      <c r="L874" s="17"/>
      <c r="M874" s="17"/>
    </row>
    <row r="875" spans="1:13" s="2" customFormat="1" x14ac:dyDescent="0.25">
      <c r="A875" s="6"/>
      <c r="D875" s="17"/>
      <c r="E875" s="18"/>
      <c r="F875" s="17"/>
      <c r="G875" s="17"/>
      <c r="H875" s="17"/>
      <c r="I875" s="17"/>
      <c r="J875" s="17"/>
      <c r="K875" s="17"/>
      <c r="L875" s="17"/>
      <c r="M875" s="17"/>
    </row>
    <row r="876" spans="1:13" s="2" customFormat="1" x14ac:dyDescent="0.25">
      <c r="A876" s="6"/>
      <c r="D876" s="17"/>
      <c r="E876" s="18"/>
      <c r="F876" s="17"/>
      <c r="G876" s="17"/>
      <c r="H876" s="17"/>
      <c r="I876" s="17"/>
      <c r="J876" s="17"/>
      <c r="K876" s="17"/>
      <c r="L876" s="17"/>
      <c r="M876" s="17"/>
    </row>
    <row r="877" spans="1:13" s="2" customFormat="1" x14ac:dyDescent="0.25">
      <c r="A877" s="6"/>
      <c r="D877" s="17"/>
      <c r="E877" s="18"/>
      <c r="F877" s="17"/>
      <c r="G877" s="17"/>
      <c r="H877" s="17"/>
      <c r="I877" s="17"/>
      <c r="J877" s="17"/>
      <c r="K877" s="17"/>
      <c r="L877" s="17"/>
      <c r="M877" s="17"/>
    </row>
    <row r="878" spans="1:13" s="2" customFormat="1" x14ac:dyDescent="0.25">
      <c r="A878" s="6"/>
      <c r="D878" s="17"/>
      <c r="E878" s="18"/>
      <c r="F878" s="17"/>
      <c r="G878" s="17"/>
      <c r="H878" s="17"/>
      <c r="I878" s="17"/>
      <c r="J878" s="17"/>
      <c r="K878" s="17"/>
      <c r="L878" s="17"/>
      <c r="M878" s="17"/>
    </row>
    <row r="879" spans="1:13" s="2" customFormat="1" x14ac:dyDescent="0.25">
      <c r="A879" s="6"/>
      <c r="D879" s="17"/>
      <c r="E879" s="18"/>
      <c r="F879" s="17"/>
      <c r="G879" s="17"/>
      <c r="H879" s="17"/>
      <c r="I879" s="17"/>
      <c r="J879" s="17"/>
      <c r="K879" s="17"/>
      <c r="L879" s="17"/>
      <c r="M879" s="17"/>
    </row>
    <row r="880" spans="1:13" s="2" customFormat="1" x14ac:dyDescent="0.25">
      <c r="A880" s="6"/>
      <c r="D880" s="17"/>
      <c r="E880" s="18"/>
      <c r="F880" s="17"/>
      <c r="G880" s="17"/>
      <c r="H880" s="17"/>
      <c r="I880" s="17"/>
      <c r="J880" s="17"/>
      <c r="K880" s="17"/>
      <c r="L880" s="17"/>
      <c r="M880" s="17"/>
    </row>
    <row r="881" spans="1:13" s="2" customFormat="1" x14ac:dyDescent="0.25">
      <c r="A881" s="6"/>
      <c r="D881" s="17"/>
      <c r="E881" s="18"/>
      <c r="F881" s="17"/>
      <c r="G881" s="17"/>
      <c r="H881" s="17"/>
      <c r="I881" s="17"/>
      <c r="J881" s="17"/>
      <c r="K881" s="17"/>
      <c r="L881" s="17"/>
      <c r="M881" s="17"/>
    </row>
    <row r="882" spans="1:13" s="2" customFormat="1" x14ac:dyDescent="0.25">
      <c r="A882" s="6"/>
      <c r="D882" s="17"/>
      <c r="E882" s="18"/>
      <c r="F882" s="17"/>
      <c r="G882" s="17"/>
      <c r="H882" s="17"/>
      <c r="I882" s="17"/>
      <c r="J882" s="17"/>
      <c r="K882" s="17"/>
      <c r="L882" s="17"/>
      <c r="M882" s="17"/>
    </row>
    <row r="883" spans="1:13" s="2" customFormat="1" x14ac:dyDescent="0.25">
      <c r="A883" s="6"/>
      <c r="D883" s="17"/>
      <c r="E883" s="18"/>
      <c r="F883" s="17"/>
      <c r="G883" s="17"/>
      <c r="H883" s="17"/>
      <c r="I883" s="17"/>
      <c r="J883" s="17"/>
      <c r="K883" s="17"/>
      <c r="L883" s="17"/>
      <c r="M883" s="17"/>
    </row>
    <row r="884" spans="1:13" s="2" customFormat="1" x14ac:dyDescent="0.25">
      <c r="A884" s="6"/>
      <c r="D884" s="17"/>
      <c r="E884" s="18"/>
      <c r="F884" s="17"/>
      <c r="G884" s="17"/>
      <c r="H884" s="17"/>
      <c r="I884" s="17"/>
      <c r="J884" s="17"/>
      <c r="K884" s="17"/>
      <c r="L884" s="17"/>
      <c r="M884" s="17"/>
    </row>
    <row r="885" spans="1:13" s="2" customFormat="1" x14ac:dyDescent="0.25">
      <c r="A885" s="6"/>
      <c r="D885" s="17"/>
      <c r="E885" s="18"/>
      <c r="F885" s="17"/>
      <c r="G885" s="17"/>
      <c r="H885" s="17"/>
      <c r="I885" s="17"/>
      <c r="J885" s="17"/>
      <c r="K885" s="17"/>
      <c r="L885" s="17"/>
      <c r="M885" s="17"/>
    </row>
    <row r="886" spans="1:13" s="2" customFormat="1" x14ac:dyDescent="0.25">
      <c r="A886" s="6"/>
      <c r="D886" s="17"/>
      <c r="E886" s="18"/>
      <c r="F886" s="17"/>
      <c r="G886" s="17"/>
      <c r="H886" s="17"/>
      <c r="I886" s="17"/>
      <c r="J886" s="17"/>
      <c r="K886" s="17"/>
      <c r="L886" s="17"/>
      <c r="M886" s="17"/>
    </row>
    <row r="887" spans="1:13" s="2" customFormat="1" x14ac:dyDescent="0.25">
      <c r="A887" s="6"/>
      <c r="D887" s="17"/>
      <c r="E887" s="18"/>
      <c r="F887" s="17"/>
      <c r="G887" s="17"/>
      <c r="H887" s="17"/>
      <c r="I887" s="17"/>
      <c r="J887" s="17"/>
      <c r="K887" s="17"/>
      <c r="L887" s="17"/>
      <c r="M887" s="17"/>
    </row>
    <row r="888" spans="1:13" s="2" customFormat="1" x14ac:dyDescent="0.25">
      <c r="A888" s="6"/>
      <c r="D888" s="17"/>
      <c r="E888" s="18"/>
      <c r="F888" s="17"/>
      <c r="G888" s="17"/>
      <c r="H888" s="17"/>
      <c r="I888" s="17"/>
      <c r="J888" s="17"/>
      <c r="K888" s="17"/>
      <c r="L888" s="17"/>
      <c r="M888" s="17"/>
    </row>
    <row r="889" spans="1:13" s="2" customFormat="1" x14ac:dyDescent="0.25">
      <c r="A889" s="6"/>
      <c r="D889" s="17"/>
      <c r="E889" s="18"/>
      <c r="F889" s="17"/>
      <c r="G889" s="17"/>
      <c r="H889" s="17"/>
      <c r="I889" s="17"/>
      <c r="J889" s="17"/>
      <c r="K889" s="17"/>
      <c r="L889" s="17"/>
      <c r="M889" s="17"/>
    </row>
    <row r="890" spans="1:13" s="2" customFormat="1" x14ac:dyDescent="0.25">
      <c r="A890" s="6"/>
      <c r="D890" s="17"/>
      <c r="E890" s="18"/>
      <c r="F890" s="17"/>
      <c r="G890" s="17"/>
      <c r="H890" s="17"/>
      <c r="I890" s="17"/>
      <c r="J890" s="17"/>
      <c r="K890" s="17"/>
      <c r="L890" s="17"/>
      <c r="M890" s="17"/>
    </row>
    <row r="891" spans="1:13" s="2" customFormat="1" x14ac:dyDescent="0.25">
      <c r="A891" s="6"/>
      <c r="D891" s="17"/>
      <c r="E891" s="18"/>
      <c r="F891" s="17"/>
      <c r="G891" s="17"/>
      <c r="H891" s="17"/>
      <c r="I891" s="17"/>
      <c r="J891" s="17"/>
      <c r="K891" s="17"/>
      <c r="L891" s="17"/>
      <c r="M891" s="17"/>
    </row>
    <row r="892" spans="1:13" s="2" customFormat="1" x14ac:dyDescent="0.25">
      <c r="A892" s="6"/>
      <c r="D892" s="17"/>
      <c r="E892" s="18"/>
      <c r="F892" s="17"/>
      <c r="G892" s="17"/>
      <c r="H892" s="17"/>
      <c r="I892" s="17"/>
      <c r="J892" s="17"/>
      <c r="K892" s="17"/>
      <c r="L892" s="17"/>
      <c r="M892" s="17"/>
    </row>
    <row r="893" spans="1:13" s="2" customFormat="1" x14ac:dyDescent="0.25">
      <c r="A893" s="6"/>
      <c r="D893" s="17"/>
      <c r="E893" s="18"/>
      <c r="F893" s="17"/>
      <c r="G893" s="17"/>
      <c r="H893" s="17"/>
      <c r="I893" s="17"/>
      <c r="J893" s="17"/>
      <c r="K893" s="17"/>
      <c r="L893" s="17"/>
      <c r="M893" s="17"/>
    </row>
    <row r="894" spans="1:13" s="2" customFormat="1" x14ac:dyDescent="0.25">
      <c r="A894" s="6"/>
      <c r="D894" s="17"/>
      <c r="E894" s="18"/>
      <c r="F894" s="17"/>
      <c r="G894" s="17"/>
      <c r="H894" s="17"/>
      <c r="I894" s="17"/>
      <c r="J894" s="17"/>
      <c r="K894" s="17"/>
      <c r="L894" s="17"/>
      <c r="M894" s="17"/>
    </row>
    <row r="895" spans="1:13" s="2" customFormat="1" x14ac:dyDescent="0.25">
      <c r="A895" s="6"/>
      <c r="D895" s="17"/>
      <c r="E895" s="18"/>
      <c r="F895" s="17"/>
      <c r="G895" s="17"/>
      <c r="H895" s="17"/>
      <c r="I895" s="17"/>
      <c r="J895" s="17"/>
      <c r="K895" s="17"/>
      <c r="L895" s="17"/>
      <c r="M895" s="17"/>
    </row>
    <row r="896" spans="1:13" s="2" customFormat="1" x14ac:dyDescent="0.25">
      <c r="A896" s="6"/>
      <c r="D896" s="17"/>
      <c r="E896" s="18"/>
      <c r="F896" s="17"/>
      <c r="G896" s="17"/>
      <c r="H896" s="17"/>
      <c r="I896" s="17"/>
      <c r="J896" s="17"/>
      <c r="K896" s="17"/>
      <c r="L896" s="17"/>
      <c r="M896" s="17"/>
    </row>
    <row r="897" spans="1:13" s="2" customFormat="1" x14ac:dyDescent="0.25">
      <c r="A897" s="6"/>
      <c r="D897" s="17"/>
      <c r="E897" s="18"/>
      <c r="F897" s="17"/>
      <c r="G897" s="17"/>
      <c r="H897" s="17"/>
      <c r="I897" s="17"/>
      <c r="J897" s="17"/>
      <c r="K897" s="17"/>
      <c r="L897" s="17"/>
      <c r="M897" s="17"/>
    </row>
    <row r="898" spans="1:13" s="2" customFormat="1" x14ac:dyDescent="0.25">
      <c r="A898" s="6"/>
      <c r="D898" s="17"/>
      <c r="E898" s="18"/>
      <c r="F898" s="17"/>
      <c r="G898" s="17"/>
      <c r="H898" s="17"/>
      <c r="I898" s="17"/>
      <c r="J898" s="17"/>
      <c r="K898" s="17"/>
      <c r="L898" s="17"/>
      <c r="M898" s="17"/>
    </row>
    <row r="899" spans="1:13" s="2" customFormat="1" x14ac:dyDescent="0.25">
      <c r="A899" s="6"/>
      <c r="D899" s="17"/>
      <c r="E899" s="18"/>
      <c r="F899" s="17"/>
      <c r="G899" s="17"/>
      <c r="H899" s="17"/>
      <c r="I899" s="17"/>
      <c r="J899" s="17"/>
      <c r="K899" s="17"/>
      <c r="L899" s="17"/>
      <c r="M899" s="17"/>
    </row>
    <row r="900" spans="1:13" s="2" customFormat="1" x14ac:dyDescent="0.25">
      <c r="A900" s="6"/>
      <c r="D900" s="17"/>
      <c r="E900" s="18"/>
      <c r="F900" s="17"/>
      <c r="G900" s="17"/>
      <c r="H900" s="17"/>
      <c r="I900" s="17"/>
      <c r="J900" s="17"/>
      <c r="K900" s="17"/>
      <c r="L900" s="17"/>
      <c r="M900" s="17"/>
    </row>
    <row r="901" spans="1:13" s="2" customFormat="1" x14ac:dyDescent="0.25">
      <c r="A901" s="6"/>
      <c r="D901" s="17"/>
      <c r="E901" s="18"/>
      <c r="F901" s="17"/>
      <c r="G901" s="17"/>
      <c r="H901" s="17"/>
      <c r="I901" s="17"/>
      <c r="J901" s="17"/>
      <c r="K901" s="17"/>
      <c r="L901" s="17"/>
      <c r="M901" s="17"/>
    </row>
    <row r="902" spans="1:13" s="2" customFormat="1" x14ac:dyDescent="0.25">
      <c r="A902" s="6"/>
      <c r="D902" s="17"/>
      <c r="E902" s="18"/>
      <c r="F902" s="17"/>
      <c r="G902" s="17"/>
      <c r="H902" s="17"/>
      <c r="I902" s="17"/>
      <c r="J902" s="17"/>
      <c r="K902" s="17"/>
      <c r="L902" s="17"/>
      <c r="M902" s="17"/>
    </row>
    <row r="903" spans="1:13" s="2" customFormat="1" x14ac:dyDescent="0.25">
      <c r="A903" s="6"/>
      <c r="D903" s="17"/>
      <c r="E903" s="18"/>
      <c r="F903" s="17"/>
      <c r="G903" s="17"/>
      <c r="H903" s="17"/>
      <c r="I903" s="17"/>
      <c r="J903" s="17"/>
      <c r="K903" s="17"/>
      <c r="L903" s="17"/>
      <c r="M903" s="17"/>
    </row>
    <row r="904" spans="1:13" s="2" customFormat="1" x14ac:dyDescent="0.25">
      <c r="A904" s="6"/>
      <c r="D904" s="17"/>
      <c r="E904" s="18"/>
      <c r="F904" s="17"/>
      <c r="G904" s="17"/>
      <c r="H904" s="17"/>
      <c r="I904" s="17"/>
      <c r="J904" s="17"/>
      <c r="K904" s="17"/>
      <c r="L904" s="17"/>
      <c r="M904" s="17"/>
    </row>
    <row r="905" spans="1:13" s="2" customFormat="1" x14ac:dyDescent="0.25">
      <c r="A905" s="6"/>
      <c r="D905" s="17"/>
      <c r="E905" s="18"/>
      <c r="F905" s="17"/>
      <c r="G905" s="17"/>
      <c r="H905" s="17"/>
      <c r="I905" s="17"/>
      <c r="J905" s="17"/>
      <c r="K905" s="17"/>
      <c r="L905" s="17"/>
      <c r="M905" s="17"/>
    </row>
    <row r="906" spans="1:13" s="2" customFormat="1" x14ac:dyDescent="0.25">
      <c r="A906" s="6"/>
      <c r="D906" s="17"/>
      <c r="E906" s="18"/>
      <c r="F906" s="17"/>
      <c r="G906" s="17"/>
      <c r="H906" s="17"/>
      <c r="I906" s="17"/>
      <c r="J906" s="17"/>
      <c r="K906" s="17"/>
      <c r="L906" s="17"/>
      <c r="M906" s="17"/>
    </row>
    <row r="907" spans="1:13" s="2" customFormat="1" x14ac:dyDescent="0.25">
      <c r="A907" s="6"/>
      <c r="D907" s="17"/>
      <c r="E907" s="18"/>
      <c r="F907" s="17"/>
      <c r="G907" s="17"/>
      <c r="H907" s="17"/>
      <c r="I907" s="17"/>
      <c r="J907" s="17"/>
      <c r="K907" s="17"/>
      <c r="L907" s="17"/>
      <c r="M907" s="17"/>
    </row>
    <row r="908" spans="1:13" s="2" customFormat="1" x14ac:dyDescent="0.25">
      <c r="A908" s="6"/>
      <c r="D908" s="17"/>
      <c r="E908" s="18"/>
      <c r="F908" s="17"/>
      <c r="G908" s="17"/>
      <c r="H908" s="17"/>
      <c r="I908" s="17"/>
      <c r="J908" s="17"/>
      <c r="K908" s="17"/>
      <c r="L908" s="17"/>
      <c r="M908" s="17"/>
    </row>
    <row r="909" spans="1:13" s="2" customFormat="1" x14ac:dyDescent="0.25">
      <c r="A909" s="6"/>
      <c r="D909" s="17"/>
      <c r="E909" s="18"/>
      <c r="F909" s="17"/>
      <c r="G909" s="17"/>
      <c r="H909" s="17"/>
      <c r="I909" s="17"/>
      <c r="J909" s="17"/>
      <c r="K909" s="17"/>
      <c r="L909" s="17"/>
      <c r="M909" s="17"/>
    </row>
    <row r="910" spans="1:13" s="2" customFormat="1" x14ac:dyDescent="0.25">
      <c r="A910" s="6"/>
      <c r="D910" s="17"/>
      <c r="E910" s="18"/>
      <c r="F910" s="17"/>
      <c r="G910" s="17"/>
      <c r="H910" s="17"/>
      <c r="I910" s="17"/>
      <c r="J910" s="17"/>
      <c r="K910" s="17"/>
      <c r="L910" s="17"/>
      <c r="M910" s="17"/>
    </row>
    <row r="911" spans="1:13" s="2" customFormat="1" x14ac:dyDescent="0.25">
      <c r="A911" s="6"/>
      <c r="D911" s="17"/>
      <c r="E911" s="18"/>
      <c r="F911" s="17"/>
      <c r="G911" s="17"/>
      <c r="H911" s="17"/>
      <c r="I911" s="17"/>
      <c r="J911" s="17"/>
      <c r="K911" s="17"/>
      <c r="L911" s="17"/>
      <c r="M911" s="17"/>
    </row>
    <row r="912" spans="1:13" s="2" customFormat="1" x14ac:dyDescent="0.25">
      <c r="A912" s="6"/>
      <c r="D912" s="17"/>
      <c r="E912" s="18"/>
      <c r="F912" s="17"/>
      <c r="G912" s="17"/>
      <c r="H912" s="17"/>
      <c r="I912" s="17"/>
      <c r="J912" s="17"/>
      <c r="K912" s="17"/>
      <c r="L912" s="17"/>
      <c r="M912" s="17"/>
    </row>
    <row r="913" spans="1:13" s="2" customFormat="1" x14ac:dyDescent="0.25">
      <c r="A913" s="6"/>
      <c r="D913" s="17"/>
      <c r="E913" s="18"/>
      <c r="F913" s="17"/>
      <c r="G913" s="17"/>
      <c r="H913" s="17"/>
      <c r="I913" s="17"/>
      <c r="J913" s="17"/>
      <c r="K913" s="17"/>
      <c r="L913" s="17"/>
      <c r="M913" s="17"/>
    </row>
    <row r="914" spans="1:13" s="2" customFormat="1" x14ac:dyDescent="0.25">
      <c r="A914" s="6"/>
      <c r="D914" s="17"/>
      <c r="E914" s="18"/>
      <c r="F914" s="17"/>
      <c r="G914" s="17"/>
      <c r="H914" s="17"/>
      <c r="I914" s="17"/>
      <c r="J914" s="17"/>
      <c r="K914" s="17"/>
      <c r="L914" s="17"/>
      <c r="M914" s="17"/>
    </row>
    <row r="915" spans="1:13" s="2" customFormat="1" x14ac:dyDescent="0.25">
      <c r="A915" s="6"/>
      <c r="D915" s="17"/>
      <c r="E915" s="18"/>
      <c r="F915" s="17"/>
      <c r="G915" s="17"/>
      <c r="H915" s="17"/>
      <c r="I915" s="17"/>
      <c r="J915" s="17"/>
      <c r="K915" s="17"/>
      <c r="L915" s="17"/>
      <c r="M915" s="17"/>
    </row>
    <row r="916" spans="1:13" s="2" customFormat="1" x14ac:dyDescent="0.25">
      <c r="A916" s="6"/>
      <c r="D916" s="17"/>
      <c r="E916" s="18"/>
      <c r="F916" s="17"/>
      <c r="G916" s="17"/>
      <c r="H916" s="17"/>
      <c r="I916" s="17"/>
      <c r="J916" s="17"/>
      <c r="K916" s="17"/>
      <c r="L916" s="17"/>
      <c r="M916" s="17"/>
    </row>
    <row r="917" spans="1:13" s="2" customFormat="1" x14ac:dyDescent="0.25">
      <c r="A917" s="6"/>
      <c r="D917" s="17"/>
      <c r="E917" s="18"/>
      <c r="F917" s="17"/>
      <c r="G917" s="17"/>
      <c r="H917" s="17"/>
      <c r="I917" s="17"/>
      <c r="J917" s="17"/>
      <c r="K917" s="17"/>
      <c r="L917" s="17"/>
      <c r="M917" s="17"/>
    </row>
    <row r="918" spans="1:13" s="2" customFormat="1" x14ac:dyDescent="0.25">
      <c r="A918" s="6"/>
      <c r="D918" s="17"/>
      <c r="E918" s="18"/>
      <c r="F918" s="17"/>
      <c r="G918" s="17"/>
      <c r="H918" s="17"/>
      <c r="I918" s="17"/>
      <c r="J918" s="17"/>
      <c r="K918" s="17"/>
      <c r="L918" s="17"/>
      <c r="M918" s="17"/>
    </row>
    <row r="919" spans="1:13" s="2" customFormat="1" x14ac:dyDescent="0.25">
      <c r="A919" s="6"/>
      <c r="D919" s="17"/>
      <c r="E919" s="18"/>
      <c r="F919" s="17"/>
      <c r="G919" s="17"/>
      <c r="H919" s="17"/>
      <c r="I919" s="17"/>
      <c r="J919" s="17"/>
      <c r="K919" s="17"/>
      <c r="L919" s="17"/>
      <c r="M919" s="17"/>
    </row>
    <row r="920" spans="1:13" s="2" customFormat="1" x14ac:dyDescent="0.25">
      <c r="A920" s="6"/>
      <c r="D920" s="17"/>
      <c r="E920" s="18"/>
      <c r="F920" s="17"/>
      <c r="G920" s="17"/>
      <c r="H920" s="17"/>
      <c r="I920" s="17"/>
      <c r="J920" s="17"/>
      <c r="K920" s="17"/>
      <c r="L920" s="17"/>
      <c r="M920" s="17"/>
    </row>
    <row r="921" spans="1:13" s="2" customFormat="1" x14ac:dyDescent="0.25">
      <c r="A921" s="6"/>
      <c r="D921" s="17"/>
      <c r="E921" s="18"/>
      <c r="F921" s="17"/>
      <c r="G921" s="17"/>
      <c r="H921" s="17"/>
      <c r="I921" s="17"/>
      <c r="J921" s="17"/>
      <c r="K921" s="17"/>
      <c r="L921" s="17"/>
      <c r="M921" s="17"/>
    </row>
    <row r="922" spans="1:13" s="2" customFormat="1" x14ac:dyDescent="0.25">
      <c r="A922" s="6"/>
      <c r="D922" s="17"/>
      <c r="E922" s="18"/>
      <c r="F922" s="17"/>
      <c r="G922" s="17"/>
      <c r="H922" s="17"/>
      <c r="I922" s="17"/>
      <c r="J922" s="17"/>
      <c r="K922" s="17"/>
      <c r="L922" s="17"/>
      <c r="M922" s="17"/>
    </row>
    <row r="923" spans="1:13" s="2" customFormat="1" x14ac:dyDescent="0.25">
      <c r="A923" s="6"/>
      <c r="D923" s="17"/>
      <c r="E923" s="18"/>
      <c r="F923" s="17"/>
      <c r="G923" s="17"/>
      <c r="H923" s="17"/>
      <c r="I923" s="17"/>
      <c r="J923" s="17"/>
      <c r="K923" s="17"/>
      <c r="L923" s="17"/>
      <c r="M923" s="17"/>
    </row>
    <row r="924" spans="1:13" s="2" customFormat="1" x14ac:dyDescent="0.25">
      <c r="A924" s="6"/>
      <c r="D924" s="17"/>
      <c r="E924" s="18"/>
      <c r="F924" s="17"/>
      <c r="G924" s="17"/>
      <c r="H924" s="17"/>
      <c r="I924" s="17"/>
      <c r="J924" s="17"/>
      <c r="K924" s="17"/>
      <c r="L924" s="17"/>
      <c r="M924" s="17"/>
    </row>
    <row r="925" spans="1:13" s="2" customFormat="1" x14ac:dyDescent="0.25">
      <c r="A925" s="6"/>
      <c r="D925" s="17"/>
      <c r="E925" s="18"/>
      <c r="F925" s="17"/>
      <c r="G925" s="17"/>
      <c r="H925" s="17"/>
      <c r="I925" s="17"/>
      <c r="J925" s="17"/>
      <c r="K925" s="17"/>
      <c r="L925" s="17"/>
      <c r="M925" s="17"/>
    </row>
    <row r="926" spans="1:13" s="2" customFormat="1" x14ac:dyDescent="0.25">
      <c r="A926" s="6"/>
      <c r="D926" s="17"/>
      <c r="E926" s="18"/>
      <c r="F926" s="17"/>
      <c r="G926" s="17"/>
      <c r="H926" s="17"/>
      <c r="I926" s="17"/>
      <c r="J926" s="17"/>
      <c r="K926" s="17"/>
      <c r="L926" s="17"/>
      <c r="M926" s="17"/>
    </row>
    <row r="927" spans="1:13" s="2" customFormat="1" x14ac:dyDescent="0.25">
      <c r="A927" s="6"/>
      <c r="D927" s="17"/>
      <c r="E927" s="18"/>
      <c r="F927" s="17"/>
      <c r="G927" s="17"/>
      <c r="H927" s="17"/>
      <c r="I927" s="17"/>
      <c r="J927" s="17"/>
      <c r="K927" s="17"/>
      <c r="L927" s="17"/>
      <c r="M927" s="17"/>
    </row>
    <row r="928" spans="1:13" s="2" customFormat="1" x14ac:dyDescent="0.25">
      <c r="A928" s="6"/>
      <c r="D928" s="17"/>
      <c r="E928" s="18"/>
      <c r="F928" s="17"/>
      <c r="G928" s="17"/>
      <c r="H928" s="17"/>
      <c r="I928" s="17"/>
      <c r="J928" s="17"/>
      <c r="K928" s="17"/>
      <c r="L928" s="17"/>
      <c r="M928" s="17"/>
    </row>
    <row r="929" spans="1:13" s="2" customFormat="1" x14ac:dyDescent="0.25">
      <c r="A929" s="6"/>
      <c r="D929" s="17"/>
      <c r="E929" s="18"/>
      <c r="F929" s="17"/>
      <c r="G929" s="17"/>
      <c r="H929" s="17"/>
      <c r="I929" s="17"/>
      <c r="J929" s="17"/>
      <c r="K929" s="17"/>
      <c r="L929" s="17"/>
      <c r="M929" s="17"/>
    </row>
    <row r="930" spans="1:13" s="2" customFormat="1" x14ac:dyDescent="0.25">
      <c r="A930" s="6"/>
      <c r="D930" s="17"/>
      <c r="E930" s="18"/>
      <c r="F930" s="17"/>
      <c r="G930" s="17"/>
      <c r="H930" s="17"/>
      <c r="I930" s="17"/>
      <c r="J930" s="17"/>
      <c r="K930" s="17"/>
      <c r="L930" s="17"/>
      <c r="M930" s="17"/>
    </row>
    <row r="931" spans="1:13" s="2" customFormat="1" x14ac:dyDescent="0.25">
      <c r="A931" s="6"/>
      <c r="D931" s="17"/>
      <c r="E931" s="18"/>
      <c r="F931" s="17"/>
      <c r="G931" s="17"/>
      <c r="H931" s="17"/>
      <c r="I931" s="17"/>
      <c r="J931" s="17"/>
      <c r="K931" s="17"/>
      <c r="L931" s="17"/>
      <c r="M931" s="17"/>
    </row>
    <row r="932" spans="1:13" s="2" customFormat="1" x14ac:dyDescent="0.25">
      <c r="A932" s="6"/>
      <c r="D932" s="17"/>
      <c r="E932" s="18"/>
      <c r="F932" s="17"/>
      <c r="G932" s="17"/>
      <c r="H932" s="17"/>
      <c r="I932" s="17"/>
      <c r="J932" s="17"/>
      <c r="K932" s="17"/>
      <c r="L932" s="17"/>
      <c r="M932" s="17"/>
    </row>
    <row r="933" spans="1:13" s="2" customFormat="1" x14ac:dyDescent="0.25">
      <c r="A933" s="6"/>
      <c r="D933" s="17"/>
      <c r="E933" s="18"/>
      <c r="F933" s="17"/>
      <c r="G933" s="17"/>
      <c r="H933" s="17"/>
      <c r="I933" s="17"/>
      <c r="J933" s="17"/>
      <c r="K933" s="17"/>
      <c r="L933" s="17"/>
      <c r="M933" s="17"/>
    </row>
    <row r="934" spans="1:13" s="2" customFormat="1" x14ac:dyDescent="0.25">
      <c r="A934" s="6"/>
      <c r="D934" s="17"/>
      <c r="E934" s="18"/>
      <c r="F934" s="17"/>
      <c r="G934" s="17"/>
      <c r="H934" s="17"/>
      <c r="I934" s="17"/>
      <c r="J934" s="17"/>
      <c r="K934" s="17"/>
      <c r="L934" s="17"/>
      <c r="M934" s="17"/>
    </row>
    <row r="935" spans="1:13" s="2" customFormat="1" x14ac:dyDescent="0.25">
      <c r="A935" s="6"/>
      <c r="D935" s="17"/>
      <c r="E935" s="18"/>
      <c r="F935" s="17"/>
      <c r="G935" s="17"/>
      <c r="H935" s="17"/>
      <c r="I935" s="17"/>
      <c r="J935" s="17"/>
      <c r="K935" s="17"/>
      <c r="L935" s="17"/>
      <c r="M935" s="17"/>
    </row>
    <row r="936" spans="1:13" s="2" customFormat="1" x14ac:dyDescent="0.25">
      <c r="A936" s="6"/>
      <c r="D936" s="17"/>
      <c r="E936" s="18"/>
      <c r="F936" s="17"/>
      <c r="G936" s="17"/>
      <c r="H936" s="17"/>
      <c r="I936" s="17"/>
      <c r="J936" s="17"/>
      <c r="K936" s="17"/>
      <c r="L936" s="17"/>
      <c r="M936" s="17"/>
    </row>
    <row r="937" spans="1:13" s="2" customFormat="1" x14ac:dyDescent="0.25">
      <c r="A937" s="6"/>
      <c r="D937" s="17"/>
      <c r="E937" s="18"/>
      <c r="F937" s="17"/>
      <c r="G937" s="17"/>
      <c r="H937" s="17"/>
      <c r="I937" s="17"/>
      <c r="J937" s="17"/>
      <c r="K937" s="17"/>
      <c r="L937" s="17"/>
      <c r="M937" s="17"/>
    </row>
    <row r="938" spans="1:13" s="2" customFormat="1" x14ac:dyDescent="0.25">
      <c r="A938" s="6"/>
      <c r="D938" s="17"/>
      <c r="E938" s="18"/>
      <c r="F938" s="17"/>
      <c r="G938" s="17"/>
      <c r="H938" s="17"/>
      <c r="I938" s="17"/>
      <c r="J938" s="17"/>
      <c r="K938" s="17"/>
      <c r="L938" s="17"/>
      <c r="M938" s="17"/>
    </row>
    <row r="939" spans="1:13" s="2" customFormat="1" x14ac:dyDescent="0.25">
      <c r="A939" s="6"/>
      <c r="D939" s="17"/>
      <c r="E939" s="18"/>
      <c r="F939" s="17"/>
      <c r="G939" s="17"/>
      <c r="H939" s="17"/>
      <c r="I939" s="17"/>
      <c r="J939" s="17"/>
      <c r="K939" s="17"/>
      <c r="L939" s="17"/>
      <c r="M939" s="17"/>
    </row>
    <row r="940" spans="1:13" s="2" customFormat="1" x14ac:dyDescent="0.25">
      <c r="A940" s="6"/>
      <c r="D940" s="17"/>
      <c r="E940" s="18"/>
      <c r="F940" s="17"/>
      <c r="G940" s="17"/>
      <c r="H940" s="17"/>
      <c r="I940" s="17"/>
      <c r="J940" s="17"/>
      <c r="K940" s="17"/>
      <c r="L940" s="17"/>
      <c r="M940" s="17"/>
    </row>
    <row r="941" spans="1:13" s="2" customFormat="1" x14ac:dyDescent="0.25">
      <c r="A941" s="6"/>
      <c r="D941" s="17"/>
      <c r="E941" s="18"/>
      <c r="F941" s="17"/>
      <c r="G941" s="17"/>
      <c r="H941" s="17"/>
      <c r="I941" s="17"/>
      <c r="J941" s="17"/>
      <c r="K941" s="17"/>
      <c r="L941" s="17"/>
      <c r="M941" s="17"/>
    </row>
    <row r="942" spans="1:13" s="2" customFormat="1" x14ac:dyDescent="0.25">
      <c r="A942" s="6"/>
      <c r="D942" s="17"/>
      <c r="E942" s="18"/>
      <c r="F942" s="17"/>
      <c r="G942" s="17"/>
      <c r="H942" s="17"/>
      <c r="I942" s="17"/>
      <c r="J942" s="17"/>
      <c r="K942" s="17"/>
      <c r="L942" s="17"/>
      <c r="M942" s="17"/>
    </row>
    <row r="943" spans="1:13" s="2" customFormat="1" x14ac:dyDescent="0.25">
      <c r="A943" s="6"/>
      <c r="D943" s="17"/>
      <c r="E943" s="18"/>
      <c r="F943" s="17"/>
      <c r="G943" s="17"/>
      <c r="H943" s="17"/>
      <c r="I943" s="17"/>
      <c r="J943" s="17"/>
      <c r="K943" s="17"/>
      <c r="L943" s="17"/>
      <c r="M943" s="17"/>
    </row>
    <row r="944" spans="1:13" s="2" customFormat="1" x14ac:dyDescent="0.25">
      <c r="A944" s="6"/>
      <c r="D944" s="17"/>
      <c r="E944" s="18"/>
      <c r="F944" s="17"/>
      <c r="G944" s="17"/>
      <c r="H944" s="17"/>
      <c r="I944" s="17"/>
      <c r="J944" s="17"/>
      <c r="K944" s="17"/>
      <c r="L944" s="17"/>
      <c r="M944" s="17"/>
    </row>
    <row r="945" spans="1:13" s="2" customFormat="1" x14ac:dyDescent="0.25">
      <c r="A945" s="6"/>
      <c r="D945" s="17"/>
      <c r="E945" s="18"/>
      <c r="F945" s="17"/>
      <c r="G945" s="17"/>
      <c r="H945" s="17"/>
      <c r="I945" s="17"/>
      <c r="J945" s="17"/>
      <c r="K945" s="17"/>
      <c r="L945" s="17"/>
      <c r="M945" s="17"/>
    </row>
    <row r="946" spans="1:13" s="2" customFormat="1" x14ac:dyDescent="0.25">
      <c r="A946" s="6"/>
      <c r="D946" s="17"/>
      <c r="E946" s="18"/>
      <c r="F946" s="17"/>
      <c r="G946" s="17"/>
      <c r="H946" s="17"/>
      <c r="I946" s="17"/>
      <c r="J946" s="17"/>
      <c r="K946" s="17"/>
      <c r="L946" s="17"/>
      <c r="M946" s="17"/>
    </row>
    <row r="947" spans="1:13" s="2" customFormat="1" x14ac:dyDescent="0.25">
      <c r="A947" s="6"/>
      <c r="D947" s="17"/>
      <c r="E947" s="18"/>
      <c r="F947" s="17"/>
      <c r="G947" s="17"/>
      <c r="H947" s="17"/>
      <c r="I947" s="17"/>
      <c r="J947" s="17"/>
      <c r="K947" s="17"/>
      <c r="L947" s="17"/>
      <c r="M947" s="17"/>
    </row>
    <row r="948" spans="1:13" s="2" customFormat="1" x14ac:dyDescent="0.25">
      <c r="A948" s="6"/>
      <c r="D948" s="17"/>
      <c r="E948" s="18"/>
      <c r="F948" s="17"/>
      <c r="G948" s="17"/>
      <c r="H948" s="17"/>
      <c r="I948" s="17"/>
      <c r="J948" s="17"/>
      <c r="K948" s="17"/>
      <c r="L948" s="17"/>
      <c r="M948" s="17"/>
    </row>
    <row r="949" spans="1:13" s="2" customFormat="1" x14ac:dyDescent="0.25">
      <c r="A949" s="6"/>
      <c r="D949" s="17"/>
      <c r="E949" s="18"/>
      <c r="F949" s="17"/>
      <c r="G949" s="17"/>
      <c r="H949" s="17"/>
      <c r="I949" s="17"/>
      <c r="J949" s="17"/>
      <c r="K949" s="17"/>
      <c r="L949" s="17"/>
      <c r="M949" s="17"/>
    </row>
    <row r="950" spans="1:13" s="2" customFormat="1" x14ac:dyDescent="0.25">
      <c r="A950" s="6"/>
      <c r="D950" s="17"/>
      <c r="E950" s="18"/>
      <c r="F950" s="17"/>
      <c r="G950" s="17"/>
      <c r="H950" s="17"/>
      <c r="I950" s="17"/>
      <c r="J950" s="17"/>
      <c r="K950" s="17"/>
      <c r="L950" s="17"/>
      <c r="M950" s="17"/>
    </row>
    <row r="951" spans="1:13" s="2" customFormat="1" x14ac:dyDescent="0.25">
      <c r="A951" s="6"/>
      <c r="D951" s="17"/>
      <c r="E951" s="18"/>
      <c r="F951" s="17"/>
      <c r="G951" s="17"/>
      <c r="H951" s="17"/>
      <c r="I951" s="17"/>
      <c r="J951" s="17"/>
      <c r="K951" s="17"/>
      <c r="L951" s="17"/>
      <c r="M951" s="17"/>
    </row>
    <row r="952" spans="1:13" s="2" customFormat="1" x14ac:dyDescent="0.25">
      <c r="A952" s="6"/>
      <c r="D952" s="17"/>
      <c r="E952" s="18"/>
      <c r="F952" s="17"/>
      <c r="G952" s="17"/>
      <c r="H952" s="17"/>
      <c r="I952" s="17"/>
      <c r="J952" s="17"/>
      <c r="K952" s="17"/>
      <c r="L952" s="17"/>
      <c r="M952" s="17"/>
    </row>
    <row r="953" spans="1:13" s="2" customFormat="1" x14ac:dyDescent="0.25">
      <c r="A953" s="6"/>
      <c r="D953" s="17"/>
      <c r="E953" s="18"/>
      <c r="F953" s="17"/>
      <c r="G953" s="17"/>
      <c r="H953" s="17"/>
      <c r="I953" s="17"/>
      <c r="J953" s="17"/>
      <c r="K953" s="17"/>
      <c r="L953" s="17"/>
      <c r="M953" s="17"/>
    </row>
    <row r="954" spans="1:13" s="2" customFormat="1" x14ac:dyDescent="0.25">
      <c r="A954" s="6"/>
      <c r="D954" s="17"/>
      <c r="E954" s="18"/>
      <c r="F954" s="17"/>
      <c r="G954" s="17"/>
      <c r="H954" s="17"/>
      <c r="I954" s="17"/>
      <c r="J954" s="17"/>
      <c r="K954" s="17"/>
      <c r="L954" s="17"/>
      <c r="M954" s="17"/>
    </row>
    <row r="955" spans="1:13" s="2" customFormat="1" x14ac:dyDescent="0.25">
      <c r="A955" s="6"/>
      <c r="D955" s="17"/>
      <c r="E955" s="18"/>
      <c r="F955" s="17"/>
      <c r="G955" s="17"/>
      <c r="H955" s="17"/>
      <c r="I955" s="17"/>
      <c r="J955" s="17"/>
      <c r="K955" s="17"/>
      <c r="L955" s="17"/>
      <c r="M955" s="17"/>
    </row>
    <row r="956" spans="1:13" s="2" customFormat="1" x14ac:dyDescent="0.25">
      <c r="A956" s="6"/>
      <c r="D956" s="17"/>
      <c r="E956" s="18"/>
      <c r="F956" s="17"/>
      <c r="G956" s="17"/>
      <c r="H956" s="17"/>
      <c r="I956" s="17"/>
      <c r="J956" s="17"/>
      <c r="K956" s="17"/>
      <c r="L956" s="17"/>
      <c r="M956" s="17"/>
    </row>
    <row r="957" spans="1:13" s="2" customFormat="1" x14ac:dyDescent="0.25">
      <c r="A957" s="6"/>
      <c r="D957" s="17"/>
      <c r="E957" s="18"/>
      <c r="F957" s="17"/>
      <c r="G957" s="17"/>
      <c r="H957" s="17"/>
      <c r="I957" s="17"/>
      <c r="J957" s="17"/>
      <c r="K957" s="17"/>
      <c r="L957" s="17"/>
      <c r="M957" s="17"/>
    </row>
    <row r="958" spans="1:13" s="2" customFormat="1" x14ac:dyDescent="0.25">
      <c r="A958" s="6"/>
      <c r="D958" s="17"/>
      <c r="E958" s="18"/>
      <c r="F958" s="17"/>
      <c r="G958" s="17"/>
      <c r="H958" s="17"/>
      <c r="I958" s="17"/>
      <c r="J958" s="17"/>
      <c r="K958" s="17"/>
      <c r="L958" s="17"/>
      <c r="M958" s="17"/>
    </row>
    <row r="959" spans="1:13" s="2" customFormat="1" x14ac:dyDescent="0.25">
      <c r="A959" s="6"/>
      <c r="D959" s="17"/>
      <c r="E959" s="18"/>
      <c r="F959" s="17"/>
      <c r="G959" s="17"/>
      <c r="H959" s="17"/>
      <c r="I959" s="17"/>
      <c r="J959" s="17"/>
      <c r="K959" s="17"/>
      <c r="L959" s="17"/>
      <c r="M959" s="17"/>
    </row>
    <row r="960" spans="1:13" s="2" customFormat="1" x14ac:dyDescent="0.25">
      <c r="A960" s="6"/>
      <c r="D960" s="17"/>
      <c r="E960" s="18"/>
      <c r="F960" s="17"/>
      <c r="G960" s="17"/>
      <c r="H960" s="17"/>
      <c r="I960" s="17"/>
      <c r="J960" s="17"/>
      <c r="K960" s="17"/>
      <c r="L960" s="17"/>
      <c r="M960" s="17"/>
    </row>
    <row r="961" spans="1:13" s="2" customFormat="1" x14ac:dyDescent="0.25">
      <c r="A961" s="6"/>
      <c r="D961" s="17"/>
      <c r="E961" s="18"/>
      <c r="F961" s="17"/>
      <c r="G961" s="17"/>
      <c r="H961" s="17"/>
      <c r="I961" s="17"/>
      <c r="J961" s="17"/>
      <c r="K961" s="17"/>
      <c r="L961" s="17"/>
      <c r="M961" s="17"/>
    </row>
    <row r="962" spans="1:13" s="2" customFormat="1" x14ac:dyDescent="0.25">
      <c r="A962" s="6"/>
      <c r="D962" s="17"/>
      <c r="E962" s="18"/>
      <c r="F962" s="17"/>
      <c r="G962" s="17"/>
      <c r="H962" s="17"/>
      <c r="I962" s="17"/>
      <c r="J962" s="17"/>
      <c r="K962" s="17"/>
      <c r="L962" s="17"/>
      <c r="M962" s="17"/>
    </row>
    <row r="963" spans="1:13" s="2" customFormat="1" x14ac:dyDescent="0.25">
      <c r="A963" s="6"/>
      <c r="D963" s="17"/>
      <c r="E963" s="18"/>
      <c r="F963" s="17"/>
      <c r="G963" s="17"/>
      <c r="H963" s="17"/>
      <c r="I963" s="17"/>
      <c r="J963" s="17"/>
      <c r="K963" s="17"/>
      <c r="L963" s="17"/>
      <c r="M963" s="17"/>
    </row>
    <row r="964" spans="1:13" s="2" customFormat="1" x14ac:dyDescent="0.25">
      <c r="A964" s="6"/>
      <c r="D964" s="17"/>
      <c r="E964" s="18"/>
      <c r="F964" s="17"/>
      <c r="G964" s="17"/>
      <c r="H964" s="17"/>
      <c r="I964" s="17"/>
      <c r="J964" s="17"/>
      <c r="K964" s="17"/>
      <c r="L964" s="17"/>
      <c r="M964" s="17"/>
    </row>
    <row r="965" spans="1:13" s="2" customFormat="1" x14ac:dyDescent="0.25">
      <c r="A965" s="6"/>
      <c r="D965" s="17"/>
      <c r="E965" s="18"/>
      <c r="F965" s="17"/>
      <c r="G965" s="17"/>
      <c r="H965" s="17"/>
      <c r="I965" s="17"/>
      <c r="J965" s="17"/>
      <c r="K965" s="17"/>
      <c r="L965" s="17"/>
      <c r="M965" s="17"/>
    </row>
    <row r="966" spans="1:13" s="2" customFormat="1" x14ac:dyDescent="0.25">
      <c r="A966" s="6"/>
      <c r="D966" s="17"/>
      <c r="E966" s="18"/>
      <c r="F966" s="17"/>
      <c r="G966" s="17"/>
      <c r="H966" s="17"/>
      <c r="I966" s="17"/>
      <c r="J966" s="17"/>
      <c r="K966" s="17"/>
      <c r="L966" s="17"/>
      <c r="M966" s="17"/>
    </row>
    <row r="967" spans="1:13" s="2" customFormat="1" x14ac:dyDescent="0.25">
      <c r="A967" s="6"/>
      <c r="D967" s="17"/>
      <c r="E967" s="18"/>
      <c r="F967" s="17"/>
      <c r="G967" s="17"/>
      <c r="H967" s="17"/>
      <c r="I967" s="17"/>
      <c r="J967" s="17"/>
      <c r="K967" s="17"/>
      <c r="L967" s="17"/>
      <c r="M967" s="17"/>
    </row>
    <row r="968" spans="1:13" s="2" customFormat="1" x14ac:dyDescent="0.25">
      <c r="A968" s="6"/>
      <c r="D968" s="17"/>
      <c r="E968" s="18"/>
      <c r="F968" s="17"/>
      <c r="G968" s="17"/>
      <c r="H968" s="17"/>
      <c r="I968" s="17"/>
      <c r="J968" s="17"/>
      <c r="K968" s="17"/>
      <c r="L968" s="17"/>
      <c r="M968" s="17"/>
    </row>
    <row r="969" spans="1:13" s="2" customFormat="1" x14ac:dyDescent="0.25">
      <c r="A969" s="6"/>
      <c r="D969" s="17"/>
      <c r="E969" s="18"/>
      <c r="F969" s="17"/>
      <c r="G969" s="17"/>
      <c r="H969" s="17"/>
      <c r="I969" s="17"/>
      <c r="J969" s="17"/>
      <c r="K969" s="17"/>
      <c r="L969" s="17"/>
      <c r="M969" s="17"/>
    </row>
    <row r="970" spans="1:13" s="2" customFormat="1" x14ac:dyDescent="0.25">
      <c r="A970" s="6"/>
      <c r="D970" s="17"/>
      <c r="E970" s="18"/>
      <c r="F970" s="17"/>
      <c r="G970" s="17"/>
      <c r="H970" s="17"/>
      <c r="I970" s="17"/>
      <c r="J970" s="17"/>
      <c r="K970" s="17"/>
      <c r="L970" s="17"/>
      <c r="M970" s="17"/>
    </row>
    <row r="971" spans="1:13" s="2" customFormat="1" x14ac:dyDescent="0.25">
      <c r="A971" s="6"/>
      <c r="D971" s="17"/>
      <c r="E971" s="18"/>
      <c r="F971" s="17"/>
      <c r="G971" s="17"/>
      <c r="H971" s="17"/>
      <c r="I971" s="17"/>
      <c r="J971" s="17"/>
      <c r="K971" s="17"/>
      <c r="L971" s="17"/>
      <c r="M971" s="17"/>
    </row>
    <row r="972" spans="1:13" s="2" customFormat="1" x14ac:dyDescent="0.25">
      <c r="A972" s="6"/>
      <c r="D972" s="17"/>
      <c r="E972" s="18"/>
      <c r="F972" s="17"/>
      <c r="G972" s="17"/>
      <c r="H972" s="17"/>
      <c r="I972" s="17"/>
      <c r="J972" s="17"/>
      <c r="K972" s="17"/>
      <c r="L972" s="17"/>
      <c r="M972" s="17"/>
    </row>
    <row r="973" spans="1:13" s="2" customFormat="1" x14ac:dyDescent="0.25">
      <c r="A973" s="6"/>
      <c r="D973" s="17"/>
      <c r="E973" s="18"/>
      <c r="F973" s="17"/>
      <c r="G973" s="17"/>
      <c r="H973" s="17"/>
      <c r="I973" s="17"/>
      <c r="J973" s="17"/>
      <c r="K973" s="17"/>
      <c r="L973" s="17"/>
      <c r="M973" s="17"/>
    </row>
    <row r="974" spans="1:13" s="2" customFormat="1" x14ac:dyDescent="0.25">
      <c r="A974" s="6"/>
      <c r="D974" s="17"/>
      <c r="E974" s="18"/>
      <c r="F974" s="17"/>
      <c r="G974" s="17"/>
      <c r="H974" s="17"/>
      <c r="I974" s="17"/>
      <c r="J974" s="17"/>
      <c r="K974" s="17"/>
      <c r="L974" s="17"/>
      <c r="M974" s="17"/>
    </row>
    <row r="975" spans="1:13" s="2" customFormat="1" x14ac:dyDescent="0.25">
      <c r="A975" s="6"/>
      <c r="D975" s="17"/>
      <c r="E975" s="18"/>
      <c r="F975" s="17"/>
      <c r="G975" s="17"/>
      <c r="H975" s="17"/>
      <c r="I975" s="17"/>
      <c r="J975" s="17"/>
      <c r="K975" s="17"/>
      <c r="L975" s="17"/>
      <c r="M975" s="17"/>
    </row>
    <row r="976" spans="1:13" s="2" customFormat="1" x14ac:dyDescent="0.25">
      <c r="A976" s="6"/>
      <c r="D976" s="17"/>
      <c r="E976" s="18"/>
      <c r="F976" s="17"/>
      <c r="G976" s="17"/>
      <c r="H976" s="17"/>
      <c r="I976" s="17"/>
      <c r="J976" s="17"/>
      <c r="K976" s="17"/>
      <c r="L976" s="17"/>
      <c r="M976" s="17"/>
    </row>
    <row r="977" spans="1:13" s="2" customFormat="1" x14ac:dyDescent="0.25">
      <c r="A977" s="6"/>
      <c r="D977" s="17"/>
      <c r="E977" s="18"/>
      <c r="F977" s="17"/>
      <c r="G977" s="17"/>
      <c r="H977" s="17"/>
      <c r="I977" s="17"/>
      <c r="J977" s="17"/>
      <c r="K977" s="17"/>
      <c r="L977" s="17"/>
      <c r="M977" s="17"/>
    </row>
    <row r="978" spans="1:13" s="2" customFormat="1" x14ac:dyDescent="0.25">
      <c r="A978" s="6"/>
      <c r="D978" s="17"/>
      <c r="E978" s="18"/>
      <c r="F978" s="17"/>
      <c r="G978" s="17"/>
      <c r="H978" s="17"/>
      <c r="I978" s="17"/>
      <c r="J978" s="17"/>
      <c r="K978" s="17"/>
      <c r="L978" s="17"/>
      <c r="M978" s="17"/>
    </row>
    <row r="979" spans="1:13" s="2" customFormat="1" x14ac:dyDescent="0.25">
      <c r="A979" s="6"/>
      <c r="D979" s="17"/>
      <c r="E979" s="18"/>
      <c r="F979" s="17"/>
      <c r="G979" s="17"/>
      <c r="H979" s="17"/>
      <c r="I979" s="17"/>
      <c r="J979" s="17"/>
      <c r="K979" s="17"/>
      <c r="L979" s="17"/>
      <c r="M979" s="17"/>
    </row>
    <row r="980" spans="1:13" s="2" customFormat="1" x14ac:dyDescent="0.25">
      <c r="A980" s="6"/>
      <c r="D980" s="17"/>
      <c r="E980" s="18"/>
      <c r="F980" s="17"/>
      <c r="G980" s="17"/>
      <c r="H980" s="17"/>
      <c r="I980" s="17"/>
      <c r="J980" s="17"/>
      <c r="K980" s="17"/>
      <c r="L980" s="17"/>
      <c r="M980" s="17"/>
    </row>
    <row r="981" spans="1:13" s="2" customFormat="1" x14ac:dyDescent="0.25">
      <c r="A981" s="6"/>
      <c r="D981" s="17"/>
      <c r="E981" s="18"/>
      <c r="F981" s="17"/>
      <c r="G981" s="17"/>
      <c r="H981" s="17"/>
      <c r="I981" s="17"/>
      <c r="J981" s="17"/>
      <c r="K981" s="17"/>
      <c r="L981" s="17"/>
      <c r="M981" s="17"/>
    </row>
    <row r="982" spans="1:13" s="2" customFormat="1" x14ac:dyDescent="0.25">
      <c r="A982" s="6"/>
      <c r="D982" s="17"/>
      <c r="E982" s="18"/>
      <c r="F982" s="17"/>
      <c r="G982" s="17"/>
      <c r="H982" s="17"/>
      <c r="I982" s="17"/>
      <c r="J982" s="17"/>
      <c r="K982" s="17"/>
      <c r="L982" s="17"/>
      <c r="M982" s="17"/>
    </row>
    <row r="983" spans="1:13" s="2" customFormat="1" x14ac:dyDescent="0.25">
      <c r="A983" s="6"/>
      <c r="D983" s="17"/>
      <c r="E983" s="18"/>
      <c r="F983" s="17"/>
      <c r="G983" s="17"/>
      <c r="H983" s="17"/>
      <c r="I983" s="17"/>
      <c r="J983" s="17"/>
      <c r="K983" s="17"/>
      <c r="L983" s="17"/>
      <c r="M983" s="17"/>
    </row>
    <row r="984" spans="1:13" s="2" customFormat="1" x14ac:dyDescent="0.25">
      <c r="A984" s="6"/>
      <c r="D984" s="17"/>
      <c r="E984" s="18"/>
      <c r="F984" s="17"/>
      <c r="G984" s="17"/>
      <c r="H984" s="17"/>
      <c r="I984" s="17"/>
      <c r="J984" s="17"/>
      <c r="K984" s="17"/>
      <c r="L984" s="17"/>
      <c r="M984" s="17"/>
    </row>
    <row r="985" spans="1:13" s="2" customFormat="1" x14ac:dyDescent="0.25">
      <c r="A985" s="6"/>
      <c r="D985" s="17"/>
      <c r="E985" s="18"/>
      <c r="F985" s="17"/>
      <c r="G985" s="17"/>
      <c r="H985" s="17"/>
      <c r="I985" s="17"/>
      <c r="J985" s="17"/>
      <c r="K985" s="17"/>
      <c r="L985" s="17"/>
      <c r="M985" s="17"/>
    </row>
    <row r="986" spans="1:13" s="2" customFormat="1" x14ac:dyDescent="0.25">
      <c r="A986" s="6"/>
      <c r="D986" s="17"/>
      <c r="E986" s="18"/>
      <c r="F986" s="17"/>
      <c r="G986" s="17"/>
      <c r="H986" s="17"/>
      <c r="I986" s="17"/>
      <c r="J986" s="17"/>
      <c r="K986" s="17"/>
      <c r="L986" s="17"/>
      <c r="M986" s="17"/>
    </row>
    <row r="987" spans="1:13" s="2" customFormat="1" x14ac:dyDescent="0.25">
      <c r="A987" s="6"/>
      <c r="D987" s="17"/>
      <c r="E987" s="18"/>
      <c r="F987" s="17"/>
      <c r="G987" s="17"/>
      <c r="H987" s="17"/>
      <c r="I987" s="17"/>
      <c r="J987" s="17"/>
      <c r="K987" s="17"/>
      <c r="L987" s="17"/>
      <c r="M987" s="17"/>
    </row>
    <row r="988" spans="1:13" s="2" customFormat="1" x14ac:dyDescent="0.25">
      <c r="A988" s="6"/>
      <c r="D988" s="17"/>
      <c r="E988" s="18"/>
      <c r="F988" s="17"/>
      <c r="G988" s="17"/>
      <c r="H988" s="17"/>
      <c r="I988" s="17"/>
      <c r="J988" s="17"/>
      <c r="K988" s="17"/>
      <c r="L988" s="17"/>
      <c r="M988" s="17"/>
    </row>
    <row r="989" spans="1:13" s="2" customFormat="1" x14ac:dyDescent="0.25">
      <c r="A989" s="6"/>
      <c r="D989" s="17"/>
      <c r="E989" s="18"/>
      <c r="F989" s="17"/>
      <c r="G989" s="17"/>
      <c r="H989" s="17"/>
      <c r="I989" s="17"/>
      <c r="J989" s="17"/>
      <c r="K989" s="17"/>
      <c r="L989" s="17"/>
      <c r="M989" s="17"/>
    </row>
    <row r="990" spans="1:13" s="2" customFormat="1" x14ac:dyDescent="0.25">
      <c r="A990" s="6"/>
      <c r="D990" s="17"/>
      <c r="E990" s="18"/>
      <c r="F990" s="17"/>
      <c r="G990" s="17"/>
      <c r="H990" s="17"/>
      <c r="I990" s="17"/>
      <c r="J990" s="17"/>
      <c r="K990" s="17"/>
      <c r="L990" s="17"/>
      <c r="M990" s="17"/>
    </row>
    <row r="991" spans="1:13" s="2" customFormat="1" x14ac:dyDescent="0.25">
      <c r="A991" s="6"/>
      <c r="D991" s="17"/>
      <c r="E991" s="18"/>
      <c r="F991" s="17"/>
      <c r="G991" s="17"/>
      <c r="H991" s="17"/>
      <c r="I991" s="17"/>
      <c r="J991" s="17"/>
      <c r="K991" s="17"/>
      <c r="L991" s="17"/>
      <c r="M991" s="17"/>
    </row>
    <row r="992" spans="1:13" s="2" customFormat="1" x14ac:dyDescent="0.25">
      <c r="A992" s="6"/>
      <c r="D992" s="17"/>
      <c r="E992" s="18"/>
      <c r="F992" s="17"/>
      <c r="G992" s="17"/>
      <c r="H992" s="17"/>
      <c r="I992" s="17"/>
      <c r="J992" s="17"/>
      <c r="K992" s="17"/>
      <c r="L992" s="17"/>
      <c r="M992" s="17"/>
    </row>
    <row r="993" spans="1:13" s="2" customFormat="1" x14ac:dyDescent="0.25">
      <c r="A993" s="6"/>
      <c r="D993" s="17"/>
      <c r="E993" s="18"/>
      <c r="F993" s="17"/>
      <c r="G993" s="17"/>
      <c r="H993" s="17"/>
      <c r="I993" s="17"/>
      <c r="J993" s="17"/>
      <c r="K993" s="17"/>
      <c r="L993" s="17"/>
      <c r="M993" s="17"/>
    </row>
    <row r="994" spans="1:13" s="2" customFormat="1" x14ac:dyDescent="0.25">
      <c r="A994" s="6"/>
      <c r="D994" s="17"/>
      <c r="E994" s="18"/>
      <c r="F994" s="17"/>
      <c r="G994" s="17"/>
      <c r="H994" s="17"/>
      <c r="I994" s="17"/>
      <c r="J994" s="17"/>
      <c r="K994" s="17"/>
      <c r="L994" s="17"/>
      <c r="M994" s="17"/>
    </row>
    <row r="995" spans="1:13" s="2" customFormat="1" x14ac:dyDescent="0.25">
      <c r="A995" s="6"/>
      <c r="D995" s="17"/>
      <c r="E995" s="18"/>
      <c r="F995" s="17"/>
      <c r="G995" s="17"/>
      <c r="H995" s="17"/>
      <c r="I995" s="17"/>
      <c r="J995" s="17"/>
      <c r="K995" s="17"/>
      <c r="L995" s="17"/>
      <c r="M995" s="17"/>
    </row>
    <row r="996" spans="1:13" s="2" customFormat="1" x14ac:dyDescent="0.25">
      <c r="A996" s="6"/>
      <c r="D996" s="17"/>
      <c r="E996" s="18"/>
      <c r="F996" s="17"/>
      <c r="G996" s="17"/>
      <c r="H996" s="17"/>
      <c r="I996" s="17"/>
      <c r="J996" s="17"/>
      <c r="K996" s="17"/>
      <c r="L996" s="17"/>
      <c r="M996" s="17"/>
    </row>
    <row r="997" spans="1:13" s="2" customFormat="1" x14ac:dyDescent="0.25">
      <c r="A997" s="6"/>
      <c r="D997" s="17"/>
      <c r="E997" s="18"/>
      <c r="F997" s="17"/>
      <c r="G997" s="17"/>
      <c r="H997" s="17"/>
      <c r="I997" s="17"/>
      <c r="J997" s="17"/>
      <c r="K997" s="17"/>
      <c r="L997" s="17"/>
      <c r="M997" s="17"/>
    </row>
    <row r="998" spans="1:13" s="2" customFormat="1" x14ac:dyDescent="0.25">
      <c r="A998" s="6"/>
      <c r="D998" s="17"/>
      <c r="E998" s="18"/>
      <c r="F998" s="17"/>
      <c r="G998" s="17"/>
      <c r="H998" s="17"/>
      <c r="I998" s="17"/>
      <c r="J998" s="17"/>
      <c r="K998" s="17"/>
      <c r="L998" s="17"/>
      <c r="M998" s="17"/>
    </row>
    <row r="999" spans="1:13" s="2" customFormat="1" x14ac:dyDescent="0.25">
      <c r="A999" s="6"/>
      <c r="D999" s="17"/>
      <c r="E999" s="18"/>
      <c r="F999" s="17"/>
      <c r="G999" s="17"/>
      <c r="H999" s="17"/>
      <c r="I999" s="17"/>
      <c r="J999" s="17"/>
      <c r="K999" s="17"/>
      <c r="L999" s="17"/>
      <c r="M999" s="17"/>
    </row>
    <row r="1000" spans="1:13" s="2" customFormat="1" x14ac:dyDescent="0.25">
      <c r="A1000" s="6"/>
      <c r="D1000" s="17"/>
      <c r="E1000" s="18"/>
      <c r="F1000" s="17"/>
      <c r="G1000" s="17"/>
      <c r="H1000" s="17"/>
      <c r="I1000" s="17"/>
      <c r="J1000" s="17"/>
      <c r="K1000" s="17"/>
      <c r="L1000" s="17"/>
      <c r="M1000" s="17"/>
    </row>
    <row r="1001" spans="1:13" s="2" customFormat="1" x14ac:dyDescent="0.25">
      <c r="A1001" s="6"/>
      <c r="D1001" s="17"/>
      <c r="E1001" s="18"/>
      <c r="F1001" s="17"/>
      <c r="G1001" s="17"/>
      <c r="H1001" s="17"/>
      <c r="I1001" s="17"/>
      <c r="J1001" s="17"/>
      <c r="K1001" s="17"/>
      <c r="L1001" s="17"/>
      <c r="M1001" s="17"/>
    </row>
    <row r="1002" spans="1:13" s="2" customFormat="1" x14ac:dyDescent="0.25">
      <c r="A1002" s="6"/>
      <c r="D1002" s="17"/>
      <c r="E1002" s="18"/>
      <c r="F1002" s="17"/>
      <c r="G1002" s="17"/>
      <c r="H1002" s="17"/>
      <c r="I1002" s="17"/>
      <c r="J1002" s="17"/>
      <c r="K1002" s="17"/>
      <c r="L1002" s="17"/>
      <c r="M1002" s="17"/>
    </row>
    <row r="1003" spans="1:13" s="2" customFormat="1" x14ac:dyDescent="0.25">
      <c r="A1003" s="6"/>
      <c r="D1003" s="17"/>
      <c r="E1003" s="18"/>
      <c r="F1003" s="17"/>
      <c r="G1003" s="17"/>
      <c r="H1003" s="17"/>
      <c r="I1003" s="17"/>
      <c r="J1003" s="17"/>
      <c r="K1003" s="17"/>
      <c r="L1003" s="17"/>
      <c r="M1003" s="17"/>
    </row>
    <row r="1004" spans="1:13" s="2" customFormat="1" x14ac:dyDescent="0.25">
      <c r="A1004" s="6"/>
      <c r="D1004" s="17"/>
      <c r="E1004" s="18"/>
      <c r="F1004" s="17"/>
      <c r="G1004" s="17"/>
      <c r="H1004" s="17"/>
      <c r="I1004" s="17"/>
      <c r="J1004" s="17"/>
      <c r="K1004" s="17"/>
      <c r="L1004" s="17"/>
      <c r="M1004" s="17"/>
    </row>
    <row r="1005" spans="1:13" s="2" customFormat="1" x14ac:dyDescent="0.25">
      <c r="A1005" s="6"/>
      <c r="D1005" s="17"/>
      <c r="E1005" s="18"/>
      <c r="F1005" s="17"/>
      <c r="G1005" s="17"/>
      <c r="H1005" s="17"/>
      <c r="I1005" s="17"/>
      <c r="J1005" s="17"/>
      <c r="K1005" s="17"/>
      <c r="L1005" s="17"/>
      <c r="M1005" s="17"/>
    </row>
    <row r="1006" spans="1:13" s="2" customFormat="1" x14ac:dyDescent="0.25">
      <c r="A1006" s="6"/>
      <c r="D1006" s="17"/>
      <c r="E1006" s="18"/>
      <c r="F1006" s="17"/>
      <c r="G1006" s="17"/>
      <c r="H1006" s="17"/>
      <c r="I1006" s="17"/>
      <c r="J1006" s="17"/>
      <c r="K1006" s="17"/>
      <c r="L1006" s="17"/>
      <c r="M1006" s="17"/>
    </row>
    <row r="1007" spans="1:13" s="2" customFormat="1" x14ac:dyDescent="0.25">
      <c r="A1007" s="6"/>
      <c r="D1007" s="17"/>
      <c r="E1007" s="18"/>
      <c r="F1007" s="17"/>
      <c r="G1007" s="17"/>
      <c r="H1007" s="17"/>
      <c r="I1007" s="17"/>
      <c r="J1007" s="17"/>
      <c r="K1007" s="17"/>
      <c r="L1007" s="17"/>
      <c r="M1007" s="17"/>
    </row>
    <row r="1008" spans="1:13" s="2" customFormat="1" x14ac:dyDescent="0.25">
      <c r="A1008" s="6"/>
      <c r="D1008" s="17"/>
      <c r="E1008" s="18"/>
      <c r="F1008" s="17"/>
      <c r="G1008" s="17"/>
      <c r="H1008" s="17"/>
      <c r="I1008" s="17"/>
      <c r="J1008" s="17"/>
      <c r="K1008" s="17"/>
      <c r="L1008" s="17"/>
      <c r="M1008" s="17"/>
    </row>
    <row r="1009" spans="1:13" s="2" customFormat="1" x14ac:dyDescent="0.25">
      <c r="A1009" s="6"/>
      <c r="D1009" s="17"/>
      <c r="E1009" s="18"/>
      <c r="F1009" s="17"/>
      <c r="G1009" s="17"/>
      <c r="H1009" s="17"/>
      <c r="I1009" s="17"/>
      <c r="J1009" s="17"/>
      <c r="K1009" s="17"/>
      <c r="L1009" s="17"/>
      <c r="M1009" s="17"/>
    </row>
    <row r="1010" spans="1:13" s="2" customFormat="1" x14ac:dyDescent="0.25">
      <c r="A1010" s="6"/>
      <c r="D1010" s="17"/>
      <c r="E1010" s="18"/>
      <c r="F1010" s="17"/>
      <c r="G1010" s="17"/>
      <c r="H1010" s="17"/>
      <c r="I1010" s="17"/>
      <c r="J1010" s="17"/>
      <c r="K1010" s="17"/>
      <c r="L1010" s="17"/>
      <c r="M1010" s="17"/>
    </row>
    <row r="1011" spans="1:13" s="2" customFormat="1" x14ac:dyDescent="0.25">
      <c r="A1011" s="6"/>
      <c r="D1011" s="17"/>
      <c r="E1011" s="18"/>
      <c r="F1011" s="17"/>
      <c r="G1011" s="17"/>
      <c r="H1011" s="17"/>
      <c r="I1011" s="17"/>
      <c r="J1011" s="17"/>
      <c r="K1011" s="17"/>
      <c r="L1011" s="17"/>
      <c r="M1011" s="17"/>
    </row>
    <row r="1012" spans="1:13" s="2" customFormat="1" x14ac:dyDescent="0.25">
      <c r="A1012" s="6"/>
      <c r="D1012" s="17"/>
      <c r="E1012" s="18"/>
      <c r="F1012" s="17"/>
      <c r="G1012" s="17"/>
      <c r="H1012" s="17"/>
      <c r="I1012" s="17"/>
      <c r="J1012" s="17"/>
      <c r="K1012" s="17"/>
      <c r="L1012" s="17"/>
      <c r="M1012" s="17"/>
    </row>
    <row r="1013" spans="1:13" s="2" customFormat="1" x14ac:dyDescent="0.25">
      <c r="A1013" s="6"/>
      <c r="D1013" s="17"/>
      <c r="E1013" s="18"/>
      <c r="F1013" s="17"/>
      <c r="G1013" s="17"/>
      <c r="H1013" s="17"/>
      <c r="I1013" s="17"/>
      <c r="J1013" s="17"/>
      <c r="K1013" s="17"/>
      <c r="L1013" s="17"/>
      <c r="M1013" s="17"/>
    </row>
    <row r="1014" spans="1:13" s="2" customFormat="1" x14ac:dyDescent="0.25">
      <c r="A1014" s="6"/>
      <c r="D1014" s="17"/>
      <c r="E1014" s="18"/>
      <c r="F1014" s="17"/>
      <c r="G1014" s="17"/>
      <c r="H1014" s="17"/>
      <c r="I1014" s="17"/>
      <c r="J1014" s="17"/>
      <c r="K1014" s="17"/>
      <c r="L1014" s="17"/>
      <c r="M1014" s="17"/>
    </row>
    <row r="1015" spans="1:13" s="2" customFormat="1" x14ac:dyDescent="0.25">
      <c r="A1015" s="6"/>
      <c r="D1015" s="17"/>
      <c r="E1015" s="18"/>
      <c r="F1015" s="17"/>
      <c r="G1015" s="17"/>
      <c r="H1015" s="17"/>
      <c r="I1015" s="17"/>
      <c r="J1015" s="17"/>
      <c r="K1015" s="17"/>
      <c r="L1015" s="17"/>
      <c r="M1015" s="17"/>
    </row>
    <row r="1016" spans="1:13" s="2" customFormat="1" x14ac:dyDescent="0.25">
      <c r="A1016" s="6"/>
      <c r="D1016" s="17"/>
      <c r="E1016" s="18"/>
      <c r="F1016" s="17"/>
      <c r="G1016" s="17"/>
      <c r="H1016" s="17"/>
      <c r="I1016" s="17"/>
      <c r="J1016" s="17"/>
      <c r="K1016" s="17"/>
      <c r="L1016" s="17"/>
      <c r="M1016" s="17"/>
    </row>
    <row r="1017" spans="1:13" s="2" customFormat="1" x14ac:dyDescent="0.25">
      <c r="A1017" s="6"/>
      <c r="D1017" s="17"/>
      <c r="E1017" s="18"/>
      <c r="F1017" s="17"/>
      <c r="G1017" s="17"/>
      <c r="H1017" s="17"/>
      <c r="I1017" s="17"/>
      <c r="J1017" s="17"/>
      <c r="K1017" s="17"/>
      <c r="L1017" s="17"/>
      <c r="M1017" s="17"/>
    </row>
    <row r="1018" spans="1:13" s="2" customFormat="1" x14ac:dyDescent="0.25">
      <c r="A1018" s="6"/>
      <c r="D1018" s="17"/>
      <c r="E1018" s="18"/>
      <c r="F1018" s="17"/>
      <c r="G1018" s="17"/>
      <c r="H1018" s="17"/>
      <c r="I1018" s="17"/>
      <c r="J1018" s="17"/>
      <c r="K1018" s="17"/>
      <c r="L1018" s="17"/>
      <c r="M1018" s="17"/>
    </row>
    <row r="1019" spans="1:13" s="2" customFormat="1" x14ac:dyDescent="0.25">
      <c r="A1019" s="6"/>
      <c r="D1019" s="17"/>
      <c r="E1019" s="18"/>
      <c r="F1019" s="17"/>
      <c r="G1019" s="17"/>
      <c r="H1019" s="17"/>
      <c r="I1019" s="17"/>
      <c r="J1019" s="17"/>
      <c r="K1019" s="17"/>
      <c r="L1019" s="17"/>
      <c r="M1019" s="17"/>
    </row>
    <row r="1020" spans="1:13" s="2" customFormat="1" x14ac:dyDescent="0.25">
      <c r="A1020" s="6"/>
      <c r="D1020" s="17"/>
      <c r="E1020" s="18"/>
      <c r="F1020" s="17"/>
      <c r="G1020" s="17"/>
      <c r="H1020" s="17"/>
      <c r="I1020" s="17"/>
      <c r="J1020" s="17"/>
      <c r="K1020" s="17"/>
      <c r="L1020" s="17"/>
      <c r="M1020" s="17"/>
    </row>
    <row r="1021" spans="1:13" s="2" customFormat="1" x14ac:dyDescent="0.25">
      <c r="A1021" s="6"/>
      <c r="D1021" s="17"/>
      <c r="E1021" s="18"/>
      <c r="F1021" s="17"/>
      <c r="G1021" s="17"/>
      <c r="H1021" s="17"/>
      <c r="I1021" s="17"/>
      <c r="J1021" s="17"/>
      <c r="K1021" s="17"/>
      <c r="L1021" s="17"/>
      <c r="M1021" s="17"/>
    </row>
    <row r="1022" spans="1:13" s="2" customFormat="1" x14ac:dyDescent="0.25">
      <c r="A1022" s="6"/>
      <c r="D1022" s="17"/>
      <c r="E1022" s="18"/>
      <c r="F1022" s="17"/>
      <c r="G1022" s="17"/>
      <c r="H1022" s="17"/>
      <c r="I1022" s="17"/>
      <c r="J1022" s="17"/>
      <c r="K1022" s="17"/>
      <c r="L1022" s="17"/>
      <c r="M1022" s="17"/>
    </row>
    <row r="1023" spans="1:13" s="2" customFormat="1" x14ac:dyDescent="0.25">
      <c r="A1023" s="6"/>
      <c r="D1023" s="17"/>
      <c r="E1023" s="18"/>
      <c r="F1023" s="17"/>
      <c r="G1023" s="17"/>
      <c r="H1023" s="17"/>
      <c r="I1023" s="17"/>
      <c r="J1023" s="17"/>
      <c r="K1023" s="17"/>
      <c r="L1023" s="17"/>
      <c r="M1023" s="17"/>
    </row>
    <row r="1024" spans="1:13" s="2" customFormat="1" x14ac:dyDescent="0.25">
      <c r="A1024" s="6"/>
      <c r="D1024" s="17"/>
      <c r="E1024" s="18"/>
      <c r="F1024" s="17"/>
      <c r="G1024" s="17"/>
      <c r="H1024" s="17"/>
      <c r="I1024" s="17"/>
      <c r="J1024" s="17"/>
      <c r="K1024" s="17"/>
      <c r="L1024" s="17"/>
      <c r="M1024" s="17"/>
    </row>
    <row r="1025" spans="1:13" s="2" customFormat="1" x14ac:dyDescent="0.25">
      <c r="A1025" s="6"/>
      <c r="D1025" s="17"/>
      <c r="E1025" s="18"/>
      <c r="F1025" s="17"/>
      <c r="G1025" s="17"/>
      <c r="H1025" s="17"/>
      <c r="I1025" s="17"/>
      <c r="J1025" s="17"/>
      <c r="K1025" s="17"/>
      <c r="L1025" s="17"/>
      <c r="M1025" s="17"/>
    </row>
    <row r="1026" spans="1:13" s="2" customFormat="1" x14ac:dyDescent="0.25">
      <c r="A1026" s="6"/>
      <c r="D1026" s="17"/>
      <c r="E1026" s="18"/>
      <c r="F1026" s="17"/>
      <c r="G1026" s="17"/>
      <c r="H1026" s="17"/>
      <c r="I1026" s="17"/>
      <c r="J1026" s="17"/>
      <c r="K1026" s="17"/>
      <c r="L1026" s="17"/>
      <c r="M1026" s="17"/>
    </row>
    <row r="1027" spans="1:13" s="2" customFormat="1" x14ac:dyDescent="0.25">
      <c r="A1027" s="6"/>
      <c r="D1027" s="17"/>
      <c r="E1027" s="18"/>
      <c r="F1027" s="17"/>
      <c r="G1027" s="17"/>
      <c r="H1027" s="17"/>
      <c r="I1027" s="17"/>
      <c r="J1027" s="17"/>
      <c r="K1027" s="17"/>
      <c r="L1027" s="17"/>
      <c r="M1027" s="17"/>
    </row>
    <row r="1028" spans="1:13" s="2" customFormat="1" x14ac:dyDescent="0.25">
      <c r="A1028" s="6"/>
      <c r="D1028" s="17"/>
      <c r="E1028" s="18"/>
      <c r="F1028" s="17"/>
      <c r="G1028" s="17"/>
      <c r="H1028" s="17"/>
      <c r="I1028" s="17"/>
      <c r="J1028" s="17"/>
      <c r="K1028" s="17"/>
      <c r="L1028" s="17"/>
      <c r="M1028" s="17"/>
    </row>
    <row r="1029" spans="1:13" s="2" customFormat="1" x14ac:dyDescent="0.25">
      <c r="A1029" s="6"/>
      <c r="D1029" s="17"/>
      <c r="E1029" s="18"/>
      <c r="F1029" s="17"/>
      <c r="G1029" s="17"/>
      <c r="H1029" s="17"/>
      <c r="I1029" s="17"/>
      <c r="J1029" s="17"/>
      <c r="K1029" s="17"/>
      <c r="L1029" s="17"/>
      <c r="M1029" s="17"/>
    </row>
    <row r="1030" spans="1:13" s="2" customFormat="1" x14ac:dyDescent="0.25">
      <c r="A1030" s="6"/>
      <c r="D1030" s="17"/>
      <c r="E1030" s="18"/>
      <c r="F1030" s="17"/>
      <c r="G1030" s="17"/>
      <c r="H1030" s="17"/>
      <c r="I1030" s="17"/>
      <c r="J1030" s="17"/>
      <c r="K1030" s="17"/>
      <c r="L1030" s="17"/>
      <c r="M1030" s="17"/>
    </row>
    <row r="1031" spans="1:13" s="2" customFormat="1" x14ac:dyDescent="0.25">
      <c r="A1031" s="6"/>
      <c r="D1031" s="17"/>
      <c r="E1031" s="18"/>
      <c r="F1031" s="17"/>
      <c r="G1031" s="17"/>
      <c r="H1031" s="17"/>
      <c r="I1031" s="17"/>
      <c r="J1031" s="17"/>
      <c r="K1031" s="17"/>
      <c r="L1031" s="17"/>
      <c r="M1031" s="17"/>
    </row>
    <row r="1032" spans="1:13" s="2" customFormat="1" x14ac:dyDescent="0.25">
      <c r="A1032" s="6"/>
      <c r="D1032" s="17"/>
      <c r="E1032" s="18"/>
      <c r="F1032" s="17"/>
      <c r="G1032" s="17"/>
      <c r="H1032" s="17"/>
      <c r="I1032" s="17"/>
      <c r="J1032" s="17"/>
      <c r="K1032" s="17"/>
      <c r="L1032" s="17"/>
      <c r="M1032" s="17"/>
    </row>
    <row r="1033" spans="1:13" s="2" customFormat="1" x14ac:dyDescent="0.25">
      <c r="A1033" s="6"/>
      <c r="D1033" s="17"/>
      <c r="E1033" s="18"/>
      <c r="F1033" s="17"/>
      <c r="G1033" s="17"/>
      <c r="H1033" s="17"/>
      <c r="I1033" s="17"/>
      <c r="J1033" s="17"/>
      <c r="K1033" s="17"/>
      <c r="L1033" s="17"/>
      <c r="M1033" s="17"/>
    </row>
    <row r="1034" spans="1:13" s="2" customFormat="1" x14ac:dyDescent="0.25">
      <c r="A1034" s="6"/>
      <c r="D1034" s="17"/>
      <c r="E1034" s="18"/>
      <c r="F1034" s="17"/>
      <c r="G1034" s="17"/>
      <c r="H1034" s="17"/>
      <c r="I1034" s="17"/>
      <c r="J1034" s="17"/>
      <c r="K1034" s="17"/>
      <c r="L1034" s="17"/>
      <c r="M1034" s="17"/>
    </row>
    <row r="1035" spans="1:13" s="2" customFormat="1" x14ac:dyDescent="0.25">
      <c r="A1035" s="6"/>
      <c r="D1035" s="17"/>
      <c r="E1035" s="18"/>
      <c r="F1035" s="17"/>
      <c r="G1035" s="17"/>
      <c r="H1035" s="17"/>
      <c r="I1035" s="17"/>
      <c r="J1035" s="17"/>
      <c r="K1035" s="17"/>
      <c r="L1035" s="17"/>
      <c r="M1035" s="17"/>
    </row>
    <row r="1036" spans="1:13" s="2" customFormat="1" x14ac:dyDescent="0.25">
      <c r="A1036" s="6"/>
      <c r="D1036" s="17"/>
      <c r="E1036" s="18"/>
      <c r="F1036" s="17"/>
      <c r="G1036" s="17"/>
      <c r="H1036" s="17"/>
      <c r="I1036" s="17"/>
      <c r="J1036" s="17"/>
      <c r="K1036" s="17"/>
      <c r="L1036" s="17"/>
      <c r="M1036" s="17"/>
    </row>
    <row r="1037" spans="1:13" s="2" customFormat="1" x14ac:dyDescent="0.25">
      <c r="A1037" s="6"/>
      <c r="D1037" s="17"/>
      <c r="E1037" s="18"/>
      <c r="F1037" s="17"/>
      <c r="G1037" s="17"/>
      <c r="H1037" s="17"/>
      <c r="I1037" s="17"/>
      <c r="J1037" s="17"/>
      <c r="K1037" s="17"/>
      <c r="L1037" s="17"/>
      <c r="M1037" s="17"/>
    </row>
    <row r="1038" spans="1:13" s="2" customFormat="1" x14ac:dyDescent="0.25">
      <c r="A1038" s="6"/>
      <c r="D1038" s="17"/>
      <c r="E1038" s="18"/>
      <c r="F1038" s="17"/>
      <c r="G1038" s="17"/>
      <c r="H1038" s="17"/>
      <c r="I1038" s="17"/>
      <c r="J1038" s="17"/>
      <c r="K1038" s="17"/>
      <c r="L1038" s="17"/>
      <c r="M1038" s="17"/>
    </row>
    <row r="1039" spans="1:13" s="2" customFormat="1" x14ac:dyDescent="0.25">
      <c r="A1039" s="6"/>
      <c r="D1039" s="17"/>
      <c r="E1039" s="18"/>
      <c r="F1039" s="17"/>
      <c r="G1039" s="17"/>
      <c r="H1039" s="17"/>
      <c r="I1039" s="17"/>
      <c r="J1039" s="17"/>
      <c r="K1039" s="17"/>
      <c r="L1039" s="17"/>
      <c r="M1039" s="17"/>
    </row>
    <row r="1040" spans="1:13" s="2" customFormat="1" x14ac:dyDescent="0.25">
      <c r="A1040" s="6"/>
      <c r="D1040" s="17"/>
      <c r="E1040" s="18"/>
      <c r="F1040" s="17"/>
      <c r="G1040" s="17"/>
      <c r="H1040" s="17"/>
      <c r="I1040" s="17"/>
      <c r="J1040" s="17"/>
      <c r="K1040" s="17"/>
      <c r="L1040" s="17"/>
      <c r="M1040" s="17"/>
    </row>
    <row r="1041" spans="1:13" s="2" customFormat="1" x14ac:dyDescent="0.25">
      <c r="A1041" s="6"/>
      <c r="D1041" s="17"/>
      <c r="E1041" s="18"/>
      <c r="F1041" s="17"/>
      <c r="G1041" s="17"/>
      <c r="H1041" s="17"/>
      <c r="I1041" s="17"/>
      <c r="J1041" s="17"/>
      <c r="K1041" s="17"/>
      <c r="L1041" s="17"/>
      <c r="M1041" s="17"/>
    </row>
    <row r="1042" spans="1:13" s="2" customFormat="1" x14ac:dyDescent="0.25">
      <c r="A1042" s="6"/>
      <c r="D1042" s="17"/>
      <c r="E1042" s="18"/>
      <c r="F1042" s="17"/>
      <c r="G1042" s="17"/>
      <c r="H1042" s="17"/>
      <c r="I1042" s="17"/>
      <c r="J1042" s="17"/>
      <c r="K1042" s="17"/>
      <c r="L1042" s="17"/>
      <c r="M1042" s="17"/>
    </row>
    <row r="1043" spans="1:13" s="2" customFormat="1" x14ac:dyDescent="0.25">
      <c r="A1043" s="6"/>
      <c r="D1043" s="17"/>
      <c r="E1043" s="18"/>
      <c r="F1043" s="17"/>
      <c r="G1043" s="17"/>
      <c r="H1043" s="17"/>
      <c r="I1043" s="17"/>
      <c r="J1043" s="17"/>
      <c r="K1043" s="17"/>
      <c r="L1043" s="17"/>
      <c r="M1043" s="17"/>
    </row>
    <row r="1044" spans="1:13" s="2" customFormat="1" x14ac:dyDescent="0.25">
      <c r="A1044" s="6"/>
      <c r="D1044" s="17"/>
      <c r="E1044" s="18"/>
      <c r="F1044" s="17"/>
      <c r="G1044" s="17"/>
      <c r="H1044" s="17"/>
      <c r="I1044" s="17"/>
      <c r="J1044" s="17"/>
      <c r="K1044" s="17"/>
      <c r="L1044" s="17"/>
      <c r="M1044" s="17"/>
    </row>
    <row r="1045" spans="1:13" s="2" customFormat="1" x14ac:dyDescent="0.25">
      <c r="A1045" s="6"/>
      <c r="D1045" s="17"/>
      <c r="E1045" s="18"/>
      <c r="F1045" s="17"/>
      <c r="G1045" s="17"/>
      <c r="H1045" s="17"/>
      <c r="I1045" s="17"/>
      <c r="J1045" s="17"/>
      <c r="K1045" s="17"/>
      <c r="L1045" s="17"/>
      <c r="M1045" s="17"/>
    </row>
    <row r="1046" spans="1:13" s="2" customFormat="1" x14ac:dyDescent="0.25">
      <c r="A1046" s="6"/>
      <c r="D1046" s="17"/>
      <c r="E1046" s="18"/>
      <c r="F1046" s="17"/>
      <c r="G1046" s="17"/>
      <c r="H1046" s="17"/>
      <c r="I1046" s="17"/>
      <c r="J1046" s="17"/>
      <c r="K1046" s="17"/>
      <c r="L1046" s="17"/>
      <c r="M1046" s="17"/>
    </row>
    <row r="1047" spans="1:13" s="2" customFormat="1" x14ac:dyDescent="0.25">
      <c r="A1047" s="6"/>
      <c r="D1047" s="17"/>
      <c r="E1047" s="18"/>
      <c r="F1047" s="17"/>
      <c r="G1047" s="17"/>
      <c r="H1047" s="17"/>
      <c r="I1047" s="17"/>
      <c r="J1047" s="17"/>
      <c r="K1047" s="17"/>
      <c r="L1047" s="17"/>
      <c r="M1047" s="17"/>
    </row>
    <row r="1048" spans="1:13" s="2" customFormat="1" x14ac:dyDescent="0.25">
      <c r="A1048" s="6"/>
      <c r="D1048" s="17"/>
      <c r="E1048" s="18"/>
      <c r="F1048" s="17"/>
      <c r="G1048" s="17"/>
      <c r="H1048" s="17"/>
      <c r="I1048" s="17"/>
      <c r="J1048" s="17"/>
      <c r="K1048" s="17"/>
      <c r="L1048" s="17"/>
      <c r="M1048" s="17"/>
    </row>
    <row r="1049" spans="1:13" s="2" customFormat="1" x14ac:dyDescent="0.25">
      <c r="A1049" s="6"/>
      <c r="D1049" s="17"/>
      <c r="E1049" s="18"/>
      <c r="F1049" s="17"/>
      <c r="G1049" s="17"/>
      <c r="H1049" s="17"/>
      <c r="I1049" s="17"/>
      <c r="J1049" s="17"/>
      <c r="K1049" s="17"/>
      <c r="L1049" s="17"/>
      <c r="M1049" s="17"/>
    </row>
    <row r="1050" spans="1:13" s="2" customFormat="1" x14ac:dyDescent="0.25">
      <c r="A1050" s="6"/>
      <c r="D1050" s="17"/>
      <c r="E1050" s="18"/>
      <c r="F1050" s="17"/>
      <c r="G1050" s="17"/>
      <c r="H1050" s="17"/>
      <c r="I1050" s="17"/>
      <c r="J1050" s="17"/>
      <c r="K1050" s="17"/>
      <c r="L1050" s="17"/>
      <c r="M1050" s="17"/>
    </row>
    <row r="1051" spans="1:13" s="2" customFormat="1" x14ac:dyDescent="0.25">
      <c r="A1051" s="6"/>
      <c r="D1051" s="17"/>
      <c r="E1051" s="18"/>
      <c r="F1051" s="17"/>
      <c r="G1051" s="17"/>
      <c r="H1051" s="17"/>
      <c r="I1051" s="17"/>
      <c r="J1051" s="17"/>
      <c r="K1051" s="17"/>
      <c r="L1051" s="17"/>
      <c r="M1051" s="17"/>
    </row>
    <row r="1052" spans="1:13" s="2" customFormat="1" x14ac:dyDescent="0.25">
      <c r="A1052" s="6"/>
      <c r="D1052" s="17"/>
      <c r="E1052" s="18"/>
      <c r="F1052" s="17"/>
      <c r="G1052" s="17"/>
      <c r="H1052" s="17"/>
      <c r="I1052" s="17"/>
      <c r="J1052" s="17"/>
      <c r="K1052" s="17"/>
      <c r="L1052" s="17"/>
      <c r="M1052" s="17"/>
    </row>
    <row r="1053" spans="1:13" s="2" customFormat="1" x14ac:dyDescent="0.25">
      <c r="A1053" s="6"/>
      <c r="D1053" s="17"/>
      <c r="E1053" s="18"/>
      <c r="F1053" s="17"/>
      <c r="G1053" s="17"/>
      <c r="H1053" s="17"/>
      <c r="I1053" s="17"/>
      <c r="J1053" s="17"/>
      <c r="K1053" s="17"/>
      <c r="L1053" s="17"/>
      <c r="M1053" s="17"/>
    </row>
    <row r="1054" spans="1:13" s="2" customFormat="1" x14ac:dyDescent="0.25">
      <c r="A1054" s="6"/>
      <c r="D1054" s="17"/>
      <c r="E1054" s="18"/>
      <c r="F1054" s="17"/>
      <c r="G1054" s="17"/>
      <c r="H1054" s="17"/>
      <c r="I1054" s="17"/>
      <c r="J1054" s="17"/>
      <c r="K1054" s="17"/>
      <c r="L1054" s="17"/>
      <c r="M1054" s="17"/>
    </row>
    <row r="1055" spans="1:13" s="2" customFormat="1" x14ac:dyDescent="0.25">
      <c r="A1055" s="6"/>
      <c r="D1055" s="17"/>
      <c r="E1055" s="18"/>
      <c r="F1055" s="17"/>
      <c r="G1055" s="17"/>
      <c r="H1055" s="17"/>
      <c r="I1055" s="17"/>
      <c r="J1055" s="17"/>
      <c r="K1055" s="17"/>
      <c r="L1055" s="17"/>
      <c r="M1055" s="17"/>
    </row>
    <row r="1056" spans="1:13" s="2" customFormat="1" x14ac:dyDescent="0.25">
      <c r="A1056" s="6"/>
      <c r="D1056" s="17"/>
      <c r="E1056" s="18"/>
      <c r="F1056" s="17"/>
      <c r="G1056" s="17"/>
      <c r="H1056" s="17"/>
      <c r="I1056" s="17"/>
      <c r="J1056" s="17"/>
      <c r="K1056" s="17"/>
      <c r="L1056" s="17"/>
      <c r="M1056" s="17"/>
    </row>
    <row r="1057" spans="1:13" s="2" customFormat="1" x14ac:dyDescent="0.25">
      <c r="A1057" s="6"/>
      <c r="D1057" s="17"/>
      <c r="E1057" s="18"/>
      <c r="F1057" s="17"/>
      <c r="G1057" s="17"/>
      <c r="H1057" s="17"/>
      <c r="I1057" s="17"/>
      <c r="J1057" s="17"/>
      <c r="K1057" s="17"/>
      <c r="L1057" s="17"/>
      <c r="M1057" s="17"/>
    </row>
    <row r="1058" spans="1:13" s="2" customFormat="1" x14ac:dyDescent="0.25">
      <c r="A1058" s="6"/>
      <c r="D1058" s="17"/>
      <c r="E1058" s="18"/>
      <c r="F1058" s="17"/>
      <c r="G1058" s="17"/>
      <c r="H1058" s="17"/>
      <c r="I1058" s="17"/>
      <c r="J1058" s="17"/>
      <c r="K1058" s="17"/>
      <c r="L1058" s="17"/>
      <c r="M1058" s="17"/>
    </row>
    <row r="1059" spans="1:13" s="2" customFormat="1" x14ac:dyDescent="0.25">
      <c r="A1059" s="6"/>
      <c r="D1059" s="17"/>
      <c r="E1059" s="18"/>
      <c r="F1059" s="17"/>
      <c r="G1059" s="17"/>
      <c r="H1059" s="17"/>
      <c r="I1059" s="17"/>
      <c r="J1059" s="17"/>
      <c r="K1059" s="17"/>
      <c r="L1059" s="17"/>
      <c r="M1059" s="17"/>
    </row>
    <row r="1060" spans="1:13" s="2" customFormat="1" x14ac:dyDescent="0.25">
      <c r="A1060" s="6"/>
      <c r="D1060" s="17"/>
      <c r="E1060" s="18"/>
      <c r="F1060" s="17"/>
      <c r="G1060" s="17"/>
      <c r="H1060" s="17"/>
      <c r="I1060" s="17"/>
      <c r="J1060" s="17"/>
      <c r="K1060" s="17"/>
      <c r="L1060" s="17"/>
      <c r="M1060" s="17"/>
    </row>
    <row r="1061" spans="1:13" s="2" customFormat="1" x14ac:dyDescent="0.25">
      <c r="A1061" s="6"/>
      <c r="D1061" s="17"/>
      <c r="E1061" s="18"/>
      <c r="F1061" s="17"/>
      <c r="G1061" s="17"/>
      <c r="H1061" s="17"/>
      <c r="I1061" s="17"/>
      <c r="J1061" s="17"/>
      <c r="K1061" s="17"/>
      <c r="L1061" s="17"/>
      <c r="M1061" s="17"/>
    </row>
    <row r="1062" spans="1:13" s="2" customFormat="1" x14ac:dyDescent="0.25">
      <c r="A1062" s="6"/>
      <c r="D1062" s="17"/>
      <c r="E1062" s="18"/>
      <c r="F1062" s="17"/>
      <c r="G1062" s="17"/>
      <c r="H1062" s="17"/>
      <c r="I1062" s="17"/>
      <c r="J1062" s="17"/>
      <c r="K1062" s="17"/>
      <c r="L1062" s="17"/>
      <c r="M1062" s="17"/>
    </row>
    <row r="1063" spans="1:13" s="2" customFormat="1" x14ac:dyDescent="0.25">
      <c r="A1063" s="6"/>
      <c r="D1063" s="17"/>
      <c r="E1063" s="18"/>
      <c r="F1063" s="17"/>
      <c r="G1063" s="17"/>
      <c r="H1063" s="17"/>
      <c r="I1063" s="17"/>
      <c r="J1063" s="17"/>
      <c r="K1063" s="17"/>
      <c r="L1063" s="17"/>
      <c r="M1063" s="17"/>
    </row>
    <row r="1064" spans="1:13" s="2" customFormat="1" x14ac:dyDescent="0.25">
      <c r="A1064" s="6"/>
      <c r="D1064" s="17"/>
      <c r="E1064" s="18"/>
      <c r="F1064" s="17"/>
      <c r="G1064" s="17"/>
      <c r="H1064" s="17"/>
      <c r="I1064" s="17"/>
      <c r="J1064" s="17"/>
      <c r="K1064" s="17"/>
      <c r="L1064" s="17"/>
      <c r="M1064" s="17"/>
    </row>
    <row r="1065" spans="1:13" s="2" customFormat="1" x14ac:dyDescent="0.25">
      <c r="A1065" s="6"/>
      <c r="D1065" s="17"/>
      <c r="E1065" s="18"/>
      <c r="F1065" s="17"/>
      <c r="G1065" s="17"/>
      <c r="H1065" s="17"/>
      <c r="I1065" s="17"/>
      <c r="J1065" s="17"/>
      <c r="K1065" s="17"/>
      <c r="L1065" s="17"/>
      <c r="M1065" s="17"/>
    </row>
    <row r="1066" spans="1:13" s="2" customFormat="1" x14ac:dyDescent="0.25">
      <c r="A1066" s="6"/>
      <c r="D1066" s="17"/>
      <c r="E1066" s="18"/>
      <c r="F1066" s="17"/>
      <c r="G1066" s="17"/>
      <c r="H1066" s="17"/>
      <c r="I1066" s="17"/>
      <c r="J1066" s="17"/>
      <c r="K1066" s="17"/>
      <c r="L1066" s="17"/>
      <c r="M1066" s="17"/>
    </row>
    <row r="1067" spans="1:13" s="2" customFormat="1" x14ac:dyDescent="0.25">
      <c r="A1067" s="6"/>
      <c r="D1067" s="17"/>
      <c r="E1067" s="18"/>
      <c r="F1067" s="17"/>
      <c r="G1067" s="17"/>
      <c r="H1067" s="17"/>
      <c r="I1067" s="17"/>
      <c r="J1067" s="17"/>
      <c r="K1067" s="17"/>
      <c r="L1067" s="17"/>
      <c r="M1067" s="17"/>
    </row>
    <row r="1068" spans="1:13" s="2" customFormat="1" x14ac:dyDescent="0.25">
      <c r="A1068" s="6"/>
      <c r="D1068" s="17"/>
      <c r="E1068" s="18"/>
      <c r="F1068" s="17"/>
      <c r="G1068" s="17"/>
      <c r="H1068" s="17"/>
      <c r="I1068" s="17"/>
      <c r="J1068" s="17"/>
      <c r="K1068" s="17"/>
      <c r="L1068" s="17"/>
      <c r="M1068" s="17"/>
    </row>
    <row r="1069" spans="1:13" s="2" customFormat="1" x14ac:dyDescent="0.25">
      <c r="A1069" s="6"/>
      <c r="D1069" s="17"/>
      <c r="E1069" s="18"/>
      <c r="F1069" s="17"/>
      <c r="G1069" s="17"/>
      <c r="H1069" s="17"/>
      <c r="I1069" s="17"/>
      <c r="J1069" s="17"/>
      <c r="K1069" s="17"/>
      <c r="L1069" s="17"/>
      <c r="M1069" s="17"/>
    </row>
    <row r="1070" spans="1:13" s="2" customFormat="1" x14ac:dyDescent="0.25">
      <c r="A1070" s="6"/>
      <c r="D1070" s="17"/>
      <c r="E1070" s="18"/>
      <c r="F1070" s="17"/>
      <c r="G1070" s="17"/>
      <c r="H1070" s="17"/>
      <c r="I1070" s="17"/>
      <c r="J1070" s="17"/>
      <c r="K1070" s="17"/>
      <c r="L1070" s="17"/>
      <c r="M1070" s="17"/>
    </row>
    <row r="1071" spans="1:13" s="2" customFormat="1" x14ac:dyDescent="0.25">
      <c r="A1071" s="6"/>
      <c r="D1071" s="17"/>
      <c r="E1071" s="18"/>
      <c r="F1071" s="17"/>
      <c r="G1071" s="17"/>
      <c r="H1071" s="17"/>
      <c r="I1071" s="17"/>
      <c r="J1071" s="17"/>
      <c r="K1071" s="17"/>
      <c r="L1071" s="17"/>
      <c r="M1071" s="17"/>
    </row>
    <row r="1072" spans="1:13" s="2" customFormat="1" x14ac:dyDescent="0.25">
      <c r="A1072" s="6"/>
      <c r="D1072" s="17"/>
      <c r="E1072" s="18"/>
      <c r="F1072" s="17"/>
      <c r="G1072" s="17"/>
      <c r="H1072" s="17"/>
      <c r="I1072" s="17"/>
      <c r="J1072" s="17"/>
      <c r="K1072" s="17"/>
      <c r="L1072" s="17"/>
      <c r="M1072" s="17"/>
    </row>
    <row r="1073" spans="1:13" s="2" customFormat="1" x14ac:dyDescent="0.25">
      <c r="A1073" s="6"/>
      <c r="D1073" s="17"/>
      <c r="E1073" s="18"/>
      <c r="F1073" s="17"/>
      <c r="G1073" s="17"/>
      <c r="H1073" s="17"/>
      <c r="I1073" s="17"/>
      <c r="J1073" s="17"/>
      <c r="K1073" s="17"/>
      <c r="L1073" s="17"/>
      <c r="M1073" s="17"/>
    </row>
    <row r="1074" spans="1:13" s="2" customFormat="1" x14ac:dyDescent="0.25">
      <c r="A1074" s="6"/>
      <c r="D1074" s="17"/>
      <c r="E1074" s="18"/>
      <c r="F1074" s="17"/>
      <c r="G1074" s="17"/>
      <c r="H1074" s="17"/>
      <c r="I1074" s="17"/>
      <c r="J1074" s="17"/>
      <c r="K1074" s="17"/>
      <c r="L1074" s="17"/>
      <c r="M1074" s="17"/>
    </row>
    <row r="1075" spans="1:13" s="2" customFormat="1" x14ac:dyDescent="0.25">
      <c r="A1075" s="6"/>
      <c r="D1075" s="17"/>
      <c r="E1075" s="18"/>
      <c r="F1075" s="17"/>
      <c r="G1075" s="17"/>
      <c r="H1075" s="17"/>
      <c r="I1075" s="17"/>
      <c r="J1075" s="17"/>
      <c r="K1075" s="17"/>
      <c r="L1075" s="17"/>
      <c r="M1075" s="17"/>
    </row>
    <row r="1076" spans="1:13" s="2" customFormat="1" x14ac:dyDescent="0.25">
      <c r="A1076" s="6"/>
      <c r="D1076" s="17"/>
      <c r="E1076" s="18"/>
      <c r="F1076" s="17"/>
      <c r="G1076" s="17"/>
      <c r="H1076" s="17"/>
      <c r="I1076" s="17"/>
      <c r="J1076" s="17"/>
      <c r="K1076" s="17"/>
      <c r="L1076" s="17"/>
      <c r="M1076" s="17"/>
    </row>
    <row r="1077" spans="1:13" s="2" customFormat="1" x14ac:dyDescent="0.25">
      <c r="A1077" s="6"/>
      <c r="D1077" s="17"/>
      <c r="E1077" s="18"/>
      <c r="F1077" s="17"/>
      <c r="G1077" s="17"/>
      <c r="H1077" s="17"/>
      <c r="I1077" s="17"/>
      <c r="J1077" s="17"/>
      <c r="K1077" s="17"/>
      <c r="L1077" s="17"/>
      <c r="M1077" s="17"/>
    </row>
    <row r="1078" spans="1:13" s="2" customFormat="1" x14ac:dyDescent="0.25">
      <c r="A1078" s="6"/>
      <c r="D1078" s="17"/>
      <c r="E1078" s="18"/>
      <c r="F1078" s="17"/>
      <c r="G1078" s="17"/>
      <c r="H1078" s="17"/>
      <c r="I1078" s="17"/>
      <c r="J1078" s="17"/>
      <c r="K1078" s="17"/>
      <c r="L1078" s="17"/>
      <c r="M1078" s="17"/>
    </row>
    <row r="1079" spans="1:13" s="2" customFormat="1" x14ac:dyDescent="0.25">
      <c r="A1079" s="6"/>
      <c r="D1079" s="17"/>
      <c r="E1079" s="18"/>
      <c r="F1079" s="17"/>
      <c r="G1079" s="17"/>
      <c r="H1079" s="17"/>
      <c r="I1079" s="17"/>
      <c r="J1079" s="17"/>
      <c r="K1079" s="17"/>
      <c r="L1079" s="17"/>
      <c r="M1079" s="17"/>
    </row>
    <row r="1080" spans="1:13" s="2" customFormat="1" x14ac:dyDescent="0.25">
      <c r="A1080" s="6"/>
      <c r="D1080" s="17"/>
      <c r="E1080" s="18"/>
      <c r="F1080" s="17"/>
      <c r="G1080" s="17"/>
      <c r="H1080" s="17"/>
      <c r="I1080" s="17"/>
      <c r="J1080" s="17"/>
      <c r="K1080" s="17"/>
      <c r="L1080" s="17"/>
      <c r="M1080" s="17"/>
    </row>
    <row r="1081" spans="1:13" s="2" customFormat="1" x14ac:dyDescent="0.25">
      <c r="A1081" s="6"/>
      <c r="D1081" s="17"/>
      <c r="E1081" s="18"/>
      <c r="F1081" s="17"/>
      <c r="G1081" s="17"/>
      <c r="H1081" s="17"/>
      <c r="I1081" s="17"/>
      <c r="J1081" s="17"/>
      <c r="K1081" s="17"/>
      <c r="L1081" s="17"/>
      <c r="M1081" s="17"/>
    </row>
    <row r="1082" spans="1:13" s="2" customFormat="1" x14ac:dyDescent="0.25">
      <c r="A1082" s="6"/>
      <c r="D1082" s="17"/>
      <c r="E1082" s="18"/>
      <c r="F1082" s="17"/>
      <c r="G1082" s="17"/>
      <c r="H1082" s="17"/>
      <c r="I1082" s="17"/>
      <c r="J1082" s="17"/>
      <c r="K1082" s="17"/>
      <c r="L1082" s="17"/>
      <c r="M1082" s="17"/>
    </row>
    <row r="1083" spans="1:13" s="2" customFormat="1" x14ac:dyDescent="0.25">
      <c r="A1083" s="6"/>
      <c r="D1083" s="17"/>
      <c r="E1083" s="18"/>
      <c r="F1083" s="17"/>
      <c r="G1083" s="17"/>
      <c r="H1083" s="17"/>
      <c r="I1083" s="17"/>
      <c r="J1083" s="17"/>
      <c r="K1083" s="17"/>
      <c r="L1083" s="17"/>
      <c r="M1083" s="17"/>
    </row>
    <row r="1084" spans="1:13" s="2" customFormat="1" x14ac:dyDescent="0.25">
      <c r="A1084" s="6"/>
      <c r="D1084" s="17"/>
      <c r="E1084" s="18"/>
      <c r="F1084" s="17"/>
      <c r="G1084" s="17"/>
      <c r="H1084" s="17"/>
      <c r="I1084" s="17"/>
      <c r="J1084" s="17"/>
      <c r="K1084" s="17"/>
      <c r="L1084" s="17"/>
      <c r="M1084" s="17"/>
    </row>
    <row r="1085" spans="1:13" s="2" customFormat="1" x14ac:dyDescent="0.25">
      <c r="A1085" s="6"/>
      <c r="D1085" s="17"/>
      <c r="E1085" s="18"/>
      <c r="F1085" s="17"/>
      <c r="G1085" s="17"/>
      <c r="H1085" s="17"/>
      <c r="I1085" s="17"/>
      <c r="J1085" s="17"/>
      <c r="K1085" s="17"/>
      <c r="L1085" s="17"/>
      <c r="M1085" s="17"/>
    </row>
    <row r="1086" spans="1:13" s="2" customFormat="1" x14ac:dyDescent="0.25">
      <c r="A1086" s="6"/>
      <c r="D1086" s="17"/>
      <c r="E1086" s="18"/>
      <c r="F1086" s="17"/>
      <c r="G1086" s="17"/>
      <c r="H1086" s="17"/>
      <c r="I1086" s="17"/>
      <c r="J1086" s="17"/>
      <c r="K1086" s="17"/>
      <c r="L1086" s="17"/>
      <c r="M1086" s="17"/>
    </row>
    <row r="1087" spans="1:13" s="2" customFormat="1" x14ac:dyDescent="0.25">
      <c r="A1087" s="6"/>
      <c r="D1087" s="17"/>
      <c r="E1087" s="18"/>
      <c r="F1087" s="17"/>
      <c r="G1087" s="17"/>
      <c r="H1087" s="17"/>
      <c r="I1087" s="17"/>
      <c r="J1087" s="17"/>
      <c r="K1087" s="17"/>
      <c r="L1087" s="17"/>
      <c r="M1087" s="17"/>
    </row>
    <row r="1088" spans="1:13" s="2" customFormat="1" x14ac:dyDescent="0.25">
      <c r="A1088" s="6"/>
      <c r="D1088" s="17"/>
      <c r="E1088" s="18"/>
      <c r="F1088" s="17"/>
      <c r="G1088" s="17"/>
      <c r="H1088" s="17"/>
      <c r="I1088" s="17"/>
      <c r="J1088" s="17"/>
      <c r="K1088" s="17"/>
      <c r="L1088" s="17"/>
      <c r="M1088" s="17"/>
    </row>
    <row r="1089" spans="1:13" s="2" customFormat="1" x14ac:dyDescent="0.25">
      <c r="A1089" s="6"/>
      <c r="D1089" s="17"/>
      <c r="E1089" s="18"/>
      <c r="F1089" s="17"/>
      <c r="G1089" s="17"/>
      <c r="H1089" s="17"/>
      <c r="I1089" s="17"/>
      <c r="J1089" s="17"/>
      <c r="K1089" s="17"/>
      <c r="L1089" s="17"/>
      <c r="M1089" s="17"/>
    </row>
    <row r="1090" spans="1:13" s="2" customFormat="1" x14ac:dyDescent="0.25">
      <c r="A1090" s="6"/>
      <c r="D1090" s="17"/>
      <c r="E1090" s="18"/>
      <c r="F1090" s="17"/>
      <c r="G1090" s="17"/>
      <c r="H1090" s="17"/>
      <c r="I1090" s="17"/>
      <c r="J1090" s="17"/>
      <c r="K1090" s="17"/>
      <c r="L1090" s="17"/>
      <c r="M1090" s="17"/>
    </row>
    <row r="1091" spans="1:13" s="2" customFormat="1" x14ac:dyDescent="0.25">
      <c r="A1091" s="6"/>
      <c r="D1091" s="17"/>
      <c r="E1091" s="18"/>
      <c r="F1091" s="17"/>
      <c r="G1091" s="17"/>
      <c r="H1091" s="17"/>
      <c r="I1091" s="17"/>
      <c r="J1091" s="17"/>
      <c r="K1091" s="17"/>
      <c r="L1091" s="17"/>
      <c r="M1091" s="17"/>
    </row>
    <row r="1092" spans="1:13" s="2" customFormat="1" x14ac:dyDescent="0.25">
      <c r="A1092" s="6"/>
      <c r="D1092" s="17"/>
      <c r="E1092" s="18"/>
      <c r="F1092" s="17"/>
      <c r="G1092" s="17"/>
      <c r="H1092" s="17"/>
      <c r="I1092" s="17"/>
      <c r="J1092" s="17"/>
      <c r="K1092" s="17"/>
      <c r="L1092" s="17"/>
      <c r="M1092" s="17"/>
    </row>
    <row r="1093" spans="1:13" s="2" customFormat="1" x14ac:dyDescent="0.25">
      <c r="A1093" s="6"/>
      <c r="D1093" s="17"/>
      <c r="E1093" s="18"/>
      <c r="F1093" s="17"/>
      <c r="G1093" s="17"/>
      <c r="H1093" s="17"/>
      <c r="I1093" s="17"/>
      <c r="J1093" s="17"/>
      <c r="K1093" s="17"/>
      <c r="L1093" s="17"/>
      <c r="M1093" s="17"/>
    </row>
    <row r="1094" spans="1:13" s="2" customFormat="1" x14ac:dyDescent="0.25">
      <c r="A1094" s="6"/>
      <c r="D1094" s="17"/>
      <c r="E1094" s="18"/>
      <c r="F1094" s="17"/>
      <c r="G1094" s="17"/>
      <c r="H1094" s="17"/>
      <c r="I1094" s="17"/>
      <c r="J1094" s="17"/>
      <c r="K1094" s="17"/>
      <c r="L1094" s="17"/>
      <c r="M1094" s="17"/>
    </row>
  </sheetData>
  <sortState xmlns:xlrd2="http://schemas.microsoft.com/office/spreadsheetml/2017/richdata2" columnSort="1" ref="B5:N73">
    <sortCondition ref="B5:N5"/>
  </sortState>
  <phoneticPr fontId="0" type="noConversion"/>
  <pageMargins left="0.75" right="0.75" top="1" bottom="1" header="0.5" footer="0.5"/>
  <pageSetup scale="35" orientation="landscape" horizontalDpi="300" verticalDpi="300" r:id="rId1"/>
  <headerFooter alignWithMargins="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pageSetUpPr fitToPage="1"/>
  </sheetPr>
  <dimension ref="A1:AW1088"/>
  <sheetViews>
    <sheetView workbookViewId="0"/>
  </sheetViews>
  <sheetFormatPr defaultColWidth="9.140625" defaultRowHeight="15" x14ac:dyDescent="0.25"/>
  <cols>
    <col min="1" max="1" width="86.7109375" style="6" customWidth="1"/>
    <col min="2" max="5" width="10.7109375" style="7" hidden="1" customWidth="1"/>
    <col min="6" max="6" width="10.7109375" style="7" customWidth="1"/>
    <col min="7" max="7" width="10.7109375" style="17" customWidth="1"/>
    <col min="8" max="8" width="10.7109375" style="18" customWidth="1"/>
    <col min="9" max="12" width="10.7109375" style="17" customWidth="1"/>
    <col min="13" max="17" width="10.7109375" style="7" customWidth="1"/>
    <col min="18" max="49" width="9.140625" style="7"/>
    <col min="50" max="16384" width="9.140625" style="2"/>
  </cols>
  <sheetData>
    <row r="1" spans="1:49" x14ac:dyDescent="0.25">
      <c r="A1" s="4" t="str">
        <f>Inputs!A1</f>
        <v>Pfizer</v>
      </c>
      <c r="B1" s="2"/>
      <c r="C1" s="2"/>
      <c r="D1" s="2"/>
      <c r="E1" s="2"/>
      <c r="F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row>
    <row r="2" spans="1:49" x14ac:dyDescent="0.25">
      <c r="A2" s="5" t="s">
        <v>303</v>
      </c>
      <c r="B2" s="2"/>
      <c r="C2" s="2"/>
      <c r="D2" s="2"/>
      <c r="E2" s="2"/>
      <c r="F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row>
    <row r="3" spans="1:49" x14ac:dyDescent="0.25">
      <c r="A3" s="6" t="s">
        <v>304</v>
      </c>
    </row>
    <row r="4" spans="1:49" s="81" customFormat="1" ht="15.75" thickBot="1" x14ac:dyDescent="0.3">
      <c r="A4" s="80" t="str">
        <f>CONCATENATE("Fiscal Years Ending ",Inputs!B7)</f>
        <v>Fiscal Years Ending Dec. 31</v>
      </c>
      <c r="B4" s="81">
        <v>2012</v>
      </c>
      <c r="C4" s="81">
        <v>2013</v>
      </c>
      <c r="D4" s="81">
        <v>2014</v>
      </c>
      <c r="E4" s="81">
        <v>2015</v>
      </c>
      <c r="F4" s="81">
        <v>2016</v>
      </c>
      <c r="G4" s="81">
        <v>2017</v>
      </c>
      <c r="H4" s="81">
        <v>2018</v>
      </c>
      <c r="I4" s="81">
        <v>2019</v>
      </c>
      <c r="J4" s="81">
        <v>2020</v>
      </c>
      <c r="K4" s="81">
        <v>2021</v>
      </c>
      <c r="L4" s="81">
        <v>2022</v>
      </c>
    </row>
    <row r="5" spans="1:49" s="9" customFormat="1" x14ac:dyDescent="0.25">
      <c r="A5" s="158" t="s">
        <v>198</v>
      </c>
      <c r="F5" s="357">
        <v>7246</v>
      </c>
      <c r="G5" s="357">
        <v>21355</v>
      </c>
      <c r="H5" s="357">
        <v>11188</v>
      </c>
      <c r="I5" s="357">
        <v>16302</v>
      </c>
      <c r="J5" s="357">
        <v>9652</v>
      </c>
      <c r="K5" s="357">
        <v>22025</v>
      </c>
      <c r="L5" s="357">
        <v>31407</v>
      </c>
      <c r="M5" s="158"/>
      <c r="N5" s="158"/>
    </row>
    <row r="6" spans="1:49" x14ac:dyDescent="0.25">
      <c r="A6" s="158" t="s">
        <v>197</v>
      </c>
      <c r="F6" s="247" t="s">
        <v>54</v>
      </c>
      <c r="G6" s="247" t="s">
        <v>54</v>
      </c>
      <c r="H6" s="247" t="s">
        <v>54</v>
      </c>
      <c r="I6" s="247" t="s">
        <v>54</v>
      </c>
      <c r="J6" s="357">
        <v>-2631</v>
      </c>
      <c r="K6" s="357">
        <v>434</v>
      </c>
      <c r="L6" s="357">
        <v>-6</v>
      </c>
      <c r="M6" s="158"/>
      <c r="N6" s="158"/>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row>
    <row r="7" spans="1:49" x14ac:dyDescent="0.25">
      <c r="A7" s="158" t="s">
        <v>305</v>
      </c>
      <c r="F7" s="247" t="s">
        <v>54</v>
      </c>
      <c r="G7" s="247" t="s">
        <v>54</v>
      </c>
      <c r="H7" s="247" t="s">
        <v>54</v>
      </c>
      <c r="I7" s="247" t="s">
        <v>54</v>
      </c>
      <c r="J7" s="357">
        <v>7021</v>
      </c>
      <c r="K7" s="357">
        <v>22459</v>
      </c>
      <c r="L7" s="357">
        <v>31401</v>
      </c>
      <c r="M7" s="158"/>
      <c r="N7" s="158"/>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row>
    <row r="8" spans="1:49" s="1" customFormat="1" x14ac:dyDescent="0.25">
      <c r="A8" s="158" t="s">
        <v>306</v>
      </c>
      <c r="F8" s="357">
        <v>5757</v>
      </c>
      <c r="G8" s="357">
        <v>6269</v>
      </c>
      <c r="H8" s="357">
        <v>6384</v>
      </c>
      <c r="I8" s="357">
        <v>6010</v>
      </c>
      <c r="J8" s="357">
        <v>4777</v>
      </c>
      <c r="K8" s="357">
        <v>5191</v>
      </c>
      <c r="L8" s="357">
        <v>5064</v>
      </c>
      <c r="M8" s="158"/>
      <c r="N8" s="158"/>
    </row>
    <row r="9" spans="1:49" s="1" customFormat="1" x14ac:dyDescent="0.25">
      <c r="A9" s="158" t="s">
        <v>307</v>
      </c>
      <c r="F9" s="357">
        <v>1613</v>
      </c>
      <c r="G9" s="357">
        <v>634</v>
      </c>
      <c r="H9" s="357">
        <v>3398</v>
      </c>
      <c r="I9" s="357">
        <v>2953</v>
      </c>
      <c r="J9" s="357">
        <v>2049</v>
      </c>
      <c r="K9" s="357">
        <v>276</v>
      </c>
      <c r="L9" s="357">
        <v>550</v>
      </c>
      <c r="M9" s="158"/>
      <c r="N9" s="158"/>
    </row>
    <row r="10" spans="1:49" s="1" customFormat="1" x14ac:dyDescent="0.25">
      <c r="A10" s="158" t="s">
        <v>308</v>
      </c>
      <c r="F10" s="247" t="s">
        <v>54</v>
      </c>
      <c r="G10" s="247" t="s">
        <v>54</v>
      </c>
      <c r="H10" s="357">
        <v>-1</v>
      </c>
      <c r="I10" s="247" t="s">
        <v>54</v>
      </c>
      <c r="J10" s="247" t="s">
        <v>54</v>
      </c>
      <c r="K10" s="247" t="s">
        <v>54</v>
      </c>
      <c r="L10" s="247" t="s">
        <v>54</v>
      </c>
      <c r="M10" s="158"/>
      <c r="N10" s="158"/>
    </row>
    <row r="11" spans="1:49" x14ac:dyDescent="0.25">
      <c r="A11" s="158" t="s">
        <v>309</v>
      </c>
      <c r="F11" s="357">
        <v>1712</v>
      </c>
      <c r="G11" s="357">
        <v>55</v>
      </c>
      <c r="H11" s="247" t="s">
        <v>54</v>
      </c>
      <c r="I11" s="247" t="s">
        <v>54</v>
      </c>
      <c r="J11" s="247" t="s">
        <v>54</v>
      </c>
      <c r="K11" s="247" t="s">
        <v>54</v>
      </c>
      <c r="L11" s="247" t="s">
        <v>54</v>
      </c>
      <c r="M11" s="158"/>
      <c r="N11" s="158"/>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row>
    <row r="12" spans="1:49" s="1" customFormat="1" x14ac:dyDescent="0.25">
      <c r="A12" s="158" t="s">
        <v>310</v>
      </c>
      <c r="F12" s="247" t="s">
        <v>54</v>
      </c>
      <c r="G12" s="357">
        <v>-10660</v>
      </c>
      <c r="H12" s="357">
        <v>-596</v>
      </c>
      <c r="I12" s="357">
        <v>-323</v>
      </c>
      <c r="J12" s="247" t="s">
        <v>54</v>
      </c>
      <c r="K12" s="247" t="s">
        <v>54</v>
      </c>
      <c r="L12" s="247" t="s">
        <v>54</v>
      </c>
      <c r="M12" s="158"/>
      <c r="N12" s="158"/>
    </row>
    <row r="13" spans="1:49" s="1" customFormat="1" x14ac:dyDescent="0.25">
      <c r="A13" s="158" t="s">
        <v>311</v>
      </c>
      <c r="F13" s="247" t="s">
        <v>54</v>
      </c>
      <c r="G13" s="247" t="s">
        <v>54</v>
      </c>
      <c r="H13" s="247" t="s">
        <v>54</v>
      </c>
      <c r="I13" s="357">
        <v>-8233</v>
      </c>
      <c r="J13" s="357">
        <v>-6</v>
      </c>
      <c r="K13" s="247" t="s">
        <v>54</v>
      </c>
      <c r="L13" s="247" t="s">
        <v>54</v>
      </c>
      <c r="M13" s="158"/>
      <c r="N13" s="158"/>
    </row>
    <row r="14" spans="1:49" x14ac:dyDescent="0.25">
      <c r="A14" s="158" t="s">
        <v>312</v>
      </c>
      <c r="B14" s="2"/>
      <c r="C14" s="2"/>
      <c r="D14" s="2"/>
      <c r="E14" s="2"/>
      <c r="F14" s="357">
        <v>-700</v>
      </c>
      <c r="G14" s="357">
        <v>-2410</v>
      </c>
      <c r="H14" s="357">
        <v>-2205</v>
      </c>
      <c r="I14" s="357">
        <v>614</v>
      </c>
      <c r="J14" s="357">
        <v>-1468</v>
      </c>
      <c r="K14" s="357">
        <v>-4293</v>
      </c>
      <c r="L14" s="357">
        <v>-3764</v>
      </c>
      <c r="M14" s="158"/>
      <c r="N14" s="158"/>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row>
    <row r="15" spans="1:49" x14ac:dyDescent="0.25">
      <c r="A15" s="158" t="s">
        <v>313</v>
      </c>
      <c r="B15" s="2"/>
      <c r="C15" s="2"/>
      <c r="D15" s="2"/>
      <c r="E15" s="2"/>
      <c r="F15" s="357">
        <v>691</v>
      </c>
      <c r="G15" s="357">
        <v>840</v>
      </c>
      <c r="H15" s="357">
        <v>949</v>
      </c>
      <c r="I15" s="357">
        <v>718</v>
      </c>
      <c r="J15" s="357">
        <v>756</v>
      </c>
      <c r="K15" s="357">
        <v>1182</v>
      </c>
      <c r="L15" s="357">
        <v>872</v>
      </c>
      <c r="M15" s="158"/>
      <c r="N15" s="158"/>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row>
    <row r="16" spans="1:49" x14ac:dyDescent="0.25">
      <c r="A16" s="158" t="s">
        <v>314</v>
      </c>
      <c r="B16" s="2"/>
      <c r="C16" s="2"/>
      <c r="D16" s="2"/>
      <c r="E16" s="2"/>
      <c r="F16" s="357">
        <v>-712</v>
      </c>
      <c r="G16" s="357">
        <v>-961</v>
      </c>
      <c r="H16" s="357">
        <v>-1095</v>
      </c>
      <c r="I16" s="357">
        <v>-336</v>
      </c>
      <c r="J16" s="357">
        <v>-1790</v>
      </c>
      <c r="K16" s="357">
        <v>-3123</v>
      </c>
      <c r="L16" s="357">
        <v>-1158</v>
      </c>
      <c r="M16" s="158"/>
      <c r="N16" s="158"/>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row>
    <row r="17" spans="1:49" x14ac:dyDescent="0.25">
      <c r="A17" s="158" t="s">
        <v>315</v>
      </c>
      <c r="B17" s="2"/>
      <c r="C17" s="2"/>
      <c r="D17" s="2"/>
      <c r="E17" s="2"/>
      <c r="F17" s="357">
        <v>209</v>
      </c>
      <c r="G17" s="357">
        <v>50</v>
      </c>
      <c r="H17" s="357">
        <v>-1268</v>
      </c>
      <c r="I17" s="357">
        <v>-1086</v>
      </c>
      <c r="J17" s="357">
        <v>-478</v>
      </c>
      <c r="K17" s="357">
        <v>-1573</v>
      </c>
      <c r="L17" s="357">
        <v>758</v>
      </c>
      <c r="M17" s="158"/>
      <c r="N17" s="158"/>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row>
    <row r="18" spans="1:49" x14ac:dyDescent="0.25">
      <c r="A18" s="158" t="s">
        <v>230</v>
      </c>
      <c r="B18" s="2"/>
      <c r="C18" s="2"/>
      <c r="D18" s="2"/>
      <c r="E18" s="2"/>
      <c r="F18" s="357">
        <v>-134</v>
      </c>
      <c r="G18" s="357">
        <v>259</v>
      </c>
      <c r="H18" s="357">
        <v>-644</v>
      </c>
      <c r="I18" s="357">
        <v>-742</v>
      </c>
      <c r="J18" s="357">
        <v>-1249</v>
      </c>
      <c r="K18" s="357">
        <v>-3811</v>
      </c>
      <c r="L18" s="357">
        <v>261</v>
      </c>
      <c r="M18" s="158"/>
      <c r="N18" s="158"/>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row>
    <row r="19" spans="1:49" x14ac:dyDescent="0.25">
      <c r="A19" s="158" t="s">
        <v>234</v>
      </c>
      <c r="B19" s="2"/>
      <c r="C19" s="2"/>
      <c r="D19" s="2"/>
      <c r="E19" s="2"/>
      <c r="F19" s="357">
        <v>365</v>
      </c>
      <c r="G19" s="357">
        <v>-357</v>
      </c>
      <c r="H19" s="357">
        <v>-717</v>
      </c>
      <c r="I19" s="357">
        <v>-1050</v>
      </c>
      <c r="J19" s="357">
        <v>-736</v>
      </c>
      <c r="K19" s="357">
        <v>-1125</v>
      </c>
      <c r="L19" s="357">
        <v>592</v>
      </c>
      <c r="M19" s="158"/>
      <c r="N19" s="158"/>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row>
    <row r="20" spans="1:49" s="1" customFormat="1" x14ac:dyDescent="0.25">
      <c r="A20" s="158" t="s">
        <v>316</v>
      </c>
      <c r="F20" s="357">
        <v>-60</v>
      </c>
      <c r="G20" s="357">
        <v>-31</v>
      </c>
      <c r="H20" s="357">
        <v>-16</v>
      </c>
      <c r="I20" s="357">
        <v>795</v>
      </c>
      <c r="J20" s="357">
        <v>-146</v>
      </c>
      <c r="K20" s="357">
        <v>-1057</v>
      </c>
      <c r="L20" s="357">
        <v>-4506</v>
      </c>
      <c r="M20" s="158"/>
      <c r="N20" s="158"/>
    </row>
    <row r="21" spans="1:49" x14ac:dyDescent="0.25">
      <c r="A21" s="158" t="s">
        <v>256</v>
      </c>
      <c r="B21" s="2"/>
      <c r="C21" s="2"/>
      <c r="D21" s="2"/>
      <c r="E21" s="2"/>
      <c r="F21" s="357">
        <v>871</v>
      </c>
      <c r="G21" s="357">
        <v>46</v>
      </c>
      <c r="H21" s="357">
        <v>431</v>
      </c>
      <c r="I21" s="357">
        <v>-564</v>
      </c>
      <c r="J21" s="357">
        <v>353</v>
      </c>
      <c r="K21" s="357">
        <v>1242</v>
      </c>
      <c r="L21" s="357">
        <v>1191</v>
      </c>
      <c r="M21" s="158"/>
      <c r="N21" s="158"/>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row>
    <row r="22" spans="1:49" x14ac:dyDescent="0.25">
      <c r="A22" s="158" t="s">
        <v>317</v>
      </c>
      <c r="B22" s="2"/>
      <c r="C22" s="2"/>
      <c r="D22" s="2"/>
      <c r="E22" s="2"/>
      <c r="F22" s="357">
        <v>-223</v>
      </c>
      <c r="G22" s="357">
        <v>-67</v>
      </c>
      <c r="H22" s="357">
        <v>98</v>
      </c>
      <c r="I22" s="357">
        <v>267</v>
      </c>
      <c r="J22" s="357">
        <v>2741</v>
      </c>
      <c r="K22" s="357">
        <v>18721</v>
      </c>
      <c r="L22" s="357">
        <v>-1449</v>
      </c>
      <c r="M22" s="158"/>
      <c r="N22" s="158"/>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row>
    <row r="23" spans="1:49" x14ac:dyDescent="0.25">
      <c r="A23" s="158" t="s">
        <v>318</v>
      </c>
      <c r="B23" s="2"/>
      <c r="C23" s="2"/>
      <c r="D23" s="2"/>
      <c r="E23" s="2"/>
      <c r="F23" s="357">
        <v>-734</v>
      </c>
      <c r="G23" s="357">
        <v>1446</v>
      </c>
      <c r="H23" s="357">
        <v>-78</v>
      </c>
      <c r="I23" s="357">
        <v>-2737</v>
      </c>
      <c r="J23" s="357">
        <v>-1238</v>
      </c>
      <c r="K23" s="357">
        <v>-1166</v>
      </c>
      <c r="L23" s="357">
        <v>-545</v>
      </c>
      <c r="M23" s="158"/>
      <c r="N23" s="158"/>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row>
    <row r="24" spans="1:49" s="1" customFormat="1" x14ac:dyDescent="0.25">
      <c r="A24" s="158" t="s">
        <v>319</v>
      </c>
      <c r="F24" s="247" t="s">
        <v>54</v>
      </c>
      <c r="G24" s="247" t="s">
        <v>54</v>
      </c>
      <c r="H24" s="247" t="s">
        <v>54</v>
      </c>
      <c r="I24" s="247" t="s">
        <v>54</v>
      </c>
      <c r="J24" s="357">
        <v>10586</v>
      </c>
      <c r="K24" s="357">
        <v>32922</v>
      </c>
      <c r="L24" s="357">
        <v>29267</v>
      </c>
      <c r="M24" s="158"/>
      <c r="N24" s="158"/>
    </row>
    <row r="25" spans="1:49" s="1" customFormat="1" x14ac:dyDescent="0.25">
      <c r="A25" s="158" t="s">
        <v>320</v>
      </c>
      <c r="F25" s="247" t="s">
        <v>54</v>
      </c>
      <c r="G25" s="247" t="s">
        <v>54</v>
      </c>
      <c r="H25" s="247" t="s">
        <v>54</v>
      </c>
      <c r="I25" s="247" t="s">
        <v>54</v>
      </c>
      <c r="J25" s="357">
        <v>3817</v>
      </c>
      <c r="K25" s="357">
        <v>-343</v>
      </c>
      <c r="L25" s="247" t="s">
        <v>54</v>
      </c>
      <c r="M25" s="158"/>
      <c r="N25" s="158"/>
    </row>
    <row r="26" spans="1:49" x14ac:dyDescent="0.25">
      <c r="A26" s="312" t="s">
        <v>321</v>
      </c>
      <c r="B26" s="340"/>
      <c r="C26" s="340"/>
      <c r="D26" s="340"/>
      <c r="E26" s="340"/>
      <c r="F26" s="358">
        <v>15901</v>
      </c>
      <c r="G26" s="358">
        <v>16470</v>
      </c>
      <c r="H26" s="358">
        <v>15827</v>
      </c>
      <c r="I26" s="358">
        <v>12588</v>
      </c>
      <c r="J26" s="358">
        <v>14403</v>
      </c>
      <c r="K26" s="358">
        <v>32580</v>
      </c>
      <c r="L26" s="358">
        <v>29267</v>
      </c>
      <c r="M26" s="158"/>
      <c r="N26" s="158"/>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row>
    <row r="27" spans="1:49" s="1" customFormat="1" x14ac:dyDescent="0.25">
      <c r="A27" s="158" t="s">
        <v>322</v>
      </c>
      <c r="F27" s="357">
        <v>-1823</v>
      </c>
      <c r="G27" s="357">
        <v>-1956</v>
      </c>
      <c r="H27" s="357">
        <v>-2042</v>
      </c>
      <c r="I27" s="357">
        <v>-2176</v>
      </c>
      <c r="J27" s="357">
        <v>-2252</v>
      </c>
      <c r="K27" s="357">
        <v>-2711</v>
      </c>
      <c r="L27" s="357">
        <v>-3236</v>
      </c>
      <c r="M27" s="158"/>
      <c r="N27" s="158"/>
    </row>
    <row r="28" spans="1:49" x14ac:dyDescent="0.25">
      <c r="A28" s="158" t="s">
        <v>323</v>
      </c>
      <c r="B28" s="2"/>
      <c r="C28" s="2"/>
      <c r="D28" s="2"/>
      <c r="E28" s="2"/>
      <c r="F28" s="357">
        <v>-15957</v>
      </c>
      <c r="G28" s="357">
        <v>-14596</v>
      </c>
      <c r="H28" s="357">
        <v>-11677</v>
      </c>
      <c r="I28" s="357">
        <v>-6835</v>
      </c>
      <c r="J28" s="357">
        <v>-13805</v>
      </c>
      <c r="K28" s="357">
        <v>-38457</v>
      </c>
      <c r="L28" s="357">
        <v>-36384</v>
      </c>
      <c r="M28" s="158"/>
      <c r="N28" s="158"/>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row>
    <row r="29" spans="1:49" x14ac:dyDescent="0.25">
      <c r="A29" s="158" t="s">
        <v>324</v>
      </c>
      <c r="B29" s="2"/>
      <c r="C29" s="2"/>
      <c r="D29" s="2"/>
      <c r="E29" s="2"/>
      <c r="F29" s="357">
        <v>29436</v>
      </c>
      <c r="G29" s="357">
        <v>10307</v>
      </c>
      <c r="H29" s="357">
        <v>17581</v>
      </c>
      <c r="I29" s="357">
        <v>9183</v>
      </c>
      <c r="J29" s="357">
        <v>11087</v>
      </c>
      <c r="K29" s="357">
        <v>27447</v>
      </c>
      <c r="L29" s="357">
        <v>44821</v>
      </c>
      <c r="M29" s="158"/>
      <c r="N29" s="158"/>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row>
    <row r="30" spans="1:49" x14ac:dyDescent="0.25">
      <c r="A30" s="158" t="s">
        <v>325</v>
      </c>
      <c r="B30" s="2"/>
      <c r="C30" s="2"/>
      <c r="D30" s="2"/>
      <c r="E30" s="2"/>
      <c r="F30" s="357">
        <v>-4218</v>
      </c>
      <c r="G30" s="357">
        <v>2058</v>
      </c>
      <c r="H30" s="357">
        <v>-3917</v>
      </c>
      <c r="I30" s="357">
        <v>6925</v>
      </c>
      <c r="J30" s="357">
        <v>920</v>
      </c>
      <c r="K30" s="357">
        <v>-8088</v>
      </c>
      <c r="L30" s="357">
        <v>-483</v>
      </c>
      <c r="M30" s="158"/>
      <c r="N30" s="158"/>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row>
    <row r="31" spans="1:49" x14ac:dyDescent="0.25">
      <c r="A31" s="158" t="s">
        <v>326</v>
      </c>
      <c r="B31" s="2"/>
      <c r="C31" s="2"/>
      <c r="D31" s="2"/>
      <c r="E31" s="2"/>
      <c r="F31" s="357">
        <v>-8011</v>
      </c>
      <c r="G31" s="357">
        <v>-3537</v>
      </c>
      <c r="H31" s="357">
        <v>-1797</v>
      </c>
      <c r="I31" s="357">
        <v>-201</v>
      </c>
      <c r="J31" s="357">
        <v>-597</v>
      </c>
      <c r="K31" s="357">
        <v>-1068</v>
      </c>
      <c r="L31" s="357">
        <v>-1913</v>
      </c>
      <c r="M31" s="158"/>
      <c r="N31" s="158"/>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row>
    <row r="32" spans="1:49" x14ac:dyDescent="0.25">
      <c r="A32" s="158" t="s">
        <v>327</v>
      </c>
      <c r="B32" s="2"/>
      <c r="C32" s="2"/>
      <c r="D32" s="2"/>
      <c r="E32" s="2"/>
      <c r="F32" s="357">
        <v>11254</v>
      </c>
      <c r="G32" s="357">
        <v>3594</v>
      </c>
      <c r="H32" s="357">
        <v>6244</v>
      </c>
      <c r="I32" s="357">
        <v>232</v>
      </c>
      <c r="J32" s="357">
        <v>723</v>
      </c>
      <c r="K32" s="357">
        <v>649</v>
      </c>
      <c r="L32" s="357">
        <v>641</v>
      </c>
      <c r="M32" s="158"/>
      <c r="N32" s="158"/>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row>
    <row r="33" spans="1:49" x14ac:dyDescent="0.25">
      <c r="A33" s="158" t="s">
        <v>328</v>
      </c>
      <c r="B33" s="2"/>
      <c r="C33" s="2"/>
      <c r="D33" s="2"/>
      <c r="E33" s="2"/>
      <c r="F33" s="357">
        <v>-18368</v>
      </c>
      <c r="G33" s="357">
        <v>-1000</v>
      </c>
      <c r="H33" s="247" t="s">
        <v>54</v>
      </c>
      <c r="I33" s="357">
        <v>-10861</v>
      </c>
      <c r="J33" s="247" t="s">
        <v>54</v>
      </c>
      <c r="K33" s="247" t="s">
        <v>54</v>
      </c>
      <c r="L33" s="357">
        <v>-22997</v>
      </c>
      <c r="M33" s="158"/>
      <c r="N33" s="158"/>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row>
    <row r="34" spans="1:49" x14ac:dyDescent="0.25">
      <c r="A34" s="158" t="s">
        <v>329</v>
      </c>
      <c r="B34" s="2"/>
      <c r="C34" s="2"/>
      <c r="D34" s="2"/>
      <c r="E34" s="2"/>
      <c r="F34" s="247" t="s">
        <v>54</v>
      </c>
      <c r="G34" s="247" t="s">
        <v>54</v>
      </c>
      <c r="H34" s="247" t="s">
        <v>54</v>
      </c>
      <c r="I34" s="247" t="s">
        <v>54</v>
      </c>
      <c r="J34" s="247" t="s">
        <v>54</v>
      </c>
      <c r="K34" s="247" t="s">
        <v>54</v>
      </c>
      <c r="L34" s="357">
        <v>3960</v>
      </c>
      <c r="M34" s="158"/>
      <c r="N34" s="158"/>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row>
    <row r="35" spans="1:49" x14ac:dyDescent="0.25">
      <c r="A35" s="158" t="s">
        <v>330</v>
      </c>
      <c r="B35" s="2"/>
      <c r="C35" s="2"/>
      <c r="D35" s="2"/>
      <c r="E35" s="2"/>
      <c r="F35" s="357">
        <v>-176</v>
      </c>
      <c r="G35" s="357">
        <v>-261</v>
      </c>
      <c r="H35" s="357">
        <v>-154</v>
      </c>
      <c r="I35" s="357">
        <v>-418</v>
      </c>
      <c r="J35" s="357">
        <v>-539</v>
      </c>
      <c r="K35" s="247" t="s">
        <v>54</v>
      </c>
      <c r="L35" s="247" t="s">
        <v>54</v>
      </c>
      <c r="M35" s="158"/>
      <c r="N35" s="158"/>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row>
    <row r="36" spans="1:49" x14ac:dyDescent="0.25">
      <c r="A36" s="158" t="s">
        <v>331</v>
      </c>
      <c r="B36" s="2"/>
      <c r="C36" s="2"/>
      <c r="D36" s="2"/>
      <c r="E36" s="2"/>
      <c r="F36" s="357">
        <v>51</v>
      </c>
      <c r="G36" s="357">
        <v>650</v>
      </c>
      <c r="H36" s="357">
        <v>288</v>
      </c>
      <c r="I36" s="357">
        <v>205</v>
      </c>
      <c r="J36" s="357">
        <v>274</v>
      </c>
      <c r="K36" s="357">
        <v>-305</v>
      </c>
      <c r="L36" s="357">
        <v>-192</v>
      </c>
      <c r="M36" s="158"/>
      <c r="N36" s="158"/>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row>
    <row r="37" spans="1:49" s="9" customFormat="1" x14ac:dyDescent="0.25">
      <c r="A37" s="158" t="s">
        <v>332</v>
      </c>
      <c r="F37" s="247" t="s">
        <v>54</v>
      </c>
      <c r="G37" s="247" t="s">
        <v>54</v>
      </c>
      <c r="H37" s="247" t="s">
        <v>54</v>
      </c>
      <c r="I37" s="247" t="s">
        <v>54</v>
      </c>
      <c r="J37" s="357">
        <v>-4188</v>
      </c>
      <c r="K37" s="357">
        <v>-22534</v>
      </c>
      <c r="L37" s="357">
        <v>-15783</v>
      </c>
      <c r="M37" s="158"/>
      <c r="N37" s="158"/>
    </row>
    <row r="38" spans="1:49" s="9" customFormat="1" x14ac:dyDescent="0.25">
      <c r="A38" s="158" t="s">
        <v>333</v>
      </c>
      <c r="F38" s="247" t="s">
        <v>54</v>
      </c>
      <c r="G38" s="247" t="s">
        <v>54</v>
      </c>
      <c r="H38" s="247" t="s">
        <v>54</v>
      </c>
      <c r="I38" s="247" t="s">
        <v>54</v>
      </c>
      <c r="J38" s="357">
        <v>-82</v>
      </c>
      <c r="K38" s="357">
        <v>-12</v>
      </c>
      <c r="L38" s="247" t="s">
        <v>54</v>
      </c>
      <c r="M38" s="158"/>
      <c r="N38" s="158"/>
    </row>
    <row r="39" spans="1:49" s="9" customFormat="1" x14ac:dyDescent="0.25">
      <c r="A39" s="312" t="s">
        <v>334</v>
      </c>
      <c r="B39" s="397"/>
      <c r="C39" s="397"/>
      <c r="D39" s="397"/>
      <c r="E39" s="397"/>
      <c r="F39" s="358">
        <v>-7811</v>
      </c>
      <c r="G39" s="358">
        <v>-4741</v>
      </c>
      <c r="H39" s="358">
        <v>4525</v>
      </c>
      <c r="I39" s="358">
        <v>-3945</v>
      </c>
      <c r="J39" s="358">
        <v>-4271</v>
      </c>
      <c r="K39" s="358">
        <v>-22546</v>
      </c>
      <c r="L39" s="358">
        <v>-15783</v>
      </c>
      <c r="M39" s="158"/>
      <c r="N39" s="158"/>
    </row>
    <row r="40" spans="1:49" s="9" customFormat="1" x14ac:dyDescent="0.25">
      <c r="A40" s="158" t="s">
        <v>335</v>
      </c>
      <c r="F40" s="357">
        <v>7472</v>
      </c>
      <c r="G40" s="357">
        <v>8464</v>
      </c>
      <c r="H40" s="357">
        <v>3711</v>
      </c>
      <c r="I40" s="357">
        <v>16455</v>
      </c>
      <c r="J40" s="357">
        <v>12352</v>
      </c>
      <c r="K40" s="247" t="s">
        <v>54</v>
      </c>
      <c r="L40" s="357">
        <v>3891</v>
      </c>
      <c r="M40" s="158"/>
      <c r="N40" s="158"/>
    </row>
    <row r="41" spans="1:49" s="16" customFormat="1" x14ac:dyDescent="0.25">
      <c r="A41" s="158" t="s">
        <v>336</v>
      </c>
      <c r="F41" s="357">
        <v>-5102</v>
      </c>
      <c r="G41" s="357">
        <v>-9990</v>
      </c>
      <c r="H41" s="357">
        <v>-4437</v>
      </c>
      <c r="I41" s="357">
        <v>-8378</v>
      </c>
      <c r="J41" s="357">
        <v>-22197</v>
      </c>
      <c r="K41" s="247" t="s">
        <v>54</v>
      </c>
      <c r="L41" s="357">
        <v>-3887</v>
      </c>
      <c r="M41" s="158"/>
      <c r="N41" s="158"/>
    </row>
    <row r="42" spans="1:49" x14ac:dyDescent="0.25">
      <c r="A42" s="158" t="s">
        <v>337</v>
      </c>
      <c r="B42" s="2"/>
      <c r="C42" s="2"/>
      <c r="D42" s="2"/>
      <c r="E42" s="2"/>
      <c r="F42" s="357">
        <v>-3084</v>
      </c>
      <c r="G42" s="357">
        <v>1401</v>
      </c>
      <c r="H42" s="357">
        <v>-1617</v>
      </c>
      <c r="I42" s="357">
        <v>2551</v>
      </c>
      <c r="J42" s="357">
        <v>-4129</v>
      </c>
      <c r="K42" s="357">
        <v>-96</v>
      </c>
      <c r="L42" s="357">
        <v>-222</v>
      </c>
      <c r="M42" s="158"/>
      <c r="N42" s="158"/>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row>
    <row r="43" spans="1:49" x14ac:dyDescent="0.25">
      <c r="A43" s="158" t="s">
        <v>338</v>
      </c>
      <c r="B43" s="2"/>
      <c r="C43" s="2"/>
      <c r="D43" s="2"/>
      <c r="E43" s="2"/>
      <c r="F43" s="357">
        <v>10976</v>
      </c>
      <c r="G43" s="357">
        <v>5274</v>
      </c>
      <c r="H43" s="357">
        <v>4974</v>
      </c>
      <c r="I43" s="357">
        <v>4942</v>
      </c>
      <c r="J43" s="357">
        <v>5222</v>
      </c>
      <c r="K43" s="357">
        <v>997</v>
      </c>
      <c r="L43" s="247" t="s">
        <v>54</v>
      </c>
      <c r="M43" s="158"/>
      <c r="N43" s="158"/>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row>
    <row r="44" spans="1:49" x14ac:dyDescent="0.25">
      <c r="A44" s="158" t="s">
        <v>339</v>
      </c>
      <c r="B44" s="2"/>
      <c r="C44" s="2"/>
      <c r="D44" s="2"/>
      <c r="E44" s="2"/>
      <c r="F44" s="357">
        <v>-7689</v>
      </c>
      <c r="G44" s="357">
        <v>-6154</v>
      </c>
      <c r="H44" s="357">
        <v>-3566</v>
      </c>
      <c r="I44" s="357">
        <v>-6806</v>
      </c>
      <c r="J44" s="357">
        <v>-4003</v>
      </c>
      <c r="K44" s="357">
        <v>-2004</v>
      </c>
      <c r="L44" s="357">
        <v>-3298</v>
      </c>
      <c r="M44" s="158"/>
      <c r="N44" s="158"/>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row>
    <row r="45" spans="1:49" x14ac:dyDescent="0.25">
      <c r="A45" s="158" t="s">
        <v>340</v>
      </c>
      <c r="B45" s="2"/>
      <c r="C45" s="2"/>
      <c r="D45" s="2"/>
      <c r="E45" s="2"/>
      <c r="F45" s="357">
        <v>-5000</v>
      </c>
      <c r="G45" s="357">
        <v>-5000</v>
      </c>
      <c r="H45" s="357">
        <v>-12198</v>
      </c>
      <c r="I45" s="357">
        <v>-8865</v>
      </c>
      <c r="J45" s="247" t="s">
        <v>54</v>
      </c>
      <c r="K45" s="247" t="s">
        <v>54</v>
      </c>
      <c r="L45" s="357">
        <v>-2000</v>
      </c>
      <c r="M45" s="158"/>
      <c r="N45" s="158"/>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row>
    <row r="46" spans="1:49" x14ac:dyDescent="0.25">
      <c r="A46" s="158" t="s">
        <v>341</v>
      </c>
      <c r="B46" s="2"/>
      <c r="C46" s="2"/>
      <c r="D46" s="2"/>
      <c r="E46" s="2"/>
      <c r="F46" s="357">
        <v>-7317</v>
      </c>
      <c r="G46" s="357">
        <v>-7659</v>
      </c>
      <c r="H46" s="357">
        <v>-7978</v>
      </c>
      <c r="I46" s="357">
        <v>-8043</v>
      </c>
      <c r="J46" s="357">
        <v>-8440</v>
      </c>
      <c r="K46" s="357">
        <v>-8729</v>
      </c>
      <c r="L46" s="357">
        <v>-8983</v>
      </c>
      <c r="M46" s="158"/>
      <c r="N46" s="158"/>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row>
    <row r="47" spans="1:49" x14ac:dyDescent="0.25">
      <c r="A47" s="158" t="s">
        <v>342</v>
      </c>
      <c r="B47" s="2"/>
      <c r="C47" s="2"/>
      <c r="D47" s="2"/>
      <c r="E47" s="2"/>
      <c r="F47" s="357">
        <v>1019</v>
      </c>
      <c r="G47" s="357">
        <v>862</v>
      </c>
      <c r="H47" s="357">
        <v>1259</v>
      </c>
      <c r="I47" s="357">
        <v>394</v>
      </c>
      <c r="J47" s="357">
        <v>425</v>
      </c>
      <c r="K47" s="247" t="s">
        <v>54</v>
      </c>
      <c r="L47" s="247" t="s">
        <v>54</v>
      </c>
      <c r="M47" s="158"/>
      <c r="N47" s="158"/>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row>
    <row r="48" spans="1:49" x14ac:dyDescent="0.25">
      <c r="A48" s="158" t="s">
        <v>343</v>
      </c>
      <c r="B48" s="2"/>
      <c r="C48" s="2"/>
      <c r="D48" s="2"/>
      <c r="E48" s="2"/>
      <c r="F48" s="357">
        <v>-196</v>
      </c>
      <c r="G48" s="357">
        <v>-233</v>
      </c>
      <c r="H48" s="357">
        <v>-588</v>
      </c>
      <c r="I48" s="357">
        <v>-736</v>
      </c>
      <c r="J48" s="357">
        <v>-869</v>
      </c>
      <c r="K48" s="357">
        <v>16</v>
      </c>
      <c r="L48" s="357">
        <v>-335</v>
      </c>
      <c r="M48" s="158"/>
      <c r="N48" s="158"/>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row>
    <row r="49" spans="1:49" x14ac:dyDescent="0.25">
      <c r="A49" s="158" t="s">
        <v>344</v>
      </c>
      <c r="B49" s="2"/>
      <c r="C49" s="2"/>
      <c r="D49" s="2"/>
      <c r="E49" s="2"/>
      <c r="F49" s="247" t="s">
        <v>54</v>
      </c>
      <c r="G49" s="247" t="s">
        <v>54</v>
      </c>
      <c r="H49" s="247" t="s">
        <v>54</v>
      </c>
      <c r="I49" s="247" t="s">
        <v>54</v>
      </c>
      <c r="J49" s="357">
        <v>-21640</v>
      </c>
      <c r="K49" s="357">
        <v>-9816</v>
      </c>
      <c r="L49" s="357">
        <v>-14834</v>
      </c>
      <c r="M49" s="158"/>
      <c r="N49" s="158"/>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row>
    <row r="50" spans="1:49" x14ac:dyDescent="0.25">
      <c r="A50" s="158" t="s">
        <v>345</v>
      </c>
      <c r="B50" s="2"/>
      <c r="C50" s="2"/>
      <c r="D50" s="2"/>
      <c r="E50" s="2"/>
      <c r="F50" s="247" t="s">
        <v>54</v>
      </c>
      <c r="G50" s="247" t="s">
        <v>54</v>
      </c>
      <c r="H50" s="247" t="s">
        <v>54</v>
      </c>
      <c r="I50" s="247" t="s">
        <v>54</v>
      </c>
      <c r="J50" s="357">
        <v>11991</v>
      </c>
      <c r="K50" s="247" t="s">
        <v>54</v>
      </c>
      <c r="L50" s="247" t="s">
        <v>54</v>
      </c>
      <c r="M50" s="158"/>
      <c r="N50" s="158"/>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row>
    <row r="51" spans="1:49" x14ac:dyDescent="0.25">
      <c r="A51" s="312" t="s">
        <v>346</v>
      </c>
      <c r="B51" s="340"/>
      <c r="C51" s="340"/>
      <c r="D51" s="340"/>
      <c r="E51" s="340"/>
      <c r="F51" s="487">
        <f>SUM(F40:F48)</f>
        <v>-8921</v>
      </c>
      <c r="G51" s="487">
        <f t="shared" ref="G51:I51" si="0">SUM(G40:G48)</f>
        <v>-13035</v>
      </c>
      <c r="H51" s="487">
        <f t="shared" si="0"/>
        <v>-20440</v>
      </c>
      <c r="I51" s="487">
        <f t="shared" si="0"/>
        <v>-8486</v>
      </c>
      <c r="J51" s="487">
        <f>SUM(J49:J50)</f>
        <v>-9649</v>
      </c>
      <c r="K51" s="487">
        <f t="shared" ref="K51:L51" si="1">SUM(K49:K50)</f>
        <v>-9816</v>
      </c>
      <c r="L51" s="487">
        <f t="shared" si="1"/>
        <v>-14834</v>
      </c>
      <c r="M51" s="158"/>
      <c r="N51" s="158"/>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row>
    <row r="52" spans="1:49" x14ac:dyDescent="0.25">
      <c r="A52" s="158" t="s">
        <v>347</v>
      </c>
      <c r="B52" s="2"/>
      <c r="C52" s="2"/>
      <c r="D52" s="2"/>
      <c r="E52" s="2"/>
      <c r="F52" s="247" t="s">
        <v>54</v>
      </c>
      <c r="G52" s="247" t="s">
        <v>54</v>
      </c>
      <c r="H52" s="357">
        <v>-205</v>
      </c>
      <c r="I52" s="357">
        <v>125</v>
      </c>
      <c r="J52" s="357">
        <v>475</v>
      </c>
      <c r="K52" s="357">
        <v>159</v>
      </c>
      <c r="L52" s="357">
        <v>-1515</v>
      </c>
      <c r="M52" s="158"/>
      <c r="N52" s="158"/>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row>
    <row r="53" spans="1:49" x14ac:dyDescent="0.25">
      <c r="A53" s="158" t="s">
        <v>348</v>
      </c>
      <c r="B53" s="2"/>
      <c r="C53" s="2"/>
      <c r="D53" s="2"/>
      <c r="E53" s="2"/>
      <c r="F53" s="247" t="s">
        <v>54</v>
      </c>
      <c r="G53" s="247" t="s">
        <v>54</v>
      </c>
      <c r="H53" s="357">
        <v>1431</v>
      </c>
      <c r="I53" s="357">
        <v>1225</v>
      </c>
      <c r="J53" s="357">
        <v>1350</v>
      </c>
      <c r="K53" s="357">
        <v>1825</v>
      </c>
      <c r="L53" s="357">
        <v>1983</v>
      </c>
      <c r="M53" s="158"/>
      <c r="N53" s="158"/>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row>
    <row r="54" spans="1:49" x14ac:dyDescent="0.25">
      <c r="A54" s="158" t="s">
        <v>349</v>
      </c>
      <c r="B54" s="2"/>
      <c r="C54" s="2"/>
      <c r="D54" s="2"/>
      <c r="E54" s="2"/>
      <c r="F54" s="247" t="s">
        <v>54</v>
      </c>
      <c r="G54" s="247" t="s">
        <v>54</v>
      </c>
      <c r="H54" s="357">
        <v>1225</v>
      </c>
      <c r="I54" s="357">
        <v>1350</v>
      </c>
      <c r="J54" s="357">
        <v>1825</v>
      </c>
      <c r="K54" s="357">
        <v>1983</v>
      </c>
      <c r="L54" s="357">
        <v>468</v>
      </c>
      <c r="M54" s="158"/>
      <c r="N54" s="158"/>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row>
    <row r="55" spans="1:49" x14ac:dyDescent="0.25">
      <c r="A55" s="158" t="s">
        <v>350</v>
      </c>
      <c r="B55" s="2"/>
      <c r="C55" s="2"/>
      <c r="D55" s="2"/>
      <c r="E55" s="2"/>
      <c r="F55" s="357">
        <v>-215</v>
      </c>
      <c r="G55" s="357">
        <v>53</v>
      </c>
      <c r="H55" s="247" t="s">
        <v>54</v>
      </c>
      <c r="I55" s="247" t="s">
        <v>54</v>
      </c>
      <c r="J55" s="247" t="s">
        <v>54</v>
      </c>
      <c r="K55" s="247" t="s">
        <v>54</v>
      </c>
      <c r="L55" s="247" t="s">
        <v>54</v>
      </c>
      <c r="M55" s="158"/>
      <c r="N55" s="158"/>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row>
    <row r="56" spans="1:49" x14ac:dyDescent="0.25">
      <c r="A56" s="158" t="s">
        <v>351</v>
      </c>
      <c r="B56" s="2"/>
      <c r="C56" s="2"/>
      <c r="D56" s="2"/>
      <c r="E56" s="2"/>
      <c r="F56" s="357">
        <v>-1046</v>
      </c>
      <c r="G56" s="357">
        <v>-1254</v>
      </c>
      <c r="H56" s="247" t="s">
        <v>54</v>
      </c>
      <c r="I56" s="247" t="s">
        <v>54</v>
      </c>
      <c r="J56" s="247" t="s">
        <v>54</v>
      </c>
      <c r="K56" s="247" t="s">
        <v>54</v>
      </c>
      <c r="L56" s="247" t="s">
        <v>54</v>
      </c>
      <c r="M56" s="158"/>
      <c r="N56" s="158"/>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row>
    <row r="57" spans="1:49" x14ac:dyDescent="0.25">
      <c r="A57" s="158" t="s">
        <v>352</v>
      </c>
      <c r="B57" s="2"/>
      <c r="C57" s="2"/>
      <c r="D57" s="2"/>
      <c r="E57" s="2"/>
      <c r="F57" s="357">
        <v>3641</v>
      </c>
      <c r="G57" s="357">
        <v>2595</v>
      </c>
      <c r="H57" s="247" t="s">
        <v>54</v>
      </c>
      <c r="I57" s="247" t="s">
        <v>54</v>
      </c>
      <c r="J57" s="247" t="s">
        <v>54</v>
      </c>
      <c r="K57" s="247" t="s">
        <v>54</v>
      </c>
      <c r="L57" s="247" t="s">
        <v>54</v>
      </c>
      <c r="M57" s="158"/>
      <c r="N57" s="158"/>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row>
    <row r="58" spans="1:49" x14ac:dyDescent="0.25">
      <c r="A58" s="158" t="s">
        <v>353</v>
      </c>
      <c r="B58" s="2"/>
      <c r="C58" s="2"/>
      <c r="D58" s="2"/>
      <c r="E58" s="2"/>
      <c r="F58" s="357">
        <v>2595</v>
      </c>
      <c r="G58" s="357">
        <v>1342</v>
      </c>
      <c r="H58" s="247" t="s">
        <v>54</v>
      </c>
      <c r="I58" s="247" t="s">
        <v>54</v>
      </c>
      <c r="J58" s="247" t="s">
        <v>54</v>
      </c>
      <c r="K58" s="247" t="s">
        <v>54</v>
      </c>
      <c r="L58" s="247" t="s">
        <v>54</v>
      </c>
      <c r="M58" s="158"/>
      <c r="N58" s="158"/>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row>
    <row r="59" spans="1:49" x14ac:dyDescent="0.25">
      <c r="A59" s="158"/>
      <c r="B59" s="2"/>
      <c r="C59" s="2"/>
      <c r="D59" s="2"/>
      <c r="E59" s="2"/>
      <c r="F59" s="159"/>
      <c r="G59" s="159"/>
      <c r="H59" s="159"/>
      <c r="I59" s="159"/>
      <c r="J59" s="159"/>
      <c r="K59" s="159"/>
      <c r="L59" s="159"/>
      <c r="M59" s="158"/>
      <c r="N59" s="158"/>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row>
    <row r="60" spans="1:49" x14ac:dyDescent="0.25">
      <c r="A60" s="158"/>
      <c r="B60" s="2"/>
      <c r="C60" s="2"/>
      <c r="D60" s="2"/>
      <c r="E60" s="2"/>
      <c r="F60" s="159"/>
      <c r="G60" s="159"/>
      <c r="H60" s="159"/>
      <c r="I60" s="159"/>
      <c r="J60" s="159"/>
      <c r="K60" s="159"/>
      <c r="L60" s="159"/>
      <c r="M60" s="158"/>
      <c r="N60" s="158"/>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row>
    <row r="61" spans="1:49" x14ac:dyDescent="0.25">
      <c r="A61" s="158"/>
      <c r="B61" s="159"/>
      <c r="C61" s="158"/>
      <c r="D61" s="159"/>
      <c r="E61" s="158"/>
      <c r="F61" s="159"/>
      <c r="G61" s="158"/>
      <c r="H61" s="159"/>
      <c r="I61" s="158"/>
      <c r="J61" s="159"/>
      <c r="K61" s="158"/>
      <c r="L61" s="159"/>
      <c r="M61" s="158"/>
      <c r="N61" s="159"/>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row>
    <row r="62" spans="1:49" x14ac:dyDescent="0.25">
      <c r="B62" s="2"/>
      <c r="C62" s="2"/>
      <c r="D62" s="2"/>
      <c r="E62" s="2"/>
      <c r="F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row>
    <row r="63" spans="1:49" x14ac:dyDescent="0.25">
      <c r="B63" s="2"/>
      <c r="C63" s="2"/>
      <c r="D63" s="2"/>
      <c r="E63" s="2"/>
      <c r="F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row>
    <row r="64" spans="1:49" x14ac:dyDescent="0.25">
      <c r="B64" s="2"/>
      <c r="C64" s="2"/>
      <c r="D64" s="2"/>
      <c r="E64" s="2"/>
      <c r="F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row>
    <row r="65" spans="2:49" x14ac:dyDescent="0.25">
      <c r="B65" s="2"/>
      <c r="C65" s="2"/>
      <c r="D65" s="2"/>
      <c r="E65" s="2"/>
      <c r="F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row>
    <row r="66" spans="2:49" x14ac:dyDescent="0.25">
      <c r="B66" s="2"/>
      <c r="C66" s="2"/>
      <c r="D66" s="2"/>
      <c r="E66" s="2"/>
      <c r="F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row>
    <row r="67" spans="2:49" x14ac:dyDescent="0.25">
      <c r="B67" s="2"/>
      <c r="C67" s="2"/>
      <c r="D67" s="2"/>
      <c r="E67" s="2"/>
      <c r="F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row>
    <row r="68" spans="2:49" x14ac:dyDescent="0.25">
      <c r="B68" s="2"/>
      <c r="C68" s="2"/>
      <c r="D68" s="2"/>
      <c r="E68" s="2"/>
      <c r="F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row>
    <row r="69" spans="2:49" x14ac:dyDescent="0.25">
      <c r="B69" s="2"/>
      <c r="C69" s="2"/>
      <c r="D69" s="2"/>
      <c r="E69" s="2"/>
      <c r="F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row>
    <row r="70" spans="2:49" x14ac:dyDescent="0.25">
      <c r="B70" s="2"/>
      <c r="C70" s="2"/>
      <c r="D70" s="2"/>
      <c r="E70" s="2"/>
      <c r="F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row>
    <row r="71" spans="2:49" x14ac:dyDescent="0.25">
      <c r="B71" s="2"/>
      <c r="C71" s="2"/>
      <c r="D71" s="2"/>
      <c r="E71" s="2"/>
      <c r="F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row>
    <row r="72" spans="2:49" x14ac:dyDescent="0.25">
      <c r="B72" s="2"/>
      <c r="C72" s="2"/>
      <c r="D72" s="2"/>
      <c r="E72" s="2"/>
      <c r="F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row>
    <row r="73" spans="2:49" x14ac:dyDescent="0.25">
      <c r="B73" s="2"/>
      <c r="C73" s="2"/>
      <c r="D73" s="2"/>
      <c r="E73" s="2"/>
      <c r="F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row>
    <row r="74" spans="2:49" x14ac:dyDescent="0.25">
      <c r="B74" s="2"/>
      <c r="C74" s="2"/>
      <c r="D74" s="2"/>
      <c r="E74" s="2"/>
      <c r="F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row>
    <row r="75" spans="2:49" x14ac:dyDescent="0.25">
      <c r="B75" s="2"/>
      <c r="C75" s="2"/>
      <c r="D75" s="2"/>
      <c r="E75" s="2"/>
      <c r="F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row>
    <row r="76" spans="2:49" x14ac:dyDescent="0.25">
      <c r="B76" s="2"/>
      <c r="C76" s="2"/>
      <c r="D76" s="2"/>
      <c r="E76" s="2"/>
      <c r="F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row>
    <row r="77" spans="2:49" x14ac:dyDescent="0.25">
      <c r="B77" s="2"/>
      <c r="C77" s="2"/>
      <c r="D77" s="2"/>
      <c r="E77" s="2"/>
      <c r="F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row>
    <row r="78" spans="2:49" x14ac:dyDescent="0.25">
      <c r="B78" s="2"/>
      <c r="C78" s="2"/>
      <c r="D78" s="2"/>
      <c r="E78" s="2"/>
      <c r="F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row>
    <row r="79" spans="2:49" x14ac:dyDescent="0.25">
      <c r="B79" s="2"/>
      <c r="C79" s="2"/>
      <c r="D79" s="2"/>
      <c r="E79" s="2"/>
      <c r="F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row>
    <row r="80" spans="2:49" x14ac:dyDescent="0.25">
      <c r="B80" s="2"/>
      <c r="C80" s="2"/>
      <c r="D80" s="2"/>
      <c r="E80" s="2"/>
      <c r="F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row>
    <row r="81" spans="2:49" x14ac:dyDescent="0.25">
      <c r="B81" s="2"/>
      <c r="C81" s="2"/>
      <c r="D81" s="2"/>
      <c r="E81" s="2"/>
      <c r="F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row>
    <row r="82" spans="2:49" x14ac:dyDescent="0.25">
      <c r="B82" s="2"/>
      <c r="C82" s="2"/>
      <c r="D82" s="2"/>
      <c r="E82" s="2"/>
      <c r="F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row>
    <row r="83" spans="2:49" x14ac:dyDescent="0.25">
      <c r="B83" s="2"/>
      <c r="C83" s="2"/>
      <c r="D83" s="2"/>
      <c r="E83" s="2"/>
      <c r="F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row>
    <row r="84" spans="2:49" x14ac:dyDescent="0.25">
      <c r="B84" s="2"/>
      <c r="C84" s="2"/>
      <c r="D84" s="2"/>
      <c r="E84" s="2"/>
      <c r="F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row>
    <row r="85" spans="2:49" x14ac:dyDescent="0.25">
      <c r="B85" s="2"/>
      <c r="C85" s="2"/>
      <c r="D85" s="2"/>
      <c r="E85" s="2"/>
      <c r="F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row>
    <row r="86" spans="2:49" x14ac:dyDescent="0.25">
      <c r="B86" s="2"/>
      <c r="C86" s="2"/>
      <c r="D86" s="2"/>
      <c r="E86" s="2"/>
      <c r="F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row>
    <row r="87" spans="2:49" x14ac:dyDescent="0.25">
      <c r="B87" s="2"/>
      <c r="C87" s="2"/>
      <c r="D87" s="2"/>
      <c r="E87" s="2"/>
      <c r="F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row>
    <row r="88" spans="2:49" x14ac:dyDescent="0.25">
      <c r="B88" s="2"/>
      <c r="C88" s="2"/>
      <c r="D88" s="2"/>
      <c r="E88" s="2"/>
      <c r="F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row>
    <row r="89" spans="2:49" x14ac:dyDescent="0.25">
      <c r="B89" s="2"/>
      <c r="C89" s="2"/>
      <c r="D89" s="2"/>
      <c r="E89" s="2"/>
      <c r="F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row>
    <row r="90" spans="2:49" x14ac:dyDescent="0.25">
      <c r="B90" s="2"/>
      <c r="C90" s="2"/>
      <c r="D90" s="2"/>
      <c r="E90" s="2"/>
      <c r="F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row>
    <row r="91" spans="2:49" x14ac:dyDescent="0.25">
      <c r="B91" s="2"/>
      <c r="C91" s="2"/>
      <c r="D91" s="2"/>
      <c r="E91" s="2"/>
      <c r="F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row>
    <row r="92" spans="2:49" x14ac:dyDescent="0.25">
      <c r="B92" s="2"/>
      <c r="C92" s="2"/>
      <c r="D92" s="2"/>
      <c r="E92" s="2"/>
      <c r="F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row>
    <row r="93" spans="2:49" x14ac:dyDescent="0.25">
      <c r="B93" s="2"/>
      <c r="C93" s="2"/>
      <c r="D93" s="2"/>
      <c r="E93" s="2"/>
      <c r="F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row>
    <row r="94" spans="2:49" x14ac:dyDescent="0.25">
      <c r="B94" s="2"/>
      <c r="C94" s="2"/>
      <c r="D94" s="2"/>
      <c r="E94" s="2"/>
      <c r="F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row>
    <row r="95" spans="2:49" x14ac:dyDescent="0.25">
      <c r="B95" s="2"/>
      <c r="C95" s="2"/>
      <c r="D95" s="2"/>
      <c r="E95" s="2"/>
      <c r="F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row>
    <row r="96" spans="2:49" x14ac:dyDescent="0.25">
      <c r="B96" s="2"/>
      <c r="C96" s="2"/>
      <c r="D96" s="2"/>
      <c r="E96" s="2"/>
      <c r="F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row>
    <row r="97" spans="2:49" x14ac:dyDescent="0.25">
      <c r="B97" s="2"/>
      <c r="C97" s="2"/>
      <c r="D97" s="2"/>
      <c r="E97" s="2"/>
      <c r="F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row>
    <row r="98" spans="2:49" x14ac:dyDescent="0.25">
      <c r="B98" s="2"/>
      <c r="C98" s="2"/>
      <c r="D98" s="2"/>
      <c r="E98" s="2"/>
      <c r="F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row>
    <row r="99" spans="2:49" x14ac:dyDescent="0.25">
      <c r="B99" s="2"/>
      <c r="C99" s="2"/>
      <c r="D99" s="2"/>
      <c r="E99" s="2"/>
      <c r="F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row>
    <row r="100" spans="2:49" x14ac:dyDescent="0.25">
      <c r="B100" s="2"/>
      <c r="C100" s="2"/>
      <c r="D100" s="2"/>
      <c r="E100" s="2"/>
      <c r="F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row>
    <row r="101" spans="2:49" x14ac:dyDescent="0.25">
      <c r="B101" s="2"/>
      <c r="C101" s="2"/>
      <c r="D101" s="2"/>
      <c r="E101" s="2"/>
      <c r="F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row>
    <row r="102" spans="2:49" x14ac:dyDescent="0.25">
      <c r="B102" s="2"/>
      <c r="C102" s="2"/>
      <c r="D102" s="2"/>
      <c r="E102" s="2"/>
      <c r="F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row>
    <row r="103" spans="2:49" x14ac:dyDescent="0.25">
      <c r="B103" s="2"/>
      <c r="C103" s="2"/>
      <c r="D103" s="2"/>
      <c r="E103" s="2"/>
      <c r="F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row>
    <row r="104" spans="2:49" x14ac:dyDescent="0.25">
      <c r="B104" s="2"/>
      <c r="C104" s="2"/>
      <c r="D104" s="2"/>
      <c r="E104" s="2"/>
      <c r="F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row>
    <row r="105" spans="2:49" x14ac:dyDescent="0.25">
      <c r="B105" s="2"/>
      <c r="C105" s="2"/>
      <c r="D105" s="2"/>
      <c r="E105" s="2"/>
      <c r="F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row>
    <row r="106" spans="2:49" x14ac:dyDescent="0.25">
      <c r="B106" s="2"/>
      <c r="C106" s="2"/>
      <c r="D106" s="2"/>
      <c r="E106" s="2"/>
      <c r="F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row>
    <row r="107" spans="2:49" x14ac:dyDescent="0.25">
      <c r="B107" s="2"/>
      <c r="C107" s="2"/>
      <c r="D107" s="2"/>
      <c r="E107" s="2"/>
      <c r="F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row>
    <row r="108" spans="2:49" x14ac:dyDescent="0.25">
      <c r="B108" s="2"/>
      <c r="C108" s="2"/>
      <c r="D108" s="2"/>
      <c r="E108" s="2"/>
      <c r="F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row>
    <row r="109" spans="2:49" x14ac:dyDescent="0.25">
      <c r="B109" s="2"/>
      <c r="C109" s="2"/>
      <c r="D109" s="2"/>
      <c r="E109" s="2"/>
      <c r="F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row>
    <row r="110" spans="2:49" x14ac:dyDescent="0.25">
      <c r="B110" s="2"/>
      <c r="C110" s="2"/>
      <c r="D110" s="2"/>
      <c r="E110" s="2"/>
      <c r="F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row>
    <row r="111" spans="2:49" x14ac:dyDescent="0.25">
      <c r="B111" s="2"/>
      <c r="C111" s="2"/>
      <c r="D111" s="2"/>
      <c r="E111" s="2"/>
      <c r="F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row>
    <row r="112" spans="2:49" x14ac:dyDescent="0.25">
      <c r="B112" s="2"/>
      <c r="C112" s="2"/>
      <c r="D112" s="2"/>
      <c r="E112" s="2"/>
      <c r="F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row>
    <row r="113" spans="2:49" x14ac:dyDescent="0.25">
      <c r="B113" s="2"/>
      <c r="C113" s="2"/>
      <c r="D113" s="2"/>
      <c r="E113" s="2"/>
      <c r="F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row>
    <row r="114" spans="2:49" x14ac:dyDescent="0.25">
      <c r="B114" s="2"/>
      <c r="C114" s="2"/>
      <c r="D114" s="2"/>
      <c r="E114" s="2"/>
      <c r="F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row>
    <row r="115" spans="2:49" x14ac:dyDescent="0.25">
      <c r="B115" s="2"/>
      <c r="C115" s="2"/>
      <c r="D115" s="2"/>
      <c r="E115" s="2"/>
      <c r="F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row>
    <row r="116" spans="2:49" x14ac:dyDescent="0.25">
      <c r="B116" s="2"/>
      <c r="C116" s="2"/>
      <c r="D116" s="2"/>
      <c r="E116" s="2"/>
      <c r="F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row>
    <row r="117" spans="2:49" x14ac:dyDescent="0.25">
      <c r="B117" s="2"/>
      <c r="C117" s="2"/>
      <c r="D117" s="2"/>
      <c r="E117" s="2"/>
      <c r="F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row>
    <row r="118" spans="2:49" x14ac:dyDescent="0.25">
      <c r="B118" s="2"/>
      <c r="C118" s="2"/>
      <c r="D118" s="2"/>
      <c r="E118" s="2"/>
      <c r="F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row>
    <row r="119" spans="2:49" x14ac:dyDescent="0.25">
      <c r="B119" s="2"/>
      <c r="C119" s="2"/>
      <c r="D119" s="2"/>
      <c r="E119" s="2"/>
      <c r="F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row>
    <row r="120" spans="2:49" x14ac:dyDescent="0.25">
      <c r="B120" s="2"/>
      <c r="C120" s="2"/>
      <c r="D120" s="2"/>
      <c r="E120" s="2"/>
      <c r="F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row>
    <row r="121" spans="2:49" x14ac:dyDescent="0.25">
      <c r="B121" s="2"/>
      <c r="C121" s="2"/>
      <c r="D121" s="2"/>
      <c r="E121" s="2"/>
      <c r="F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row>
    <row r="122" spans="2:49" x14ac:dyDescent="0.25">
      <c r="B122" s="2"/>
      <c r="C122" s="2"/>
      <c r="D122" s="2"/>
      <c r="E122" s="2"/>
      <c r="F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row>
    <row r="123" spans="2:49" x14ac:dyDescent="0.25">
      <c r="B123" s="2"/>
      <c r="C123" s="2"/>
      <c r="D123" s="2"/>
      <c r="E123" s="2"/>
      <c r="F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row>
    <row r="124" spans="2:49" x14ac:dyDescent="0.25">
      <c r="B124" s="2"/>
      <c r="C124" s="2"/>
      <c r="D124" s="2"/>
      <c r="E124" s="2"/>
      <c r="F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row>
    <row r="125" spans="2:49" x14ac:dyDescent="0.25">
      <c r="B125" s="2"/>
      <c r="C125" s="2"/>
      <c r="D125" s="2"/>
      <c r="E125" s="2"/>
      <c r="F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row>
    <row r="126" spans="2:49" x14ac:dyDescent="0.25">
      <c r="B126" s="2"/>
      <c r="C126" s="2"/>
      <c r="D126" s="2"/>
      <c r="E126" s="2"/>
      <c r="F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row>
    <row r="127" spans="2:49" x14ac:dyDescent="0.25">
      <c r="B127" s="2"/>
      <c r="C127" s="2"/>
      <c r="D127" s="2"/>
      <c r="E127" s="2"/>
      <c r="F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row>
    <row r="128" spans="2:49" x14ac:dyDescent="0.25">
      <c r="B128" s="2"/>
      <c r="C128" s="2"/>
      <c r="D128" s="2"/>
      <c r="E128" s="2"/>
      <c r="F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row>
    <row r="129" spans="2:49" x14ac:dyDescent="0.25">
      <c r="B129" s="2"/>
      <c r="C129" s="2"/>
      <c r="D129" s="2"/>
      <c r="E129" s="2"/>
      <c r="F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row>
    <row r="130" spans="2:49" x14ac:dyDescent="0.25">
      <c r="B130" s="2"/>
      <c r="C130" s="2"/>
      <c r="D130" s="2"/>
      <c r="E130" s="2"/>
      <c r="F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row>
    <row r="131" spans="2:49" x14ac:dyDescent="0.25">
      <c r="B131" s="2"/>
      <c r="C131" s="2"/>
      <c r="D131" s="2"/>
      <c r="E131" s="2"/>
      <c r="F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row>
    <row r="132" spans="2:49" x14ac:dyDescent="0.25">
      <c r="B132" s="2"/>
      <c r="C132" s="2"/>
      <c r="D132" s="2"/>
      <c r="E132" s="2"/>
      <c r="F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row>
    <row r="133" spans="2:49" x14ac:dyDescent="0.25">
      <c r="B133" s="2"/>
      <c r="C133" s="2"/>
      <c r="D133" s="2"/>
      <c r="E133" s="2"/>
      <c r="F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row>
    <row r="134" spans="2:49" x14ac:dyDescent="0.25">
      <c r="B134" s="2"/>
      <c r="C134" s="2"/>
      <c r="D134" s="2"/>
      <c r="E134" s="2"/>
      <c r="F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row>
    <row r="135" spans="2:49" x14ac:dyDescent="0.25">
      <c r="B135" s="2"/>
      <c r="C135" s="2"/>
      <c r="D135" s="2"/>
      <c r="E135" s="2"/>
      <c r="F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row>
    <row r="136" spans="2:49" x14ac:dyDescent="0.25">
      <c r="B136" s="2"/>
      <c r="C136" s="2"/>
      <c r="D136" s="2"/>
      <c r="E136" s="2"/>
      <c r="F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row>
    <row r="137" spans="2:49" x14ac:dyDescent="0.25">
      <c r="B137" s="2"/>
      <c r="C137" s="2"/>
      <c r="D137" s="2"/>
      <c r="E137" s="2"/>
      <c r="F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row>
    <row r="138" spans="2:49" x14ac:dyDescent="0.25">
      <c r="B138" s="2"/>
      <c r="C138" s="2"/>
      <c r="D138" s="2"/>
      <c r="E138" s="2"/>
      <c r="F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row>
    <row r="139" spans="2:49" x14ac:dyDescent="0.25">
      <c r="B139" s="2"/>
      <c r="C139" s="2"/>
      <c r="D139" s="2"/>
      <c r="E139" s="2"/>
      <c r="F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row>
    <row r="140" spans="2:49" x14ac:dyDescent="0.25">
      <c r="B140" s="2"/>
      <c r="C140" s="2"/>
      <c r="D140" s="2"/>
      <c r="E140" s="2"/>
      <c r="F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row>
    <row r="141" spans="2:49" x14ac:dyDescent="0.25">
      <c r="B141" s="2"/>
      <c r="C141" s="2"/>
      <c r="D141" s="2"/>
      <c r="E141" s="2"/>
      <c r="F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row>
    <row r="142" spans="2:49" x14ac:dyDescent="0.25">
      <c r="B142" s="2"/>
      <c r="C142" s="2"/>
      <c r="D142" s="2"/>
      <c r="E142" s="2"/>
      <c r="F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row>
    <row r="143" spans="2:49" x14ac:dyDescent="0.25">
      <c r="B143" s="2"/>
      <c r="C143" s="2"/>
      <c r="D143" s="2"/>
      <c r="E143" s="2"/>
      <c r="F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row>
    <row r="144" spans="2:49" x14ac:dyDescent="0.25">
      <c r="B144" s="2"/>
      <c r="C144" s="2"/>
      <c r="D144" s="2"/>
      <c r="E144" s="2"/>
      <c r="F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row>
    <row r="145" spans="2:49" x14ac:dyDescent="0.25">
      <c r="B145" s="2"/>
      <c r="C145" s="2"/>
      <c r="D145" s="2"/>
      <c r="E145" s="2"/>
      <c r="F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row>
    <row r="146" spans="2:49" x14ac:dyDescent="0.25">
      <c r="B146" s="2"/>
      <c r="C146" s="2"/>
      <c r="D146" s="2"/>
      <c r="E146" s="2"/>
      <c r="F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row>
    <row r="147" spans="2:49" x14ac:dyDescent="0.25">
      <c r="B147" s="2"/>
      <c r="C147" s="2"/>
      <c r="D147" s="2"/>
      <c r="E147" s="2"/>
      <c r="F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row>
    <row r="148" spans="2:49" x14ac:dyDescent="0.25">
      <c r="B148" s="2"/>
      <c r="C148" s="2"/>
      <c r="D148" s="2"/>
      <c r="E148" s="2"/>
      <c r="F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row>
    <row r="149" spans="2:49" x14ac:dyDescent="0.25">
      <c r="B149" s="2"/>
      <c r="C149" s="2"/>
      <c r="D149" s="2"/>
      <c r="E149" s="2"/>
      <c r="F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row>
    <row r="150" spans="2:49" x14ac:dyDescent="0.25">
      <c r="B150" s="2"/>
      <c r="C150" s="2"/>
      <c r="D150" s="2"/>
      <c r="E150" s="2"/>
      <c r="F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row>
    <row r="151" spans="2:49" x14ac:dyDescent="0.25">
      <c r="B151" s="2"/>
      <c r="C151" s="2"/>
      <c r="D151" s="2"/>
      <c r="E151" s="2"/>
      <c r="F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row>
    <row r="152" spans="2:49" x14ac:dyDescent="0.25">
      <c r="B152" s="2"/>
      <c r="C152" s="2"/>
      <c r="D152" s="2"/>
      <c r="E152" s="2"/>
      <c r="F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row>
    <row r="153" spans="2:49" x14ac:dyDescent="0.25">
      <c r="B153" s="2"/>
      <c r="C153" s="2"/>
      <c r="D153" s="2"/>
      <c r="E153" s="2"/>
      <c r="F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row>
    <row r="154" spans="2:49" x14ac:dyDescent="0.25">
      <c r="B154" s="2"/>
      <c r="C154" s="2"/>
      <c r="D154" s="2"/>
      <c r="E154" s="2"/>
      <c r="F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row>
    <row r="155" spans="2:49" x14ac:dyDescent="0.25">
      <c r="B155" s="2"/>
      <c r="C155" s="2"/>
      <c r="D155" s="2"/>
      <c r="E155" s="2"/>
      <c r="F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row>
    <row r="156" spans="2:49" x14ac:dyDescent="0.25">
      <c r="B156" s="2"/>
      <c r="C156" s="2"/>
      <c r="D156" s="2"/>
      <c r="E156" s="2"/>
      <c r="F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row>
    <row r="157" spans="2:49" x14ac:dyDescent="0.25">
      <c r="B157" s="2"/>
      <c r="C157" s="2"/>
      <c r="D157" s="2"/>
      <c r="E157" s="2"/>
      <c r="F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row>
    <row r="158" spans="2:49" x14ac:dyDescent="0.25">
      <c r="B158" s="2"/>
      <c r="C158" s="2"/>
      <c r="D158" s="2"/>
      <c r="E158" s="2"/>
      <c r="F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row>
    <row r="159" spans="2:49" x14ac:dyDescent="0.25">
      <c r="B159" s="2"/>
      <c r="C159" s="2"/>
      <c r="D159" s="2"/>
      <c r="E159" s="2"/>
      <c r="F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row>
    <row r="160" spans="2:49" x14ac:dyDescent="0.25">
      <c r="B160" s="2"/>
      <c r="C160" s="2"/>
      <c r="D160" s="2"/>
      <c r="E160" s="2"/>
      <c r="F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row>
    <row r="161" spans="2:49" x14ac:dyDescent="0.25">
      <c r="B161" s="2"/>
      <c r="C161" s="2"/>
      <c r="D161" s="2"/>
      <c r="E161" s="2"/>
      <c r="F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row>
    <row r="162" spans="2:49" x14ac:dyDescent="0.25">
      <c r="B162" s="2"/>
      <c r="C162" s="2"/>
      <c r="D162" s="2"/>
      <c r="E162" s="2"/>
      <c r="F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row>
    <row r="163" spans="2:49" x14ac:dyDescent="0.25">
      <c r="B163" s="2"/>
      <c r="C163" s="2"/>
      <c r="D163" s="2"/>
      <c r="E163" s="2"/>
      <c r="F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row>
    <row r="164" spans="2:49" x14ac:dyDescent="0.25">
      <c r="B164" s="2"/>
      <c r="C164" s="2"/>
      <c r="D164" s="2"/>
      <c r="E164" s="2"/>
      <c r="F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row>
    <row r="165" spans="2:49" x14ac:dyDescent="0.25">
      <c r="B165" s="2"/>
      <c r="C165" s="2"/>
      <c r="D165" s="2"/>
      <c r="E165" s="2"/>
      <c r="F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row>
    <row r="166" spans="2:49" x14ac:dyDescent="0.25">
      <c r="B166" s="2"/>
      <c r="C166" s="2"/>
      <c r="D166" s="2"/>
      <c r="E166" s="2"/>
      <c r="F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row>
    <row r="167" spans="2:49" x14ac:dyDescent="0.25">
      <c r="B167" s="2"/>
      <c r="C167" s="2"/>
      <c r="D167" s="2"/>
      <c r="E167" s="2"/>
      <c r="F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row>
    <row r="168" spans="2:49" x14ac:dyDescent="0.25">
      <c r="B168" s="2"/>
      <c r="C168" s="2"/>
      <c r="D168" s="2"/>
      <c r="E168" s="2"/>
      <c r="F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row>
    <row r="169" spans="2:49" x14ac:dyDescent="0.25">
      <c r="B169" s="2"/>
      <c r="C169" s="2"/>
      <c r="D169" s="2"/>
      <c r="E169" s="2"/>
      <c r="F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row>
    <row r="170" spans="2:49" x14ac:dyDescent="0.25">
      <c r="B170" s="2"/>
      <c r="C170" s="2"/>
      <c r="D170" s="2"/>
      <c r="E170" s="2"/>
      <c r="F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row>
    <row r="171" spans="2:49" x14ac:dyDescent="0.25">
      <c r="B171" s="2"/>
      <c r="C171" s="2"/>
      <c r="D171" s="2"/>
      <c r="E171" s="2"/>
      <c r="F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row>
    <row r="172" spans="2:49" x14ac:dyDescent="0.25">
      <c r="B172" s="2"/>
      <c r="C172" s="2"/>
      <c r="D172" s="2"/>
      <c r="E172" s="2"/>
      <c r="F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row>
    <row r="173" spans="2:49" x14ac:dyDescent="0.25">
      <c r="B173" s="2"/>
      <c r="C173" s="2"/>
      <c r="D173" s="2"/>
      <c r="E173" s="2"/>
      <c r="F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row>
    <row r="174" spans="2:49" x14ac:dyDescent="0.25">
      <c r="B174" s="2"/>
      <c r="C174" s="2"/>
      <c r="D174" s="2"/>
      <c r="E174" s="2"/>
      <c r="F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row>
    <row r="175" spans="2:49" x14ac:dyDescent="0.25">
      <c r="B175" s="2"/>
      <c r="C175" s="2"/>
      <c r="D175" s="2"/>
      <c r="E175" s="2"/>
      <c r="F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row>
    <row r="176" spans="2:49" x14ac:dyDescent="0.25">
      <c r="B176" s="2"/>
      <c r="C176" s="2"/>
      <c r="D176" s="2"/>
      <c r="E176" s="2"/>
      <c r="F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row>
    <row r="177" spans="2:49" x14ac:dyDescent="0.25">
      <c r="B177" s="2"/>
      <c r="C177" s="2"/>
      <c r="D177" s="2"/>
      <c r="E177" s="2"/>
      <c r="F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row>
    <row r="178" spans="2:49" x14ac:dyDescent="0.25">
      <c r="B178" s="2"/>
      <c r="C178" s="2"/>
      <c r="D178" s="2"/>
      <c r="E178" s="2"/>
      <c r="F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row>
    <row r="179" spans="2:49" x14ac:dyDescent="0.25">
      <c r="B179" s="2"/>
      <c r="C179" s="2"/>
      <c r="D179" s="2"/>
      <c r="E179" s="2"/>
      <c r="F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row>
    <row r="180" spans="2:49" x14ac:dyDescent="0.25">
      <c r="B180" s="2"/>
      <c r="C180" s="2"/>
      <c r="D180" s="2"/>
      <c r="E180" s="2"/>
      <c r="F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row>
    <row r="181" spans="2:49" x14ac:dyDescent="0.25">
      <c r="B181" s="2"/>
      <c r="C181" s="2"/>
      <c r="D181" s="2"/>
      <c r="E181" s="2"/>
      <c r="F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row>
    <row r="182" spans="2:49" x14ac:dyDescent="0.25">
      <c r="B182" s="2"/>
      <c r="C182" s="2"/>
      <c r="D182" s="2"/>
      <c r="E182" s="2"/>
      <c r="F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row>
    <row r="183" spans="2:49" x14ac:dyDescent="0.25">
      <c r="B183" s="2"/>
      <c r="C183" s="2"/>
      <c r="D183" s="2"/>
      <c r="E183" s="2"/>
      <c r="F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row>
    <row r="184" spans="2:49" x14ac:dyDescent="0.25">
      <c r="B184" s="2"/>
      <c r="C184" s="2"/>
      <c r="D184" s="2"/>
      <c r="E184" s="2"/>
      <c r="F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row>
    <row r="185" spans="2:49" x14ac:dyDescent="0.25">
      <c r="B185" s="2"/>
      <c r="C185" s="2"/>
      <c r="D185" s="2"/>
      <c r="E185" s="2"/>
      <c r="F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row>
    <row r="186" spans="2:49" x14ac:dyDescent="0.25">
      <c r="B186" s="2"/>
      <c r="C186" s="2"/>
      <c r="D186" s="2"/>
      <c r="E186" s="2"/>
      <c r="F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row>
    <row r="187" spans="2:49" x14ac:dyDescent="0.25">
      <c r="B187" s="2"/>
      <c r="C187" s="2"/>
      <c r="D187" s="2"/>
      <c r="E187" s="2"/>
      <c r="F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row>
    <row r="188" spans="2:49" x14ac:dyDescent="0.25">
      <c r="B188" s="2"/>
      <c r="C188" s="2"/>
      <c r="D188" s="2"/>
      <c r="E188" s="2"/>
      <c r="F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row>
    <row r="189" spans="2:49" x14ac:dyDescent="0.25">
      <c r="B189" s="2"/>
      <c r="C189" s="2"/>
      <c r="D189" s="2"/>
      <c r="E189" s="2"/>
      <c r="F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row>
    <row r="190" spans="2:49" x14ac:dyDescent="0.25">
      <c r="B190" s="2"/>
      <c r="C190" s="2"/>
      <c r="D190" s="2"/>
      <c r="E190" s="2"/>
      <c r="F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row>
    <row r="191" spans="2:49" x14ac:dyDescent="0.25">
      <c r="B191" s="2"/>
      <c r="C191" s="2"/>
      <c r="D191" s="2"/>
      <c r="E191" s="2"/>
      <c r="F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row>
    <row r="192" spans="2:49" x14ac:dyDescent="0.25">
      <c r="B192" s="2"/>
      <c r="C192" s="2"/>
      <c r="D192" s="2"/>
      <c r="E192" s="2"/>
      <c r="F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row>
    <row r="193" spans="2:49" x14ac:dyDescent="0.25">
      <c r="B193" s="2"/>
      <c r="C193" s="2"/>
      <c r="D193" s="2"/>
      <c r="E193" s="2"/>
      <c r="F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row>
    <row r="194" spans="2:49" x14ac:dyDescent="0.25">
      <c r="B194" s="2"/>
      <c r="C194" s="2"/>
      <c r="D194" s="2"/>
      <c r="E194" s="2"/>
      <c r="F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row>
    <row r="195" spans="2:49" x14ac:dyDescent="0.25">
      <c r="B195" s="2"/>
      <c r="C195" s="2"/>
      <c r="D195" s="2"/>
      <c r="E195" s="2"/>
      <c r="F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row>
    <row r="196" spans="2:49" x14ac:dyDescent="0.25">
      <c r="B196" s="2"/>
      <c r="C196" s="2"/>
      <c r="D196" s="2"/>
      <c r="E196" s="2"/>
      <c r="F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row>
    <row r="197" spans="2:49" x14ac:dyDescent="0.25">
      <c r="B197" s="2"/>
      <c r="C197" s="2"/>
      <c r="D197" s="2"/>
      <c r="E197" s="2"/>
      <c r="F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row>
    <row r="198" spans="2:49" x14ac:dyDescent="0.25">
      <c r="B198" s="2"/>
      <c r="C198" s="2"/>
      <c r="D198" s="2"/>
      <c r="E198" s="2"/>
      <c r="F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row>
    <row r="199" spans="2:49" x14ac:dyDescent="0.25">
      <c r="B199" s="2"/>
      <c r="C199" s="2"/>
      <c r="D199" s="2"/>
      <c r="E199" s="2"/>
      <c r="F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row>
    <row r="200" spans="2:49" x14ac:dyDescent="0.25">
      <c r="B200" s="2"/>
      <c r="C200" s="2"/>
      <c r="D200" s="2"/>
      <c r="E200" s="2"/>
      <c r="F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row>
    <row r="201" spans="2:49" x14ac:dyDescent="0.25">
      <c r="B201" s="2"/>
      <c r="C201" s="2"/>
      <c r="D201" s="2"/>
      <c r="E201" s="2"/>
      <c r="F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row>
    <row r="202" spans="2:49" x14ac:dyDescent="0.25">
      <c r="B202" s="2"/>
      <c r="C202" s="2"/>
      <c r="D202" s="2"/>
      <c r="E202" s="2"/>
      <c r="F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row>
    <row r="203" spans="2:49" x14ac:dyDescent="0.25">
      <c r="B203" s="2"/>
      <c r="C203" s="2"/>
      <c r="D203" s="2"/>
      <c r="E203" s="2"/>
      <c r="F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row>
    <row r="204" spans="2:49" x14ac:dyDescent="0.25">
      <c r="B204" s="2"/>
      <c r="C204" s="2"/>
      <c r="D204" s="2"/>
      <c r="E204" s="2"/>
      <c r="F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row>
    <row r="205" spans="2:49" x14ac:dyDescent="0.25">
      <c r="B205" s="2"/>
      <c r="C205" s="2"/>
      <c r="D205" s="2"/>
      <c r="E205" s="2"/>
      <c r="F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row>
    <row r="206" spans="2:49" x14ac:dyDescent="0.25">
      <c r="B206" s="2"/>
      <c r="C206" s="2"/>
      <c r="D206" s="2"/>
      <c r="E206" s="2"/>
      <c r="F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row>
    <row r="207" spans="2:49" x14ac:dyDescent="0.25">
      <c r="B207" s="2"/>
      <c r="C207" s="2"/>
      <c r="D207" s="2"/>
      <c r="E207" s="2"/>
      <c r="F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row>
    <row r="208" spans="2:49" x14ac:dyDescent="0.25">
      <c r="B208" s="2"/>
      <c r="C208" s="2"/>
      <c r="D208" s="2"/>
      <c r="E208" s="2"/>
      <c r="F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row>
    <row r="209" spans="2:49" x14ac:dyDescent="0.25">
      <c r="B209" s="2"/>
      <c r="C209" s="2"/>
      <c r="D209" s="2"/>
      <c r="E209" s="2"/>
      <c r="F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row>
    <row r="210" spans="2:49" x14ac:dyDescent="0.25">
      <c r="B210" s="2"/>
      <c r="C210" s="2"/>
      <c r="D210" s="2"/>
      <c r="E210" s="2"/>
      <c r="F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row>
    <row r="211" spans="2:49" x14ac:dyDescent="0.25">
      <c r="B211" s="2"/>
      <c r="C211" s="2"/>
      <c r="D211" s="2"/>
      <c r="E211" s="2"/>
      <c r="F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row>
    <row r="212" spans="2:49" x14ac:dyDescent="0.25">
      <c r="B212" s="2"/>
      <c r="C212" s="2"/>
      <c r="D212" s="2"/>
      <c r="E212" s="2"/>
      <c r="F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row>
    <row r="213" spans="2:49" x14ac:dyDescent="0.25">
      <c r="B213" s="2"/>
      <c r="C213" s="2"/>
      <c r="D213" s="2"/>
      <c r="E213" s="2"/>
      <c r="F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row>
    <row r="214" spans="2:49" x14ac:dyDescent="0.25">
      <c r="B214" s="2"/>
      <c r="C214" s="2"/>
      <c r="D214" s="2"/>
      <c r="E214" s="2"/>
      <c r="F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row>
    <row r="215" spans="2:49" x14ac:dyDescent="0.25">
      <c r="B215" s="2"/>
      <c r="C215" s="2"/>
      <c r="D215" s="2"/>
      <c r="E215" s="2"/>
      <c r="F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row>
    <row r="216" spans="2:49" x14ac:dyDescent="0.25">
      <c r="B216" s="2"/>
      <c r="C216" s="2"/>
      <c r="D216" s="2"/>
      <c r="E216" s="2"/>
      <c r="F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row>
    <row r="217" spans="2:49" x14ac:dyDescent="0.25">
      <c r="B217" s="2"/>
      <c r="C217" s="2"/>
      <c r="D217" s="2"/>
      <c r="E217" s="2"/>
      <c r="F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row>
    <row r="218" spans="2:49" x14ac:dyDescent="0.25">
      <c r="B218" s="2"/>
      <c r="C218" s="2"/>
      <c r="D218" s="2"/>
      <c r="E218" s="2"/>
      <c r="F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row>
    <row r="219" spans="2:49" x14ac:dyDescent="0.25">
      <c r="B219" s="2"/>
      <c r="C219" s="2"/>
      <c r="D219" s="2"/>
      <c r="E219" s="2"/>
      <c r="F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row>
    <row r="220" spans="2:49" x14ac:dyDescent="0.25">
      <c r="B220" s="2"/>
      <c r="C220" s="2"/>
      <c r="D220" s="2"/>
      <c r="E220" s="2"/>
      <c r="F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row>
    <row r="221" spans="2:49" x14ac:dyDescent="0.25">
      <c r="B221" s="2"/>
      <c r="C221" s="2"/>
      <c r="D221" s="2"/>
      <c r="E221" s="2"/>
      <c r="F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row>
    <row r="222" spans="2:49" x14ac:dyDescent="0.25">
      <c r="B222" s="2"/>
      <c r="C222" s="2"/>
      <c r="D222" s="2"/>
      <c r="E222" s="2"/>
      <c r="F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row>
    <row r="223" spans="2:49" x14ac:dyDescent="0.25">
      <c r="B223" s="2"/>
      <c r="C223" s="2"/>
      <c r="D223" s="2"/>
      <c r="E223" s="2"/>
      <c r="F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row>
    <row r="224" spans="2:49" x14ac:dyDescent="0.25">
      <c r="B224" s="2"/>
      <c r="C224" s="2"/>
      <c r="D224" s="2"/>
      <c r="E224" s="2"/>
      <c r="F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row>
    <row r="225" spans="2:49" x14ac:dyDescent="0.25">
      <c r="B225" s="2"/>
      <c r="C225" s="2"/>
      <c r="D225" s="2"/>
      <c r="E225" s="2"/>
      <c r="F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row>
    <row r="226" spans="2:49" x14ac:dyDescent="0.25">
      <c r="B226" s="2"/>
      <c r="C226" s="2"/>
      <c r="D226" s="2"/>
      <c r="E226" s="2"/>
      <c r="F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row>
    <row r="227" spans="2:49" x14ac:dyDescent="0.25">
      <c r="B227" s="2"/>
      <c r="C227" s="2"/>
      <c r="D227" s="2"/>
      <c r="E227" s="2"/>
      <c r="F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row>
    <row r="228" spans="2:49" x14ac:dyDescent="0.25">
      <c r="B228" s="2"/>
      <c r="C228" s="2"/>
      <c r="D228" s="2"/>
      <c r="E228" s="2"/>
      <c r="F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row>
    <row r="229" spans="2:49" x14ac:dyDescent="0.25">
      <c r="B229" s="2"/>
      <c r="C229" s="2"/>
      <c r="D229" s="2"/>
      <c r="E229" s="2"/>
      <c r="F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row>
    <row r="230" spans="2:49" x14ac:dyDescent="0.25">
      <c r="B230" s="2"/>
      <c r="C230" s="2"/>
      <c r="D230" s="2"/>
      <c r="E230" s="2"/>
      <c r="F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row>
    <row r="231" spans="2:49" x14ac:dyDescent="0.25">
      <c r="B231" s="2"/>
      <c r="C231" s="2"/>
      <c r="D231" s="2"/>
      <c r="E231" s="2"/>
      <c r="F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row>
    <row r="232" spans="2:49" x14ac:dyDescent="0.25">
      <c r="B232" s="2"/>
      <c r="C232" s="2"/>
      <c r="D232" s="2"/>
      <c r="E232" s="2"/>
      <c r="F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row>
    <row r="233" spans="2:49" x14ac:dyDescent="0.25">
      <c r="B233" s="2"/>
      <c r="C233" s="2"/>
      <c r="D233" s="2"/>
      <c r="E233" s="2"/>
      <c r="F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row>
    <row r="234" spans="2:49" x14ac:dyDescent="0.25">
      <c r="B234" s="2"/>
      <c r="C234" s="2"/>
      <c r="D234" s="2"/>
      <c r="E234" s="2"/>
      <c r="F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row>
    <row r="235" spans="2:49" x14ac:dyDescent="0.25">
      <c r="B235" s="2"/>
      <c r="C235" s="2"/>
      <c r="D235" s="2"/>
      <c r="E235" s="2"/>
      <c r="F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row>
    <row r="236" spans="2:49" x14ac:dyDescent="0.25">
      <c r="B236" s="2"/>
      <c r="C236" s="2"/>
      <c r="D236" s="2"/>
      <c r="E236" s="2"/>
      <c r="F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row>
    <row r="237" spans="2:49" x14ac:dyDescent="0.25">
      <c r="B237" s="2"/>
      <c r="C237" s="2"/>
      <c r="D237" s="2"/>
      <c r="E237" s="2"/>
      <c r="F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row>
    <row r="238" spans="2:49" x14ac:dyDescent="0.25">
      <c r="B238" s="2"/>
      <c r="C238" s="2"/>
      <c r="D238" s="2"/>
      <c r="E238" s="2"/>
      <c r="F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row>
    <row r="239" spans="2:49" x14ac:dyDescent="0.25">
      <c r="B239" s="2"/>
      <c r="C239" s="2"/>
      <c r="D239" s="2"/>
      <c r="E239" s="2"/>
      <c r="F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row>
    <row r="240" spans="2:49" x14ac:dyDescent="0.25">
      <c r="B240" s="2"/>
      <c r="C240" s="2"/>
      <c r="D240" s="2"/>
      <c r="E240" s="2"/>
      <c r="F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row>
    <row r="241" spans="2:49" x14ac:dyDescent="0.25">
      <c r="B241" s="2"/>
      <c r="C241" s="2"/>
      <c r="D241" s="2"/>
      <c r="E241" s="2"/>
      <c r="F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row>
    <row r="242" spans="2:49" x14ac:dyDescent="0.25">
      <c r="B242" s="2"/>
      <c r="C242" s="2"/>
      <c r="D242" s="2"/>
      <c r="E242" s="2"/>
      <c r="F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row>
    <row r="243" spans="2:49" x14ac:dyDescent="0.25">
      <c r="B243" s="2"/>
      <c r="C243" s="2"/>
      <c r="D243" s="2"/>
      <c r="E243" s="2"/>
      <c r="F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row>
    <row r="244" spans="2:49" x14ac:dyDescent="0.25">
      <c r="B244" s="2"/>
      <c r="C244" s="2"/>
      <c r="D244" s="2"/>
      <c r="E244" s="2"/>
      <c r="F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row>
    <row r="245" spans="2:49" x14ac:dyDescent="0.25">
      <c r="B245" s="2"/>
      <c r="C245" s="2"/>
      <c r="D245" s="2"/>
      <c r="E245" s="2"/>
      <c r="F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row>
    <row r="246" spans="2:49" x14ac:dyDescent="0.25">
      <c r="B246" s="2"/>
      <c r="C246" s="2"/>
      <c r="D246" s="2"/>
      <c r="E246" s="2"/>
      <c r="F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row>
    <row r="247" spans="2:49" x14ac:dyDescent="0.25">
      <c r="B247" s="2"/>
      <c r="C247" s="2"/>
      <c r="D247" s="2"/>
      <c r="E247" s="2"/>
      <c r="F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row>
    <row r="248" spans="2:49" x14ac:dyDescent="0.25">
      <c r="B248" s="2"/>
      <c r="C248" s="2"/>
      <c r="D248" s="2"/>
      <c r="E248" s="2"/>
      <c r="F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row>
    <row r="249" spans="2:49" x14ac:dyDescent="0.25">
      <c r="B249" s="2"/>
      <c r="C249" s="2"/>
      <c r="D249" s="2"/>
      <c r="E249" s="2"/>
      <c r="F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row>
    <row r="250" spans="2:49" x14ac:dyDescent="0.25">
      <c r="B250" s="2"/>
      <c r="C250" s="2"/>
      <c r="D250" s="2"/>
      <c r="E250" s="2"/>
      <c r="F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row>
    <row r="251" spans="2:49" x14ac:dyDescent="0.25">
      <c r="B251" s="2"/>
      <c r="C251" s="2"/>
      <c r="D251" s="2"/>
      <c r="E251" s="2"/>
      <c r="F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row>
    <row r="252" spans="2:49" x14ac:dyDescent="0.25">
      <c r="B252" s="2"/>
      <c r="C252" s="2"/>
      <c r="D252" s="2"/>
      <c r="E252" s="2"/>
      <c r="F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row>
    <row r="253" spans="2:49" x14ac:dyDescent="0.25">
      <c r="B253" s="2"/>
      <c r="C253" s="2"/>
      <c r="D253" s="2"/>
      <c r="E253" s="2"/>
      <c r="F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row>
    <row r="254" spans="2:49" x14ac:dyDescent="0.25">
      <c r="B254" s="2"/>
      <c r="C254" s="2"/>
      <c r="D254" s="2"/>
      <c r="E254" s="2"/>
      <c r="F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row>
    <row r="255" spans="2:49" x14ac:dyDescent="0.25">
      <c r="B255" s="2"/>
      <c r="C255" s="2"/>
      <c r="D255" s="2"/>
      <c r="E255" s="2"/>
      <c r="F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row>
    <row r="256" spans="2:49" x14ac:dyDescent="0.25">
      <c r="B256" s="2"/>
      <c r="C256" s="2"/>
      <c r="D256" s="2"/>
      <c r="E256" s="2"/>
      <c r="F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row>
    <row r="257" spans="2:49" x14ac:dyDescent="0.25">
      <c r="B257" s="2"/>
      <c r="C257" s="2"/>
      <c r="D257" s="2"/>
      <c r="E257" s="2"/>
      <c r="F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row>
    <row r="258" spans="2:49" x14ac:dyDescent="0.25">
      <c r="B258" s="2"/>
      <c r="C258" s="2"/>
      <c r="D258" s="2"/>
      <c r="E258" s="2"/>
      <c r="F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row>
    <row r="259" spans="2:49" x14ac:dyDescent="0.25">
      <c r="B259" s="2"/>
      <c r="C259" s="2"/>
      <c r="D259" s="2"/>
      <c r="E259" s="2"/>
      <c r="F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row>
    <row r="260" spans="2:49" x14ac:dyDescent="0.25">
      <c r="B260" s="2"/>
      <c r="C260" s="2"/>
      <c r="D260" s="2"/>
      <c r="E260" s="2"/>
      <c r="F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row>
    <row r="261" spans="2:49" x14ac:dyDescent="0.25">
      <c r="B261" s="2"/>
      <c r="C261" s="2"/>
      <c r="D261" s="2"/>
      <c r="E261" s="2"/>
      <c r="F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row>
    <row r="262" spans="2:49" x14ac:dyDescent="0.25">
      <c r="B262" s="2"/>
      <c r="C262" s="2"/>
      <c r="D262" s="2"/>
      <c r="E262" s="2"/>
      <c r="F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row>
    <row r="263" spans="2:49" x14ac:dyDescent="0.25">
      <c r="B263" s="2"/>
      <c r="C263" s="2"/>
      <c r="D263" s="2"/>
      <c r="E263" s="2"/>
      <c r="F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row>
    <row r="264" spans="2:49" x14ac:dyDescent="0.25">
      <c r="B264" s="2"/>
      <c r="C264" s="2"/>
      <c r="D264" s="2"/>
      <c r="E264" s="2"/>
      <c r="F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row>
    <row r="265" spans="2:49" x14ac:dyDescent="0.25">
      <c r="B265" s="2"/>
      <c r="C265" s="2"/>
      <c r="D265" s="2"/>
      <c r="E265" s="2"/>
      <c r="F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row>
    <row r="266" spans="2:49" x14ac:dyDescent="0.25">
      <c r="B266" s="2"/>
      <c r="C266" s="2"/>
      <c r="D266" s="2"/>
      <c r="E266" s="2"/>
      <c r="F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row>
    <row r="267" spans="2:49" x14ac:dyDescent="0.25">
      <c r="B267" s="2"/>
      <c r="C267" s="2"/>
      <c r="D267" s="2"/>
      <c r="E267" s="2"/>
      <c r="F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row>
    <row r="268" spans="2:49" x14ac:dyDescent="0.25">
      <c r="B268" s="2"/>
      <c r="C268" s="2"/>
      <c r="D268" s="2"/>
      <c r="E268" s="2"/>
      <c r="F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row>
    <row r="269" spans="2:49" x14ac:dyDescent="0.25">
      <c r="B269" s="2"/>
      <c r="C269" s="2"/>
      <c r="D269" s="2"/>
      <c r="E269" s="2"/>
      <c r="F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row>
    <row r="270" spans="2:49" x14ac:dyDescent="0.25">
      <c r="B270" s="2"/>
      <c r="C270" s="2"/>
      <c r="D270" s="2"/>
      <c r="E270" s="2"/>
      <c r="F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row>
    <row r="271" spans="2:49" x14ac:dyDescent="0.25">
      <c r="B271" s="2"/>
      <c r="C271" s="2"/>
      <c r="D271" s="2"/>
      <c r="E271" s="2"/>
      <c r="F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row>
    <row r="272" spans="2:49" x14ac:dyDescent="0.25">
      <c r="B272" s="2"/>
      <c r="C272" s="2"/>
      <c r="D272" s="2"/>
      <c r="E272" s="2"/>
      <c r="F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row>
    <row r="273" spans="2:49" x14ac:dyDescent="0.25">
      <c r="B273" s="2"/>
      <c r="C273" s="2"/>
      <c r="D273" s="2"/>
      <c r="E273" s="2"/>
      <c r="F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row>
    <row r="274" spans="2:49" x14ac:dyDescent="0.25">
      <c r="B274" s="2"/>
      <c r="C274" s="2"/>
      <c r="D274" s="2"/>
      <c r="E274" s="2"/>
      <c r="F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row>
    <row r="275" spans="2:49" x14ac:dyDescent="0.25">
      <c r="B275" s="2"/>
      <c r="C275" s="2"/>
      <c r="D275" s="2"/>
      <c r="E275" s="2"/>
      <c r="F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row>
    <row r="276" spans="2:49" x14ac:dyDescent="0.25">
      <c r="B276" s="2"/>
      <c r="C276" s="2"/>
      <c r="D276" s="2"/>
      <c r="E276" s="2"/>
      <c r="F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row>
    <row r="277" spans="2:49" x14ac:dyDescent="0.25">
      <c r="B277" s="2"/>
      <c r="C277" s="2"/>
      <c r="D277" s="2"/>
      <c r="E277" s="2"/>
      <c r="F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row>
    <row r="278" spans="2:49" x14ac:dyDescent="0.25">
      <c r="B278" s="2"/>
      <c r="C278" s="2"/>
      <c r="D278" s="2"/>
      <c r="E278" s="2"/>
      <c r="F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row>
    <row r="279" spans="2:49" x14ac:dyDescent="0.25">
      <c r="B279" s="2"/>
      <c r="C279" s="2"/>
      <c r="D279" s="2"/>
      <c r="E279" s="2"/>
      <c r="F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row>
    <row r="280" spans="2:49" x14ac:dyDescent="0.25">
      <c r="B280" s="2"/>
      <c r="C280" s="2"/>
      <c r="D280" s="2"/>
      <c r="E280" s="2"/>
      <c r="F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row>
    <row r="281" spans="2:49" x14ac:dyDescent="0.25">
      <c r="B281" s="2"/>
      <c r="C281" s="2"/>
      <c r="D281" s="2"/>
      <c r="E281" s="2"/>
      <c r="F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row>
    <row r="282" spans="2:49" x14ac:dyDescent="0.25">
      <c r="B282" s="2"/>
      <c r="C282" s="2"/>
      <c r="D282" s="2"/>
      <c r="E282" s="2"/>
      <c r="F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row>
    <row r="283" spans="2:49" x14ac:dyDescent="0.25">
      <c r="B283" s="2"/>
      <c r="C283" s="2"/>
      <c r="D283" s="2"/>
      <c r="E283" s="2"/>
      <c r="F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row>
    <row r="284" spans="2:49" x14ac:dyDescent="0.25">
      <c r="B284" s="2"/>
      <c r="C284" s="2"/>
      <c r="D284" s="2"/>
      <c r="E284" s="2"/>
      <c r="F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row>
    <row r="285" spans="2:49" x14ac:dyDescent="0.25">
      <c r="B285" s="2"/>
      <c r="C285" s="2"/>
      <c r="D285" s="2"/>
      <c r="E285" s="2"/>
      <c r="F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row>
    <row r="286" spans="2:49" x14ac:dyDescent="0.25">
      <c r="B286" s="2"/>
      <c r="C286" s="2"/>
      <c r="D286" s="2"/>
      <c r="E286" s="2"/>
      <c r="F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row>
    <row r="287" spans="2:49" x14ac:dyDescent="0.25">
      <c r="B287" s="2"/>
      <c r="C287" s="2"/>
      <c r="D287" s="2"/>
      <c r="E287" s="2"/>
      <c r="F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row>
    <row r="288" spans="2:49" x14ac:dyDescent="0.25">
      <c r="B288" s="2"/>
      <c r="C288" s="2"/>
      <c r="D288" s="2"/>
      <c r="E288" s="2"/>
      <c r="F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row>
    <row r="289" spans="2:49" x14ac:dyDescent="0.25">
      <c r="B289" s="2"/>
      <c r="C289" s="2"/>
      <c r="D289" s="2"/>
      <c r="E289" s="2"/>
      <c r="F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row>
    <row r="290" spans="2:49" x14ac:dyDescent="0.25">
      <c r="B290" s="2"/>
      <c r="C290" s="2"/>
      <c r="D290" s="2"/>
      <c r="E290" s="2"/>
      <c r="F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row>
    <row r="291" spans="2:49" x14ac:dyDescent="0.25">
      <c r="B291" s="2"/>
      <c r="C291" s="2"/>
      <c r="D291" s="2"/>
      <c r="E291" s="2"/>
      <c r="F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row>
    <row r="292" spans="2:49" x14ac:dyDescent="0.25">
      <c r="B292" s="2"/>
      <c r="C292" s="2"/>
      <c r="D292" s="2"/>
      <c r="E292" s="2"/>
      <c r="F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row>
    <row r="293" spans="2:49" x14ac:dyDescent="0.25">
      <c r="B293" s="2"/>
      <c r="C293" s="2"/>
      <c r="D293" s="2"/>
      <c r="E293" s="2"/>
      <c r="F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row>
    <row r="294" spans="2:49" x14ac:dyDescent="0.25">
      <c r="B294" s="2"/>
      <c r="C294" s="2"/>
      <c r="D294" s="2"/>
      <c r="E294" s="2"/>
      <c r="F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row>
    <row r="295" spans="2:49" x14ac:dyDescent="0.25">
      <c r="B295" s="2"/>
      <c r="C295" s="2"/>
      <c r="D295" s="2"/>
      <c r="E295" s="2"/>
      <c r="F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row>
    <row r="296" spans="2:49" x14ac:dyDescent="0.25">
      <c r="B296" s="2"/>
      <c r="C296" s="2"/>
      <c r="D296" s="2"/>
      <c r="E296" s="2"/>
      <c r="F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row>
    <row r="297" spans="2:49" x14ac:dyDescent="0.25">
      <c r="B297" s="2"/>
      <c r="C297" s="2"/>
      <c r="D297" s="2"/>
      <c r="E297" s="2"/>
      <c r="F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row>
    <row r="298" spans="2:49" x14ac:dyDescent="0.25">
      <c r="B298" s="2"/>
      <c r="C298" s="2"/>
      <c r="D298" s="2"/>
      <c r="E298" s="2"/>
      <c r="F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row>
    <row r="299" spans="2:49" x14ac:dyDescent="0.25">
      <c r="B299" s="2"/>
      <c r="C299" s="2"/>
      <c r="D299" s="2"/>
      <c r="E299" s="2"/>
      <c r="F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row>
    <row r="300" spans="2:49" x14ac:dyDescent="0.25">
      <c r="B300" s="2"/>
      <c r="C300" s="2"/>
      <c r="D300" s="2"/>
      <c r="E300" s="2"/>
      <c r="F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row>
    <row r="301" spans="2:49" x14ac:dyDescent="0.25">
      <c r="B301" s="2"/>
      <c r="C301" s="2"/>
      <c r="D301" s="2"/>
      <c r="E301" s="2"/>
      <c r="F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row>
    <row r="302" spans="2:49" x14ac:dyDescent="0.25">
      <c r="B302" s="2"/>
      <c r="C302" s="2"/>
      <c r="D302" s="2"/>
      <c r="E302" s="2"/>
      <c r="F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row>
    <row r="303" spans="2:49" x14ac:dyDescent="0.25">
      <c r="B303" s="2"/>
      <c r="C303" s="2"/>
      <c r="D303" s="2"/>
      <c r="E303" s="2"/>
      <c r="F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row>
    <row r="304" spans="2:49" x14ac:dyDescent="0.25">
      <c r="B304" s="2"/>
      <c r="C304" s="2"/>
      <c r="D304" s="2"/>
      <c r="E304" s="2"/>
      <c r="F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row>
    <row r="305" spans="2:49" x14ac:dyDescent="0.25">
      <c r="B305" s="2"/>
      <c r="C305" s="2"/>
      <c r="D305" s="2"/>
      <c r="E305" s="2"/>
      <c r="F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row>
    <row r="306" spans="2:49" x14ac:dyDescent="0.25">
      <c r="B306" s="2"/>
      <c r="C306" s="2"/>
      <c r="D306" s="2"/>
      <c r="E306" s="2"/>
      <c r="F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row>
    <row r="307" spans="2:49" x14ac:dyDescent="0.25">
      <c r="B307" s="2"/>
      <c r="C307" s="2"/>
      <c r="D307" s="2"/>
      <c r="E307" s="2"/>
      <c r="F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row>
    <row r="308" spans="2:49" x14ac:dyDescent="0.25">
      <c r="B308" s="2"/>
      <c r="C308" s="2"/>
      <c r="D308" s="2"/>
      <c r="E308" s="2"/>
      <c r="F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row>
    <row r="309" spans="2:49" x14ac:dyDescent="0.25">
      <c r="B309" s="2"/>
      <c r="C309" s="2"/>
      <c r="D309" s="2"/>
      <c r="E309" s="2"/>
      <c r="F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row>
    <row r="310" spans="2:49" x14ac:dyDescent="0.25">
      <c r="B310" s="2"/>
      <c r="C310" s="2"/>
      <c r="D310" s="2"/>
      <c r="E310" s="2"/>
      <c r="F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row>
    <row r="311" spans="2:49" x14ac:dyDescent="0.25">
      <c r="B311" s="2"/>
      <c r="C311" s="2"/>
      <c r="D311" s="2"/>
      <c r="E311" s="2"/>
      <c r="F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row>
    <row r="312" spans="2:49" x14ac:dyDescent="0.25">
      <c r="B312" s="2"/>
      <c r="C312" s="2"/>
      <c r="D312" s="2"/>
      <c r="E312" s="2"/>
      <c r="F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row>
    <row r="313" spans="2:49" x14ac:dyDescent="0.25">
      <c r="B313" s="2"/>
      <c r="C313" s="2"/>
      <c r="D313" s="2"/>
      <c r="E313" s="2"/>
      <c r="F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row>
    <row r="314" spans="2:49" x14ac:dyDescent="0.25">
      <c r="B314" s="2"/>
      <c r="C314" s="2"/>
      <c r="D314" s="2"/>
      <c r="E314" s="2"/>
      <c r="F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row>
    <row r="315" spans="2:49" x14ac:dyDescent="0.25">
      <c r="B315" s="2"/>
      <c r="C315" s="2"/>
      <c r="D315" s="2"/>
      <c r="E315" s="2"/>
      <c r="F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row>
    <row r="316" spans="2:49" x14ac:dyDescent="0.25">
      <c r="B316" s="2"/>
      <c r="C316" s="2"/>
      <c r="D316" s="2"/>
      <c r="E316" s="2"/>
      <c r="F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row>
    <row r="317" spans="2:49" x14ac:dyDescent="0.25">
      <c r="B317" s="2"/>
      <c r="C317" s="2"/>
      <c r="D317" s="2"/>
      <c r="E317" s="2"/>
      <c r="F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row>
    <row r="318" spans="2:49" x14ac:dyDescent="0.25">
      <c r="B318" s="2"/>
      <c r="C318" s="2"/>
      <c r="D318" s="2"/>
      <c r="E318" s="2"/>
      <c r="F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row>
    <row r="319" spans="2:49" x14ac:dyDescent="0.25">
      <c r="B319" s="2"/>
      <c r="C319" s="2"/>
      <c r="D319" s="2"/>
      <c r="E319" s="2"/>
      <c r="F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row>
    <row r="320" spans="2:49" x14ac:dyDescent="0.25">
      <c r="B320" s="2"/>
      <c r="C320" s="2"/>
      <c r="D320" s="2"/>
      <c r="E320" s="2"/>
      <c r="F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row>
    <row r="321" spans="2:49" x14ac:dyDescent="0.25">
      <c r="B321" s="2"/>
      <c r="C321" s="2"/>
      <c r="D321" s="2"/>
      <c r="E321" s="2"/>
      <c r="F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row>
    <row r="322" spans="2:49" x14ac:dyDescent="0.25">
      <c r="B322" s="2"/>
      <c r="C322" s="2"/>
      <c r="D322" s="2"/>
      <c r="E322" s="2"/>
      <c r="F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row>
    <row r="323" spans="2:49" x14ac:dyDescent="0.25">
      <c r="B323" s="2"/>
      <c r="C323" s="2"/>
      <c r="D323" s="2"/>
      <c r="E323" s="2"/>
      <c r="F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row>
    <row r="324" spans="2:49" x14ac:dyDescent="0.25">
      <c r="B324" s="2"/>
      <c r="C324" s="2"/>
      <c r="D324" s="2"/>
      <c r="E324" s="2"/>
      <c r="F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row>
    <row r="325" spans="2:49" x14ac:dyDescent="0.25">
      <c r="B325" s="2"/>
      <c r="C325" s="2"/>
      <c r="D325" s="2"/>
      <c r="E325" s="2"/>
      <c r="F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row>
    <row r="326" spans="2:49" x14ac:dyDescent="0.25">
      <c r="B326" s="2"/>
      <c r="C326" s="2"/>
      <c r="D326" s="2"/>
      <c r="E326" s="2"/>
      <c r="F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row>
    <row r="327" spans="2:49" x14ac:dyDescent="0.25">
      <c r="B327" s="2"/>
      <c r="C327" s="2"/>
      <c r="D327" s="2"/>
      <c r="E327" s="2"/>
      <c r="F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row>
    <row r="328" spans="2:49" x14ac:dyDescent="0.25">
      <c r="B328" s="2"/>
      <c r="C328" s="2"/>
      <c r="D328" s="2"/>
      <c r="E328" s="2"/>
      <c r="F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row>
    <row r="329" spans="2:49" x14ac:dyDescent="0.25">
      <c r="B329" s="2"/>
      <c r="C329" s="2"/>
      <c r="D329" s="2"/>
      <c r="E329" s="2"/>
      <c r="F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row>
    <row r="330" spans="2:49" x14ac:dyDescent="0.25">
      <c r="B330" s="2"/>
      <c r="C330" s="2"/>
      <c r="D330" s="2"/>
      <c r="E330" s="2"/>
      <c r="F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row>
    <row r="331" spans="2:49" x14ac:dyDescent="0.25">
      <c r="B331" s="2"/>
      <c r="C331" s="2"/>
      <c r="D331" s="2"/>
      <c r="E331" s="2"/>
      <c r="F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row>
    <row r="332" spans="2:49" x14ac:dyDescent="0.25">
      <c r="B332" s="2"/>
      <c r="C332" s="2"/>
      <c r="D332" s="2"/>
      <c r="E332" s="2"/>
      <c r="F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row>
    <row r="333" spans="2:49" x14ac:dyDescent="0.25">
      <c r="B333" s="2"/>
      <c r="C333" s="2"/>
      <c r="D333" s="2"/>
      <c r="E333" s="2"/>
      <c r="F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row>
    <row r="334" spans="2:49" x14ac:dyDescent="0.25">
      <c r="B334" s="2"/>
      <c r="C334" s="2"/>
      <c r="D334" s="2"/>
      <c r="E334" s="2"/>
      <c r="F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row>
    <row r="335" spans="2:49" x14ac:dyDescent="0.25">
      <c r="B335" s="2"/>
      <c r="C335" s="2"/>
      <c r="D335" s="2"/>
      <c r="E335" s="2"/>
      <c r="F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row>
    <row r="336" spans="2:49" x14ac:dyDescent="0.25">
      <c r="B336" s="2"/>
      <c r="C336" s="2"/>
      <c r="D336" s="2"/>
      <c r="E336" s="2"/>
      <c r="F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row>
    <row r="337" spans="2:49" x14ac:dyDescent="0.25">
      <c r="B337" s="2"/>
      <c r="C337" s="2"/>
      <c r="D337" s="2"/>
      <c r="E337" s="2"/>
      <c r="F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row>
    <row r="338" spans="2:49" x14ac:dyDescent="0.25">
      <c r="B338" s="2"/>
      <c r="C338" s="2"/>
      <c r="D338" s="2"/>
      <c r="E338" s="2"/>
      <c r="F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row>
    <row r="339" spans="2:49" x14ac:dyDescent="0.25">
      <c r="B339" s="2"/>
      <c r="C339" s="2"/>
      <c r="D339" s="2"/>
      <c r="E339" s="2"/>
      <c r="F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row>
    <row r="340" spans="2:49" x14ac:dyDescent="0.25">
      <c r="B340" s="2"/>
      <c r="C340" s="2"/>
      <c r="D340" s="2"/>
      <c r="E340" s="2"/>
      <c r="F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row>
    <row r="341" spans="2:49" x14ac:dyDescent="0.25">
      <c r="B341" s="2"/>
      <c r="C341" s="2"/>
      <c r="D341" s="2"/>
      <c r="E341" s="2"/>
      <c r="F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row>
    <row r="342" spans="2:49" x14ac:dyDescent="0.25">
      <c r="B342" s="2"/>
      <c r="C342" s="2"/>
      <c r="D342" s="2"/>
      <c r="E342" s="2"/>
      <c r="F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row>
    <row r="343" spans="2:49" x14ac:dyDescent="0.25">
      <c r="B343" s="2"/>
      <c r="C343" s="2"/>
      <c r="D343" s="2"/>
      <c r="E343" s="2"/>
      <c r="F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row>
    <row r="344" spans="2:49" x14ac:dyDescent="0.25">
      <c r="B344" s="2"/>
      <c r="C344" s="2"/>
      <c r="D344" s="2"/>
      <c r="E344" s="2"/>
      <c r="F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row>
    <row r="345" spans="2:49" x14ac:dyDescent="0.25">
      <c r="B345" s="2"/>
      <c r="C345" s="2"/>
      <c r="D345" s="2"/>
      <c r="E345" s="2"/>
      <c r="F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row>
    <row r="346" spans="2:49" x14ac:dyDescent="0.25">
      <c r="B346" s="2"/>
      <c r="C346" s="2"/>
      <c r="D346" s="2"/>
      <c r="E346" s="2"/>
      <c r="F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row>
    <row r="347" spans="2:49" x14ac:dyDescent="0.25">
      <c r="B347" s="2"/>
      <c r="C347" s="2"/>
      <c r="D347" s="2"/>
      <c r="E347" s="2"/>
      <c r="F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row>
    <row r="348" spans="2:49" x14ac:dyDescent="0.25">
      <c r="B348" s="2"/>
      <c r="C348" s="2"/>
      <c r="D348" s="2"/>
      <c r="E348" s="2"/>
      <c r="F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row>
    <row r="349" spans="2:49" x14ac:dyDescent="0.25">
      <c r="B349" s="2"/>
      <c r="C349" s="2"/>
      <c r="D349" s="2"/>
      <c r="E349" s="2"/>
      <c r="F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row>
    <row r="350" spans="2:49" x14ac:dyDescent="0.25">
      <c r="B350" s="2"/>
      <c r="C350" s="2"/>
      <c r="D350" s="2"/>
      <c r="E350" s="2"/>
      <c r="F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row>
    <row r="351" spans="2:49" x14ac:dyDescent="0.25">
      <c r="B351" s="2"/>
      <c r="C351" s="2"/>
      <c r="D351" s="2"/>
      <c r="E351" s="2"/>
      <c r="F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row>
    <row r="352" spans="2:49" x14ac:dyDescent="0.25">
      <c r="B352" s="2"/>
      <c r="C352" s="2"/>
      <c r="D352" s="2"/>
      <c r="E352" s="2"/>
      <c r="F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row>
    <row r="353" spans="2:49" x14ac:dyDescent="0.25">
      <c r="B353" s="2"/>
      <c r="C353" s="2"/>
      <c r="D353" s="2"/>
      <c r="E353" s="2"/>
      <c r="F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row>
    <row r="354" spans="2:49" x14ac:dyDescent="0.25">
      <c r="B354" s="2"/>
      <c r="C354" s="2"/>
      <c r="D354" s="2"/>
      <c r="E354" s="2"/>
      <c r="F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row>
    <row r="355" spans="2:49" x14ac:dyDescent="0.25">
      <c r="B355" s="2"/>
      <c r="C355" s="2"/>
      <c r="D355" s="2"/>
      <c r="E355" s="2"/>
      <c r="F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row>
    <row r="356" spans="2:49" x14ac:dyDescent="0.25">
      <c r="B356" s="2"/>
      <c r="C356" s="2"/>
      <c r="D356" s="2"/>
      <c r="E356" s="2"/>
      <c r="F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row>
    <row r="357" spans="2:49" x14ac:dyDescent="0.25">
      <c r="B357" s="2"/>
      <c r="C357" s="2"/>
      <c r="D357" s="2"/>
      <c r="E357" s="2"/>
      <c r="F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row>
    <row r="358" spans="2:49" x14ac:dyDescent="0.25">
      <c r="B358" s="2"/>
      <c r="C358" s="2"/>
      <c r="D358" s="2"/>
      <c r="E358" s="2"/>
      <c r="F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row>
    <row r="359" spans="2:49" x14ac:dyDescent="0.25">
      <c r="B359" s="2"/>
      <c r="C359" s="2"/>
      <c r="D359" s="2"/>
      <c r="E359" s="2"/>
      <c r="F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row>
    <row r="360" spans="2:49" x14ac:dyDescent="0.25">
      <c r="B360" s="2"/>
      <c r="C360" s="2"/>
      <c r="D360" s="2"/>
      <c r="E360" s="2"/>
      <c r="F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row>
    <row r="361" spans="2:49" x14ac:dyDescent="0.25">
      <c r="B361" s="2"/>
      <c r="C361" s="2"/>
      <c r="D361" s="2"/>
      <c r="E361" s="2"/>
      <c r="F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row>
    <row r="362" spans="2:49" x14ac:dyDescent="0.25">
      <c r="B362" s="2"/>
      <c r="C362" s="2"/>
      <c r="D362" s="2"/>
      <c r="E362" s="2"/>
      <c r="F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row>
    <row r="363" spans="2:49" x14ac:dyDescent="0.25">
      <c r="B363" s="2"/>
      <c r="C363" s="2"/>
      <c r="D363" s="2"/>
      <c r="E363" s="2"/>
      <c r="F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row>
    <row r="364" spans="2:49" x14ac:dyDescent="0.25">
      <c r="B364" s="2"/>
      <c r="C364" s="2"/>
      <c r="D364" s="2"/>
      <c r="E364" s="2"/>
      <c r="F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row>
    <row r="365" spans="2:49" x14ac:dyDescent="0.25">
      <c r="B365" s="2"/>
      <c r="C365" s="2"/>
      <c r="D365" s="2"/>
      <c r="E365" s="2"/>
      <c r="F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row>
    <row r="366" spans="2:49" x14ac:dyDescent="0.25">
      <c r="B366" s="2"/>
      <c r="C366" s="2"/>
      <c r="D366" s="2"/>
      <c r="E366" s="2"/>
      <c r="F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row>
    <row r="367" spans="2:49" x14ac:dyDescent="0.25">
      <c r="B367" s="2"/>
      <c r="C367" s="2"/>
      <c r="D367" s="2"/>
      <c r="E367" s="2"/>
      <c r="F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row>
    <row r="368" spans="2:49" x14ac:dyDescent="0.25">
      <c r="B368" s="2"/>
      <c r="C368" s="2"/>
      <c r="D368" s="2"/>
      <c r="E368" s="2"/>
      <c r="F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row>
    <row r="369" spans="2:49" x14ac:dyDescent="0.25">
      <c r="B369" s="2"/>
      <c r="C369" s="2"/>
      <c r="D369" s="2"/>
      <c r="E369" s="2"/>
      <c r="F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row>
    <row r="370" spans="2:49" x14ac:dyDescent="0.25">
      <c r="B370" s="2"/>
      <c r="C370" s="2"/>
      <c r="D370" s="2"/>
      <c r="E370" s="2"/>
      <c r="F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row>
    <row r="371" spans="2:49" x14ac:dyDescent="0.25">
      <c r="B371" s="2"/>
      <c r="C371" s="2"/>
      <c r="D371" s="2"/>
      <c r="E371" s="2"/>
      <c r="F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row>
    <row r="372" spans="2:49" x14ac:dyDescent="0.25">
      <c r="B372" s="2"/>
      <c r="C372" s="2"/>
      <c r="D372" s="2"/>
      <c r="E372" s="2"/>
      <c r="F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row>
    <row r="373" spans="2:49" x14ac:dyDescent="0.25">
      <c r="B373" s="2"/>
      <c r="C373" s="2"/>
      <c r="D373" s="2"/>
      <c r="E373" s="2"/>
      <c r="F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row>
    <row r="374" spans="2:49" x14ac:dyDescent="0.25">
      <c r="B374" s="2"/>
      <c r="C374" s="2"/>
      <c r="D374" s="2"/>
      <c r="E374" s="2"/>
      <c r="F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row>
    <row r="375" spans="2:49" x14ac:dyDescent="0.25">
      <c r="B375" s="2"/>
      <c r="C375" s="2"/>
      <c r="D375" s="2"/>
      <c r="E375" s="2"/>
      <c r="F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row>
    <row r="376" spans="2:49" x14ac:dyDescent="0.25">
      <c r="B376" s="2"/>
      <c r="C376" s="2"/>
      <c r="D376" s="2"/>
      <c r="E376" s="2"/>
      <c r="F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row>
    <row r="377" spans="2:49" x14ac:dyDescent="0.25">
      <c r="B377" s="2"/>
      <c r="C377" s="2"/>
      <c r="D377" s="2"/>
      <c r="E377" s="2"/>
      <c r="F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row>
    <row r="378" spans="2:49" x14ac:dyDescent="0.25">
      <c r="B378" s="2"/>
      <c r="C378" s="2"/>
      <c r="D378" s="2"/>
      <c r="E378" s="2"/>
      <c r="F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row>
    <row r="379" spans="2:49" x14ac:dyDescent="0.25">
      <c r="B379" s="2"/>
      <c r="C379" s="2"/>
      <c r="D379" s="2"/>
      <c r="E379" s="2"/>
      <c r="F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row>
    <row r="380" spans="2:49" x14ac:dyDescent="0.25">
      <c r="B380" s="2"/>
      <c r="C380" s="2"/>
      <c r="D380" s="2"/>
      <c r="E380" s="2"/>
      <c r="F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row>
    <row r="381" spans="2:49" x14ac:dyDescent="0.25">
      <c r="B381" s="2"/>
      <c r="C381" s="2"/>
      <c r="D381" s="2"/>
      <c r="E381" s="2"/>
      <c r="F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row>
    <row r="382" spans="2:49" x14ac:dyDescent="0.25">
      <c r="B382" s="2"/>
      <c r="C382" s="2"/>
      <c r="D382" s="2"/>
      <c r="E382" s="2"/>
      <c r="F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row>
    <row r="383" spans="2:49" x14ac:dyDescent="0.25">
      <c r="B383" s="2"/>
      <c r="C383" s="2"/>
      <c r="D383" s="2"/>
      <c r="E383" s="2"/>
      <c r="F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row>
    <row r="384" spans="2:49" x14ac:dyDescent="0.25">
      <c r="B384" s="2"/>
      <c r="C384" s="2"/>
      <c r="D384" s="2"/>
      <c r="E384" s="2"/>
      <c r="F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row>
    <row r="385" spans="2:49" x14ac:dyDescent="0.25">
      <c r="B385" s="2"/>
      <c r="C385" s="2"/>
      <c r="D385" s="2"/>
      <c r="E385" s="2"/>
      <c r="F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row>
    <row r="386" spans="2:49" x14ac:dyDescent="0.25">
      <c r="B386" s="2"/>
      <c r="C386" s="2"/>
      <c r="D386" s="2"/>
      <c r="E386" s="2"/>
      <c r="F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row>
    <row r="387" spans="2:49" x14ac:dyDescent="0.25">
      <c r="B387" s="2"/>
      <c r="C387" s="2"/>
      <c r="D387" s="2"/>
      <c r="E387" s="2"/>
      <c r="F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row>
    <row r="388" spans="2:49" x14ac:dyDescent="0.25">
      <c r="B388" s="2"/>
      <c r="C388" s="2"/>
      <c r="D388" s="2"/>
      <c r="E388" s="2"/>
      <c r="F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row>
    <row r="389" spans="2:49" x14ac:dyDescent="0.25">
      <c r="B389" s="2"/>
      <c r="C389" s="2"/>
      <c r="D389" s="2"/>
      <c r="E389" s="2"/>
      <c r="F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row>
    <row r="390" spans="2:49" x14ac:dyDescent="0.25">
      <c r="B390" s="2"/>
      <c r="C390" s="2"/>
      <c r="D390" s="2"/>
      <c r="E390" s="2"/>
      <c r="F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row>
    <row r="391" spans="2:49" x14ac:dyDescent="0.25">
      <c r="B391" s="2"/>
      <c r="C391" s="2"/>
      <c r="D391" s="2"/>
      <c r="E391" s="2"/>
      <c r="F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row>
    <row r="392" spans="2:49" x14ac:dyDescent="0.25">
      <c r="B392" s="2"/>
      <c r="C392" s="2"/>
      <c r="D392" s="2"/>
      <c r="E392" s="2"/>
      <c r="F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row>
    <row r="393" spans="2:49" x14ac:dyDescent="0.25">
      <c r="B393" s="2"/>
      <c r="C393" s="2"/>
      <c r="D393" s="2"/>
      <c r="E393" s="2"/>
      <c r="F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row>
    <row r="394" spans="2:49" x14ac:dyDescent="0.25">
      <c r="B394" s="2"/>
      <c r="C394" s="2"/>
      <c r="D394" s="2"/>
      <c r="E394" s="2"/>
      <c r="F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row>
    <row r="395" spans="2:49" x14ac:dyDescent="0.25">
      <c r="B395" s="2"/>
      <c r="C395" s="2"/>
      <c r="D395" s="2"/>
      <c r="E395" s="2"/>
      <c r="F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row>
    <row r="396" spans="2:49" x14ac:dyDescent="0.25">
      <c r="B396" s="2"/>
      <c r="C396" s="2"/>
      <c r="D396" s="2"/>
      <c r="E396" s="2"/>
      <c r="F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row>
    <row r="397" spans="2:49" x14ac:dyDescent="0.25">
      <c r="B397" s="2"/>
      <c r="C397" s="2"/>
      <c r="D397" s="2"/>
      <c r="E397" s="2"/>
      <c r="F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row>
    <row r="398" spans="2:49" x14ac:dyDescent="0.25">
      <c r="B398" s="2"/>
      <c r="C398" s="2"/>
      <c r="D398" s="2"/>
      <c r="E398" s="2"/>
      <c r="F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row>
    <row r="399" spans="2:49" x14ac:dyDescent="0.25">
      <c r="B399" s="2"/>
      <c r="C399" s="2"/>
      <c r="D399" s="2"/>
      <c r="E399" s="2"/>
      <c r="F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row>
    <row r="400" spans="2:49" x14ac:dyDescent="0.25">
      <c r="B400" s="2"/>
      <c r="C400" s="2"/>
      <c r="D400" s="2"/>
      <c r="E400" s="2"/>
      <c r="F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row>
    <row r="401" spans="2:49" x14ac:dyDescent="0.25">
      <c r="B401" s="2"/>
      <c r="C401" s="2"/>
      <c r="D401" s="2"/>
      <c r="E401" s="2"/>
      <c r="F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row>
    <row r="402" spans="2:49" x14ac:dyDescent="0.25">
      <c r="B402" s="2"/>
      <c r="C402" s="2"/>
      <c r="D402" s="2"/>
      <c r="E402" s="2"/>
      <c r="F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row>
    <row r="403" spans="2:49" x14ac:dyDescent="0.25">
      <c r="B403" s="2"/>
      <c r="C403" s="2"/>
      <c r="D403" s="2"/>
      <c r="E403" s="2"/>
      <c r="F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row>
    <row r="404" spans="2:49" x14ac:dyDescent="0.25">
      <c r="B404" s="2"/>
      <c r="C404" s="2"/>
      <c r="D404" s="2"/>
      <c r="E404" s="2"/>
      <c r="F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row>
    <row r="405" spans="2:49" x14ac:dyDescent="0.25">
      <c r="B405" s="2"/>
      <c r="C405" s="2"/>
      <c r="D405" s="2"/>
      <c r="E405" s="2"/>
      <c r="F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row>
    <row r="406" spans="2:49" x14ac:dyDescent="0.25">
      <c r="B406" s="2"/>
      <c r="C406" s="2"/>
      <c r="D406" s="2"/>
      <c r="E406" s="2"/>
      <c r="F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row>
    <row r="407" spans="2:49" x14ac:dyDescent="0.25">
      <c r="B407" s="2"/>
      <c r="C407" s="2"/>
      <c r="D407" s="2"/>
      <c r="E407" s="2"/>
      <c r="F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row>
    <row r="408" spans="2:49" x14ac:dyDescent="0.25">
      <c r="B408" s="2"/>
      <c r="C408" s="2"/>
      <c r="D408" s="2"/>
      <c r="E408" s="2"/>
      <c r="F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row>
    <row r="409" spans="2:49" x14ac:dyDescent="0.25">
      <c r="B409" s="2"/>
      <c r="C409" s="2"/>
      <c r="D409" s="2"/>
      <c r="E409" s="2"/>
      <c r="F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row>
    <row r="410" spans="2:49" x14ac:dyDescent="0.25">
      <c r="B410" s="2"/>
      <c r="C410" s="2"/>
      <c r="D410" s="2"/>
      <c r="E410" s="2"/>
      <c r="F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row>
    <row r="411" spans="2:49" x14ac:dyDescent="0.25">
      <c r="B411" s="2"/>
      <c r="C411" s="2"/>
      <c r="D411" s="2"/>
      <c r="E411" s="2"/>
      <c r="F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row>
    <row r="412" spans="2:49" x14ac:dyDescent="0.25">
      <c r="B412" s="2"/>
      <c r="C412" s="2"/>
      <c r="D412" s="2"/>
      <c r="E412" s="2"/>
      <c r="F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row>
    <row r="413" spans="2:49" x14ac:dyDescent="0.25">
      <c r="B413" s="2"/>
      <c r="C413" s="2"/>
      <c r="D413" s="2"/>
      <c r="E413" s="2"/>
      <c r="F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row>
    <row r="414" spans="2:49" x14ac:dyDescent="0.25">
      <c r="B414" s="2"/>
      <c r="C414" s="2"/>
      <c r="D414" s="2"/>
      <c r="E414" s="2"/>
      <c r="F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row>
    <row r="415" spans="2:49" x14ac:dyDescent="0.25">
      <c r="B415" s="2"/>
      <c r="C415" s="2"/>
      <c r="D415" s="2"/>
      <c r="E415" s="2"/>
      <c r="F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row>
    <row r="416" spans="2:49" x14ac:dyDescent="0.25">
      <c r="B416" s="2"/>
      <c r="C416" s="2"/>
      <c r="D416" s="2"/>
      <c r="E416" s="2"/>
      <c r="F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row>
    <row r="417" spans="2:49" x14ac:dyDescent="0.25">
      <c r="B417" s="2"/>
      <c r="C417" s="2"/>
      <c r="D417" s="2"/>
      <c r="E417" s="2"/>
      <c r="F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row>
    <row r="418" spans="2:49" x14ac:dyDescent="0.25">
      <c r="B418" s="2"/>
      <c r="C418" s="2"/>
      <c r="D418" s="2"/>
      <c r="E418" s="2"/>
      <c r="F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row>
    <row r="419" spans="2:49" x14ac:dyDescent="0.25">
      <c r="B419" s="2"/>
      <c r="C419" s="2"/>
      <c r="D419" s="2"/>
      <c r="E419" s="2"/>
      <c r="F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row>
    <row r="420" spans="2:49" x14ac:dyDescent="0.25">
      <c r="B420" s="2"/>
      <c r="C420" s="2"/>
      <c r="D420" s="2"/>
      <c r="E420" s="2"/>
      <c r="F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row>
    <row r="421" spans="2:49" x14ac:dyDescent="0.25">
      <c r="B421" s="2"/>
      <c r="C421" s="2"/>
      <c r="D421" s="2"/>
      <c r="E421" s="2"/>
      <c r="F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row>
    <row r="422" spans="2:49" x14ac:dyDescent="0.25">
      <c r="B422" s="2"/>
      <c r="C422" s="2"/>
      <c r="D422" s="2"/>
      <c r="E422" s="2"/>
      <c r="F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row>
    <row r="423" spans="2:49" x14ac:dyDescent="0.25">
      <c r="B423" s="2"/>
      <c r="C423" s="2"/>
      <c r="D423" s="2"/>
      <c r="E423" s="2"/>
      <c r="F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row>
    <row r="424" spans="2:49" x14ac:dyDescent="0.25">
      <c r="B424" s="2"/>
      <c r="C424" s="2"/>
      <c r="D424" s="2"/>
      <c r="E424" s="2"/>
      <c r="F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row>
    <row r="425" spans="2:49" x14ac:dyDescent="0.25">
      <c r="B425" s="2"/>
      <c r="C425" s="2"/>
      <c r="D425" s="2"/>
      <c r="E425" s="2"/>
      <c r="F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row>
    <row r="426" spans="2:49" x14ac:dyDescent="0.25">
      <c r="B426" s="2"/>
      <c r="C426" s="2"/>
      <c r="D426" s="2"/>
      <c r="E426" s="2"/>
      <c r="F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row>
    <row r="427" spans="2:49" x14ac:dyDescent="0.25">
      <c r="B427" s="2"/>
      <c r="C427" s="2"/>
      <c r="D427" s="2"/>
      <c r="E427" s="2"/>
      <c r="F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row>
    <row r="428" spans="2:49" x14ac:dyDescent="0.25">
      <c r="B428" s="2"/>
      <c r="C428" s="2"/>
      <c r="D428" s="2"/>
      <c r="E428" s="2"/>
      <c r="F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row>
    <row r="429" spans="2:49" x14ac:dyDescent="0.25">
      <c r="B429" s="2"/>
      <c r="C429" s="2"/>
      <c r="D429" s="2"/>
      <c r="E429" s="2"/>
      <c r="F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row>
    <row r="430" spans="2:49" x14ac:dyDescent="0.25">
      <c r="B430" s="2"/>
      <c r="C430" s="2"/>
      <c r="D430" s="2"/>
      <c r="E430" s="2"/>
      <c r="F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row>
    <row r="431" spans="2:49" x14ac:dyDescent="0.25">
      <c r="B431" s="2"/>
      <c r="C431" s="2"/>
      <c r="D431" s="2"/>
      <c r="E431" s="2"/>
      <c r="F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row>
    <row r="432" spans="2:49" x14ac:dyDescent="0.25">
      <c r="B432" s="2"/>
      <c r="C432" s="2"/>
      <c r="D432" s="2"/>
      <c r="E432" s="2"/>
      <c r="F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row>
    <row r="433" spans="2:49" x14ac:dyDescent="0.25">
      <c r="B433" s="2"/>
      <c r="C433" s="2"/>
      <c r="D433" s="2"/>
      <c r="E433" s="2"/>
      <c r="F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row>
    <row r="434" spans="2:49" x14ac:dyDescent="0.25">
      <c r="B434" s="2"/>
      <c r="C434" s="2"/>
      <c r="D434" s="2"/>
      <c r="E434" s="2"/>
      <c r="F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row>
    <row r="435" spans="2:49" x14ac:dyDescent="0.25">
      <c r="B435" s="2"/>
      <c r="C435" s="2"/>
      <c r="D435" s="2"/>
      <c r="E435" s="2"/>
      <c r="F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row>
    <row r="436" spans="2:49" x14ac:dyDescent="0.25">
      <c r="B436" s="2"/>
      <c r="C436" s="2"/>
      <c r="D436" s="2"/>
      <c r="E436" s="2"/>
      <c r="F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row>
    <row r="437" spans="2:49" x14ac:dyDescent="0.25">
      <c r="B437" s="2"/>
      <c r="C437" s="2"/>
      <c r="D437" s="2"/>
      <c r="E437" s="2"/>
      <c r="F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row>
    <row r="438" spans="2:49" x14ac:dyDescent="0.25">
      <c r="B438" s="2"/>
      <c r="C438" s="2"/>
      <c r="D438" s="2"/>
      <c r="E438" s="2"/>
      <c r="F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row>
    <row r="439" spans="2:49" x14ac:dyDescent="0.25">
      <c r="B439" s="2"/>
      <c r="C439" s="2"/>
      <c r="D439" s="2"/>
      <c r="E439" s="2"/>
      <c r="F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row>
    <row r="440" spans="2:49" x14ac:dyDescent="0.25">
      <c r="B440" s="2"/>
      <c r="C440" s="2"/>
      <c r="D440" s="2"/>
      <c r="E440" s="2"/>
      <c r="F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row>
    <row r="441" spans="2:49" x14ac:dyDescent="0.25">
      <c r="B441" s="2"/>
      <c r="C441" s="2"/>
      <c r="D441" s="2"/>
      <c r="E441" s="2"/>
      <c r="F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row>
    <row r="442" spans="2:49" x14ac:dyDescent="0.25">
      <c r="B442" s="2"/>
      <c r="C442" s="2"/>
      <c r="D442" s="2"/>
      <c r="E442" s="2"/>
      <c r="F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row>
    <row r="443" spans="2:49" x14ac:dyDescent="0.25">
      <c r="B443" s="2"/>
      <c r="C443" s="2"/>
      <c r="D443" s="2"/>
      <c r="E443" s="2"/>
      <c r="F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row>
    <row r="444" spans="2:49" x14ac:dyDescent="0.25">
      <c r="B444" s="2"/>
      <c r="C444" s="2"/>
      <c r="D444" s="2"/>
      <c r="E444" s="2"/>
      <c r="F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row>
    <row r="445" spans="2:49" x14ac:dyDescent="0.25">
      <c r="B445" s="2"/>
      <c r="C445" s="2"/>
      <c r="D445" s="2"/>
      <c r="E445" s="2"/>
      <c r="F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row>
    <row r="446" spans="2:49" x14ac:dyDescent="0.25">
      <c r="B446" s="2"/>
      <c r="C446" s="2"/>
      <c r="D446" s="2"/>
      <c r="E446" s="2"/>
      <c r="F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row>
    <row r="447" spans="2:49" x14ac:dyDescent="0.25">
      <c r="B447" s="2"/>
      <c r="C447" s="2"/>
      <c r="D447" s="2"/>
      <c r="E447" s="2"/>
      <c r="F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row>
    <row r="448" spans="2:49" x14ac:dyDescent="0.25">
      <c r="B448" s="2"/>
      <c r="C448" s="2"/>
      <c r="D448" s="2"/>
      <c r="E448" s="2"/>
      <c r="F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row>
    <row r="449" spans="2:49" x14ac:dyDescent="0.25">
      <c r="B449" s="2"/>
      <c r="C449" s="2"/>
      <c r="D449" s="2"/>
      <c r="E449" s="2"/>
      <c r="F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row>
    <row r="450" spans="2:49" x14ac:dyDescent="0.25">
      <c r="B450" s="2"/>
      <c r="C450" s="2"/>
      <c r="D450" s="2"/>
      <c r="E450" s="2"/>
      <c r="F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row>
    <row r="451" spans="2:49" x14ac:dyDescent="0.25">
      <c r="B451" s="2"/>
      <c r="C451" s="2"/>
      <c r="D451" s="2"/>
      <c r="E451" s="2"/>
      <c r="F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row>
    <row r="452" spans="2:49" x14ac:dyDescent="0.25">
      <c r="B452" s="2"/>
      <c r="C452" s="2"/>
      <c r="D452" s="2"/>
      <c r="E452" s="2"/>
      <c r="F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row>
    <row r="453" spans="2:49" x14ac:dyDescent="0.25">
      <c r="B453" s="2"/>
      <c r="C453" s="2"/>
      <c r="D453" s="2"/>
      <c r="E453" s="2"/>
      <c r="F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row>
    <row r="454" spans="2:49" x14ac:dyDescent="0.25">
      <c r="B454" s="2"/>
      <c r="C454" s="2"/>
      <c r="D454" s="2"/>
      <c r="E454" s="2"/>
      <c r="F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row>
    <row r="455" spans="2:49" x14ac:dyDescent="0.25">
      <c r="B455" s="2"/>
      <c r="C455" s="2"/>
      <c r="D455" s="2"/>
      <c r="E455" s="2"/>
      <c r="F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row>
    <row r="456" spans="2:49" x14ac:dyDescent="0.25">
      <c r="B456" s="2"/>
      <c r="C456" s="2"/>
      <c r="D456" s="2"/>
      <c r="E456" s="2"/>
      <c r="F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row>
    <row r="457" spans="2:49" x14ac:dyDescent="0.25">
      <c r="B457" s="2"/>
      <c r="C457" s="2"/>
      <c r="D457" s="2"/>
      <c r="E457" s="2"/>
      <c r="F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row>
    <row r="458" spans="2:49" x14ac:dyDescent="0.25">
      <c r="B458" s="2"/>
      <c r="C458" s="2"/>
      <c r="D458" s="2"/>
      <c r="E458" s="2"/>
      <c r="F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row>
    <row r="459" spans="2:49" x14ac:dyDescent="0.25">
      <c r="B459" s="2"/>
      <c r="C459" s="2"/>
      <c r="D459" s="2"/>
      <c r="E459" s="2"/>
      <c r="F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row>
    <row r="460" spans="2:49" x14ac:dyDescent="0.25">
      <c r="B460" s="2"/>
      <c r="C460" s="2"/>
      <c r="D460" s="2"/>
      <c r="E460" s="2"/>
      <c r="F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row>
    <row r="461" spans="2:49" x14ac:dyDescent="0.25">
      <c r="B461" s="2"/>
      <c r="C461" s="2"/>
      <c r="D461" s="2"/>
      <c r="E461" s="2"/>
      <c r="F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row>
    <row r="462" spans="2:49" x14ac:dyDescent="0.25">
      <c r="B462" s="2"/>
      <c r="C462" s="2"/>
      <c r="D462" s="2"/>
      <c r="E462" s="2"/>
      <c r="F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row>
    <row r="463" spans="2:49" x14ac:dyDescent="0.25">
      <c r="B463" s="2"/>
      <c r="C463" s="2"/>
      <c r="D463" s="2"/>
      <c r="E463" s="2"/>
      <c r="F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row>
    <row r="464" spans="2:49" x14ac:dyDescent="0.25">
      <c r="B464" s="2"/>
      <c r="C464" s="2"/>
      <c r="D464" s="2"/>
      <c r="E464" s="2"/>
      <c r="F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row>
    <row r="465" spans="2:49" x14ac:dyDescent="0.25">
      <c r="B465" s="2"/>
      <c r="C465" s="2"/>
      <c r="D465" s="2"/>
      <c r="E465" s="2"/>
      <c r="F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row>
    <row r="466" spans="2:49" x14ac:dyDescent="0.25">
      <c r="B466" s="2"/>
      <c r="C466" s="2"/>
      <c r="D466" s="2"/>
      <c r="E466" s="2"/>
      <c r="F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row>
    <row r="467" spans="2:49" x14ac:dyDescent="0.25">
      <c r="B467" s="2"/>
      <c r="C467" s="2"/>
      <c r="D467" s="2"/>
      <c r="E467" s="2"/>
      <c r="F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row>
    <row r="468" spans="2:49" x14ac:dyDescent="0.25">
      <c r="B468" s="2"/>
      <c r="C468" s="2"/>
      <c r="D468" s="2"/>
      <c r="E468" s="2"/>
      <c r="F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row>
    <row r="469" spans="2:49" x14ac:dyDescent="0.25">
      <c r="B469" s="2"/>
      <c r="C469" s="2"/>
      <c r="D469" s="2"/>
      <c r="E469" s="2"/>
      <c r="F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row>
    <row r="470" spans="2:49" x14ac:dyDescent="0.25">
      <c r="B470" s="2"/>
      <c r="C470" s="2"/>
      <c r="D470" s="2"/>
      <c r="E470" s="2"/>
      <c r="F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row>
    <row r="471" spans="2:49" x14ac:dyDescent="0.25">
      <c r="B471" s="2"/>
      <c r="C471" s="2"/>
      <c r="D471" s="2"/>
      <c r="E471" s="2"/>
      <c r="F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row>
    <row r="472" spans="2:49" x14ac:dyDescent="0.25">
      <c r="B472" s="2"/>
      <c r="C472" s="2"/>
      <c r="D472" s="2"/>
      <c r="E472" s="2"/>
      <c r="F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row>
    <row r="473" spans="2:49" x14ac:dyDescent="0.25">
      <c r="B473" s="2"/>
      <c r="C473" s="2"/>
      <c r="D473" s="2"/>
      <c r="E473" s="2"/>
      <c r="F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row>
    <row r="474" spans="2:49" x14ac:dyDescent="0.25">
      <c r="B474" s="2"/>
      <c r="C474" s="2"/>
      <c r="D474" s="2"/>
      <c r="E474" s="2"/>
      <c r="F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row>
    <row r="475" spans="2:49" x14ac:dyDescent="0.25">
      <c r="B475" s="2"/>
      <c r="C475" s="2"/>
      <c r="D475" s="2"/>
      <c r="E475" s="2"/>
      <c r="F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row>
    <row r="476" spans="2:49" x14ac:dyDescent="0.25">
      <c r="B476" s="2"/>
      <c r="C476" s="2"/>
      <c r="D476" s="2"/>
      <c r="E476" s="2"/>
      <c r="F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row>
    <row r="477" spans="2:49" x14ac:dyDescent="0.25">
      <c r="B477" s="2"/>
      <c r="C477" s="2"/>
      <c r="D477" s="2"/>
      <c r="E477" s="2"/>
      <c r="F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row>
    <row r="478" spans="2:49" x14ac:dyDescent="0.25">
      <c r="B478" s="2"/>
      <c r="C478" s="2"/>
      <c r="D478" s="2"/>
      <c r="E478" s="2"/>
      <c r="F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row>
    <row r="479" spans="2:49" x14ac:dyDescent="0.25">
      <c r="B479" s="2"/>
      <c r="C479" s="2"/>
      <c r="D479" s="2"/>
      <c r="E479" s="2"/>
      <c r="F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row>
    <row r="480" spans="2:49" x14ac:dyDescent="0.25">
      <c r="B480" s="2"/>
      <c r="C480" s="2"/>
      <c r="D480" s="2"/>
      <c r="E480" s="2"/>
      <c r="F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row>
    <row r="481" spans="2:49" x14ac:dyDescent="0.25">
      <c r="B481" s="2"/>
      <c r="C481" s="2"/>
      <c r="D481" s="2"/>
      <c r="E481" s="2"/>
      <c r="F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row>
    <row r="482" spans="2:49" x14ac:dyDescent="0.25">
      <c r="B482" s="2"/>
      <c r="C482" s="2"/>
      <c r="D482" s="2"/>
      <c r="E482" s="2"/>
      <c r="F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row>
    <row r="483" spans="2:49" x14ac:dyDescent="0.25">
      <c r="B483" s="2"/>
      <c r="C483" s="2"/>
      <c r="D483" s="2"/>
      <c r="E483" s="2"/>
      <c r="F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row>
    <row r="484" spans="2:49" x14ac:dyDescent="0.25">
      <c r="B484" s="2"/>
      <c r="C484" s="2"/>
      <c r="D484" s="2"/>
      <c r="E484" s="2"/>
      <c r="F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row>
    <row r="485" spans="2:49" x14ac:dyDescent="0.25">
      <c r="B485" s="2"/>
      <c r="C485" s="2"/>
      <c r="D485" s="2"/>
      <c r="E485" s="2"/>
      <c r="F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row>
    <row r="486" spans="2:49" x14ac:dyDescent="0.25">
      <c r="B486" s="2"/>
      <c r="C486" s="2"/>
      <c r="D486" s="2"/>
      <c r="E486" s="2"/>
      <c r="F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row>
    <row r="487" spans="2:49" x14ac:dyDescent="0.25">
      <c r="B487" s="2"/>
      <c r="C487" s="2"/>
      <c r="D487" s="2"/>
      <c r="E487" s="2"/>
      <c r="F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row>
    <row r="488" spans="2:49" x14ac:dyDescent="0.25">
      <c r="B488" s="2"/>
      <c r="C488" s="2"/>
      <c r="D488" s="2"/>
      <c r="E488" s="2"/>
      <c r="F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row>
    <row r="489" spans="2:49" x14ac:dyDescent="0.25">
      <c r="B489" s="2"/>
      <c r="C489" s="2"/>
      <c r="D489" s="2"/>
      <c r="E489" s="2"/>
      <c r="F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row>
    <row r="490" spans="2:49" x14ac:dyDescent="0.25">
      <c r="B490" s="2"/>
      <c r="C490" s="2"/>
      <c r="D490" s="2"/>
      <c r="E490" s="2"/>
      <c r="F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row>
    <row r="491" spans="2:49" x14ac:dyDescent="0.25">
      <c r="B491" s="2"/>
      <c r="C491" s="2"/>
      <c r="D491" s="2"/>
      <c r="E491" s="2"/>
      <c r="F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row>
    <row r="492" spans="2:49" x14ac:dyDescent="0.25">
      <c r="B492" s="2"/>
      <c r="C492" s="2"/>
      <c r="D492" s="2"/>
      <c r="E492" s="2"/>
      <c r="F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row>
    <row r="493" spans="2:49" x14ac:dyDescent="0.25">
      <c r="B493" s="2"/>
      <c r="C493" s="2"/>
      <c r="D493" s="2"/>
      <c r="E493" s="2"/>
      <c r="F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row>
    <row r="494" spans="2:49" x14ac:dyDescent="0.25">
      <c r="B494" s="2"/>
      <c r="C494" s="2"/>
      <c r="D494" s="2"/>
      <c r="E494" s="2"/>
      <c r="F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row>
    <row r="495" spans="2:49" x14ac:dyDescent="0.25">
      <c r="B495" s="2"/>
      <c r="C495" s="2"/>
      <c r="D495" s="2"/>
      <c r="E495" s="2"/>
      <c r="F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row>
    <row r="496" spans="2:49" x14ac:dyDescent="0.25">
      <c r="B496" s="2"/>
      <c r="C496" s="2"/>
      <c r="D496" s="2"/>
      <c r="E496" s="2"/>
      <c r="F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row>
    <row r="497" spans="2:49" x14ac:dyDescent="0.25">
      <c r="B497" s="2"/>
      <c r="C497" s="2"/>
      <c r="D497" s="2"/>
      <c r="E497" s="2"/>
      <c r="F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row>
    <row r="498" spans="2:49" x14ac:dyDescent="0.25">
      <c r="B498" s="2"/>
      <c r="C498" s="2"/>
      <c r="D498" s="2"/>
      <c r="E498" s="2"/>
      <c r="F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row>
    <row r="499" spans="2:49" x14ac:dyDescent="0.25">
      <c r="B499" s="2"/>
      <c r="C499" s="2"/>
      <c r="D499" s="2"/>
      <c r="E499" s="2"/>
      <c r="F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row>
    <row r="500" spans="2:49" x14ac:dyDescent="0.25">
      <c r="B500" s="2"/>
      <c r="C500" s="2"/>
      <c r="D500" s="2"/>
      <c r="E500" s="2"/>
      <c r="F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row>
    <row r="501" spans="2:49" x14ac:dyDescent="0.25">
      <c r="B501" s="2"/>
      <c r="C501" s="2"/>
      <c r="D501" s="2"/>
      <c r="E501" s="2"/>
      <c r="F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row>
    <row r="502" spans="2:49" x14ac:dyDescent="0.25">
      <c r="B502" s="2"/>
      <c r="C502" s="2"/>
      <c r="D502" s="2"/>
      <c r="E502" s="2"/>
      <c r="F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row>
    <row r="503" spans="2:49" x14ac:dyDescent="0.25">
      <c r="B503" s="2"/>
      <c r="C503" s="2"/>
      <c r="D503" s="2"/>
      <c r="E503" s="2"/>
      <c r="F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row>
    <row r="504" spans="2:49" x14ac:dyDescent="0.25">
      <c r="B504" s="2"/>
      <c r="C504" s="2"/>
      <c r="D504" s="2"/>
      <c r="E504" s="2"/>
      <c r="F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row>
    <row r="505" spans="2:49" x14ac:dyDescent="0.25">
      <c r="B505" s="2"/>
      <c r="C505" s="2"/>
      <c r="D505" s="2"/>
      <c r="E505" s="2"/>
      <c r="F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row>
    <row r="506" spans="2:49" x14ac:dyDescent="0.25">
      <c r="B506" s="2"/>
      <c r="C506" s="2"/>
      <c r="D506" s="2"/>
      <c r="E506" s="2"/>
      <c r="F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row>
    <row r="507" spans="2:49" x14ac:dyDescent="0.25">
      <c r="B507" s="2"/>
      <c r="C507" s="2"/>
      <c r="D507" s="2"/>
      <c r="E507" s="2"/>
      <c r="F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row>
    <row r="508" spans="2:49" x14ac:dyDescent="0.25">
      <c r="B508" s="2"/>
      <c r="C508" s="2"/>
      <c r="D508" s="2"/>
      <c r="E508" s="2"/>
      <c r="F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row>
    <row r="509" spans="2:49" x14ac:dyDescent="0.25">
      <c r="B509" s="2"/>
      <c r="C509" s="2"/>
      <c r="D509" s="2"/>
      <c r="E509" s="2"/>
      <c r="F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row>
    <row r="510" spans="2:49" x14ac:dyDescent="0.25">
      <c r="B510" s="2"/>
      <c r="C510" s="2"/>
      <c r="D510" s="2"/>
      <c r="E510" s="2"/>
      <c r="F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row>
    <row r="511" spans="2:49" x14ac:dyDescent="0.25">
      <c r="B511" s="2"/>
      <c r="C511" s="2"/>
      <c r="D511" s="2"/>
      <c r="E511" s="2"/>
      <c r="F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row>
    <row r="512" spans="2:49" x14ac:dyDescent="0.25">
      <c r="B512" s="2"/>
      <c r="C512" s="2"/>
      <c r="D512" s="2"/>
      <c r="E512" s="2"/>
      <c r="F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row>
    <row r="513" spans="2:49" x14ac:dyDescent="0.25">
      <c r="B513" s="2"/>
      <c r="C513" s="2"/>
      <c r="D513" s="2"/>
      <c r="E513" s="2"/>
      <c r="F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row>
    <row r="514" spans="2:49" x14ac:dyDescent="0.25">
      <c r="B514" s="2"/>
      <c r="C514" s="2"/>
      <c r="D514" s="2"/>
      <c r="E514" s="2"/>
      <c r="F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row>
    <row r="515" spans="2:49" x14ac:dyDescent="0.25">
      <c r="B515" s="2"/>
      <c r="C515" s="2"/>
      <c r="D515" s="2"/>
      <c r="E515" s="2"/>
      <c r="F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row>
    <row r="516" spans="2:49" x14ac:dyDescent="0.25">
      <c r="B516" s="2"/>
      <c r="C516" s="2"/>
      <c r="D516" s="2"/>
      <c r="E516" s="2"/>
      <c r="F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row>
    <row r="517" spans="2:49" x14ac:dyDescent="0.25">
      <c r="B517" s="2"/>
      <c r="C517" s="2"/>
      <c r="D517" s="2"/>
      <c r="E517" s="2"/>
      <c r="F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row>
    <row r="518" spans="2:49" x14ac:dyDescent="0.25">
      <c r="B518" s="2"/>
      <c r="C518" s="2"/>
      <c r="D518" s="2"/>
      <c r="E518" s="2"/>
      <c r="F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row>
    <row r="519" spans="2:49" x14ac:dyDescent="0.25">
      <c r="B519" s="2"/>
      <c r="C519" s="2"/>
      <c r="D519" s="2"/>
      <c r="E519" s="2"/>
      <c r="F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row>
    <row r="520" spans="2:49" x14ac:dyDescent="0.25">
      <c r="B520" s="2"/>
      <c r="C520" s="2"/>
      <c r="D520" s="2"/>
      <c r="E520" s="2"/>
      <c r="F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row>
    <row r="521" spans="2:49" x14ac:dyDescent="0.25">
      <c r="B521" s="2"/>
      <c r="C521" s="2"/>
      <c r="D521" s="2"/>
      <c r="E521" s="2"/>
      <c r="F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row>
    <row r="522" spans="2:49" x14ac:dyDescent="0.25">
      <c r="B522" s="2"/>
      <c r="C522" s="2"/>
      <c r="D522" s="2"/>
      <c r="E522" s="2"/>
      <c r="F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row>
    <row r="523" spans="2:49" x14ac:dyDescent="0.25">
      <c r="B523" s="2"/>
      <c r="C523" s="2"/>
      <c r="D523" s="2"/>
      <c r="E523" s="2"/>
      <c r="F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row>
    <row r="524" spans="2:49" x14ac:dyDescent="0.25">
      <c r="B524" s="2"/>
      <c r="C524" s="2"/>
      <c r="D524" s="2"/>
      <c r="E524" s="2"/>
      <c r="F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row>
    <row r="525" spans="2:49" x14ac:dyDescent="0.25">
      <c r="B525" s="2"/>
      <c r="C525" s="2"/>
      <c r="D525" s="2"/>
      <c r="E525" s="2"/>
      <c r="F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row>
    <row r="526" spans="2:49" x14ac:dyDescent="0.25">
      <c r="B526" s="2"/>
      <c r="C526" s="2"/>
      <c r="D526" s="2"/>
      <c r="E526" s="2"/>
      <c r="F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row>
    <row r="527" spans="2:49" x14ac:dyDescent="0.25">
      <c r="B527" s="2"/>
      <c r="C527" s="2"/>
      <c r="D527" s="2"/>
      <c r="E527" s="2"/>
      <c r="F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row>
    <row r="528" spans="2:49" x14ac:dyDescent="0.25">
      <c r="B528" s="2"/>
      <c r="C528" s="2"/>
      <c r="D528" s="2"/>
      <c r="E528" s="2"/>
      <c r="F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row>
    <row r="529" spans="2:49" x14ac:dyDescent="0.25">
      <c r="B529" s="2"/>
      <c r="C529" s="2"/>
      <c r="D529" s="2"/>
      <c r="E529" s="2"/>
      <c r="F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row>
    <row r="530" spans="2:49" x14ac:dyDescent="0.25">
      <c r="B530" s="2"/>
      <c r="C530" s="2"/>
      <c r="D530" s="2"/>
      <c r="E530" s="2"/>
      <c r="F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row>
    <row r="531" spans="2:49" x14ac:dyDescent="0.25">
      <c r="B531" s="2"/>
      <c r="C531" s="2"/>
      <c r="D531" s="2"/>
      <c r="E531" s="2"/>
      <c r="F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row>
    <row r="532" spans="2:49" x14ac:dyDescent="0.25">
      <c r="B532" s="2"/>
      <c r="C532" s="2"/>
      <c r="D532" s="2"/>
      <c r="E532" s="2"/>
      <c r="F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row>
    <row r="533" spans="2:49" x14ac:dyDescent="0.25">
      <c r="B533" s="2"/>
      <c r="C533" s="2"/>
      <c r="D533" s="2"/>
      <c r="E533" s="2"/>
      <c r="F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row>
    <row r="534" spans="2:49" x14ac:dyDescent="0.25">
      <c r="B534" s="2"/>
      <c r="C534" s="2"/>
      <c r="D534" s="2"/>
      <c r="E534" s="2"/>
      <c r="F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row>
    <row r="535" spans="2:49" x14ac:dyDescent="0.25">
      <c r="B535" s="2"/>
      <c r="C535" s="2"/>
      <c r="D535" s="2"/>
      <c r="E535" s="2"/>
      <c r="F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row>
    <row r="536" spans="2:49" x14ac:dyDescent="0.25">
      <c r="B536" s="2"/>
      <c r="C536" s="2"/>
      <c r="D536" s="2"/>
      <c r="E536" s="2"/>
      <c r="F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row>
    <row r="537" spans="2:49" x14ac:dyDescent="0.25">
      <c r="B537" s="2"/>
      <c r="C537" s="2"/>
      <c r="D537" s="2"/>
      <c r="E537" s="2"/>
      <c r="F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row>
    <row r="538" spans="2:49" x14ac:dyDescent="0.25">
      <c r="B538" s="2"/>
      <c r="C538" s="2"/>
      <c r="D538" s="2"/>
      <c r="E538" s="2"/>
      <c r="F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row>
    <row r="539" spans="2:49" x14ac:dyDescent="0.25">
      <c r="B539" s="2"/>
      <c r="C539" s="2"/>
      <c r="D539" s="2"/>
      <c r="E539" s="2"/>
      <c r="F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row>
    <row r="540" spans="2:49" x14ac:dyDescent="0.25">
      <c r="B540" s="2"/>
      <c r="C540" s="2"/>
      <c r="D540" s="2"/>
      <c r="E540" s="2"/>
      <c r="F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row>
    <row r="541" spans="2:49" x14ac:dyDescent="0.25">
      <c r="B541" s="2"/>
      <c r="C541" s="2"/>
      <c r="D541" s="2"/>
      <c r="E541" s="2"/>
      <c r="F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row>
    <row r="542" spans="2:49" x14ac:dyDescent="0.25">
      <c r="B542" s="2"/>
      <c r="C542" s="2"/>
      <c r="D542" s="2"/>
      <c r="E542" s="2"/>
      <c r="F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row>
    <row r="543" spans="2:49" x14ac:dyDescent="0.25">
      <c r="B543" s="2"/>
      <c r="C543" s="2"/>
      <c r="D543" s="2"/>
      <c r="E543" s="2"/>
      <c r="F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row>
    <row r="544" spans="2:49" x14ac:dyDescent="0.25">
      <c r="B544" s="2"/>
      <c r="C544" s="2"/>
      <c r="D544" s="2"/>
      <c r="E544" s="2"/>
      <c r="F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row>
    <row r="545" spans="2:49" x14ac:dyDescent="0.25">
      <c r="B545" s="2"/>
      <c r="C545" s="2"/>
      <c r="D545" s="2"/>
      <c r="E545" s="2"/>
      <c r="F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row>
    <row r="546" spans="2:49" x14ac:dyDescent="0.25">
      <c r="B546" s="2"/>
      <c r="C546" s="2"/>
      <c r="D546" s="2"/>
      <c r="E546" s="2"/>
      <c r="F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row>
    <row r="547" spans="2:49" x14ac:dyDescent="0.25">
      <c r="B547" s="2"/>
      <c r="C547" s="2"/>
      <c r="D547" s="2"/>
      <c r="E547" s="2"/>
      <c r="F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row>
    <row r="548" spans="2:49" x14ac:dyDescent="0.25">
      <c r="B548" s="2"/>
      <c r="C548" s="2"/>
      <c r="D548" s="2"/>
      <c r="E548" s="2"/>
      <c r="F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row>
    <row r="549" spans="2:49" x14ac:dyDescent="0.25">
      <c r="B549" s="2"/>
      <c r="C549" s="2"/>
      <c r="D549" s="2"/>
      <c r="E549" s="2"/>
      <c r="F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row>
    <row r="550" spans="2:49" x14ac:dyDescent="0.25">
      <c r="B550" s="2"/>
      <c r="C550" s="2"/>
      <c r="D550" s="2"/>
      <c r="E550" s="2"/>
      <c r="F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row>
    <row r="551" spans="2:49" x14ac:dyDescent="0.25">
      <c r="B551" s="2"/>
      <c r="C551" s="2"/>
      <c r="D551" s="2"/>
      <c r="E551" s="2"/>
      <c r="F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row>
    <row r="552" spans="2:49" x14ac:dyDescent="0.25">
      <c r="B552" s="2"/>
      <c r="C552" s="2"/>
      <c r="D552" s="2"/>
      <c r="E552" s="2"/>
      <c r="F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row>
    <row r="553" spans="2:49" x14ac:dyDescent="0.25">
      <c r="B553" s="2"/>
      <c r="C553" s="2"/>
      <c r="D553" s="2"/>
      <c r="E553" s="2"/>
      <c r="F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row>
    <row r="554" spans="2:49" x14ac:dyDescent="0.25">
      <c r="B554" s="2"/>
      <c r="C554" s="2"/>
      <c r="D554" s="2"/>
      <c r="E554" s="2"/>
      <c r="F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row>
    <row r="555" spans="2:49" x14ac:dyDescent="0.25">
      <c r="B555" s="2"/>
      <c r="C555" s="2"/>
      <c r="D555" s="2"/>
      <c r="E555" s="2"/>
      <c r="F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row>
    <row r="556" spans="2:49" x14ac:dyDescent="0.25">
      <c r="B556" s="2"/>
      <c r="C556" s="2"/>
      <c r="D556" s="2"/>
      <c r="E556" s="2"/>
      <c r="F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row>
    <row r="557" spans="2:49" x14ac:dyDescent="0.25">
      <c r="B557" s="2"/>
      <c r="C557" s="2"/>
      <c r="D557" s="2"/>
      <c r="E557" s="2"/>
      <c r="F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row>
    <row r="558" spans="2:49" x14ac:dyDescent="0.25">
      <c r="B558" s="2"/>
      <c r="C558" s="2"/>
      <c r="D558" s="2"/>
      <c r="E558" s="2"/>
      <c r="F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row>
    <row r="559" spans="2:49" x14ac:dyDescent="0.25">
      <c r="B559" s="2"/>
      <c r="C559" s="2"/>
      <c r="D559" s="2"/>
      <c r="E559" s="2"/>
      <c r="F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row>
    <row r="560" spans="2:49" x14ac:dyDescent="0.25">
      <c r="B560" s="2"/>
      <c r="C560" s="2"/>
      <c r="D560" s="2"/>
      <c r="E560" s="2"/>
      <c r="F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row>
    <row r="561" spans="2:49" x14ac:dyDescent="0.25">
      <c r="B561" s="2"/>
      <c r="C561" s="2"/>
      <c r="D561" s="2"/>
      <c r="E561" s="2"/>
      <c r="F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row>
    <row r="562" spans="2:49" x14ac:dyDescent="0.25">
      <c r="B562" s="2"/>
      <c r="C562" s="2"/>
      <c r="D562" s="2"/>
      <c r="E562" s="2"/>
      <c r="F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row>
    <row r="563" spans="2:49" x14ac:dyDescent="0.25">
      <c r="B563" s="2"/>
      <c r="C563" s="2"/>
      <c r="D563" s="2"/>
      <c r="E563" s="2"/>
      <c r="F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row>
    <row r="564" spans="2:49" x14ac:dyDescent="0.25">
      <c r="B564" s="2"/>
      <c r="C564" s="2"/>
      <c r="D564" s="2"/>
      <c r="E564" s="2"/>
      <c r="F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row>
    <row r="565" spans="2:49" x14ac:dyDescent="0.25">
      <c r="B565" s="2"/>
      <c r="C565" s="2"/>
      <c r="D565" s="2"/>
      <c r="E565" s="2"/>
      <c r="F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row>
    <row r="566" spans="2:49" x14ac:dyDescent="0.25">
      <c r="B566" s="2"/>
      <c r="C566" s="2"/>
      <c r="D566" s="2"/>
      <c r="E566" s="2"/>
      <c r="F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row>
    <row r="567" spans="2:49" x14ac:dyDescent="0.25">
      <c r="B567" s="2"/>
      <c r="C567" s="2"/>
      <c r="D567" s="2"/>
      <c r="E567" s="2"/>
      <c r="F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row>
    <row r="568" spans="2:49" x14ac:dyDescent="0.25">
      <c r="B568" s="2"/>
      <c r="C568" s="2"/>
      <c r="D568" s="2"/>
      <c r="E568" s="2"/>
      <c r="F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row>
    <row r="569" spans="2:49" x14ac:dyDescent="0.25">
      <c r="B569" s="2"/>
      <c r="C569" s="2"/>
      <c r="D569" s="2"/>
      <c r="E569" s="2"/>
      <c r="F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row>
    <row r="570" spans="2:49" x14ac:dyDescent="0.25">
      <c r="B570" s="2"/>
      <c r="C570" s="2"/>
      <c r="D570" s="2"/>
      <c r="E570" s="2"/>
      <c r="F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row>
    <row r="571" spans="2:49" x14ac:dyDescent="0.25">
      <c r="B571" s="2"/>
      <c r="C571" s="2"/>
      <c r="D571" s="2"/>
      <c r="E571" s="2"/>
      <c r="F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row>
    <row r="572" spans="2:49" x14ac:dyDescent="0.25">
      <c r="B572" s="2"/>
      <c r="C572" s="2"/>
      <c r="D572" s="2"/>
      <c r="E572" s="2"/>
      <c r="F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row>
    <row r="573" spans="2:49" x14ac:dyDescent="0.25">
      <c r="B573" s="2"/>
      <c r="C573" s="2"/>
      <c r="D573" s="2"/>
      <c r="E573" s="2"/>
      <c r="F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row>
    <row r="574" spans="2:49" x14ac:dyDescent="0.25">
      <c r="B574" s="2"/>
      <c r="C574" s="2"/>
      <c r="D574" s="2"/>
      <c r="E574" s="2"/>
      <c r="F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row>
    <row r="575" spans="2:49" x14ac:dyDescent="0.25">
      <c r="B575" s="2"/>
      <c r="C575" s="2"/>
      <c r="D575" s="2"/>
      <c r="E575" s="2"/>
      <c r="F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row>
    <row r="576" spans="2:49" x14ac:dyDescent="0.25">
      <c r="B576" s="2"/>
      <c r="C576" s="2"/>
      <c r="D576" s="2"/>
      <c r="E576" s="2"/>
      <c r="F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row>
    <row r="577" spans="2:49" x14ac:dyDescent="0.25">
      <c r="B577" s="2"/>
      <c r="C577" s="2"/>
      <c r="D577" s="2"/>
      <c r="E577" s="2"/>
      <c r="F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row>
    <row r="578" spans="2:49" x14ac:dyDescent="0.25">
      <c r="B578" s="2"/>
      <c r="C578" s="2"/>
      <c r="D578" s="2"/>
      <c r="E578" s="2"/>
      <c r="F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row>
    <row r="579" spans="2:49" x14ac:dyDescent="0.25">
      <c r="B579" s="2"/>
      <c r="C579" s="2"/>
      <c r="D579" s="2"/>
      <c r="E579" s="2"/>
      <c r="F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row>
    <row r="580" spans="2:49" x14ac:dyDescent="0.25">
      <c r="B580" s="2"/>
      <c r="C580" s="2"/>
      <c r="D580" s="2"/>
      <c r="E580" s="2"/>
      <c r="F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row>
    <row r="581" spans="2:49" x14ac:dyDescent="0.25">
      <c r="B581" s="2"/>
      <c r="C581" s="2"/>
      <c r="D581" s="2"/>
      <c r="E581" s="2"/>
      <c r="F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row>
    <row r="582" spans="2:49" x14ac:dyDescent="0.25">
      <c r="B582" s="2"/>
      <c r="C582" s="2"/>
      <c r="D582" s="2"/>
      <c r="E582" s="2"/>
      <c r="F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row>
    <row r="583" spans="2:49" x14ac:dyDescent="0.25">
      <c r="B583" s="2"/>
      <c r="C583" s="2"/>
      <c r="D583" s="2"/>
      <c r="E583" s="2"/>
      <c r="F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row>
    <row r="584" spans="2:49" x14ac:dyDescent="0.25">
      <c r="B584" s="2"/>
      <c r="C584" s="2"/>
      <c r="D584" s="2"/>
      <c r="E584" s="2"/>
      <c r="F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row>
    <row r="585" spans="2:49" x14ac:dyDescent="0.25">
      <c r="B585" s="2"/>
      <c r="C585" s="2"/>
      <c r="D585" s="2"/>
      <c r="E585" s="2"/>
      <c r="F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row>
    <row r="586" spans="2:49" x14ac:dyDescent="0.25">
      <c r="B586" s="2"/>
      <c r="C586" s="2"/>
      <c r="D586" s="2"/>
      <c r="E586" s="2"/>
      <c r="F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row>
    <row r="587" spans="2:49" x14ac:dyDescent="0.25">
      <c r="B587" s="2"/>
      <c r="C587" s="2"/>
      <c r="D587" s="2"/>
      <c r="E587" s="2"/>
      <c r="F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row>
    <row r="588" spans="2:49" x14ac:dyDescent="0.25">
      <c r="B588" s="2"/>
      <c r="C588" s="2"/>
      <c r="D588" s="2"/>
      <c r="E588" s="2"/>
      <c r="F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row>
    <row r="589" spans="2:49" x14ac:dyDescent="0.25">
      <c r="B589" s="2"/>
      <c r="C589" s="2"/>
      <c r="D589" s="2"/>
      <c r="E589" s="2"/>
      <c r="F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row>
    <row r="590" spans="2:49" x14ac:dyDescent="0.25">
      <c r="B590" s="2"/>
      <c r="C590" s="2"/>
      <c r="D590" s="2"/>
      <c r="E590" s="2"/>
      <c r="F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row>
    <row r="591" spans="2:49" x14ac:dyDescent="0.25">
      <c r="B591" s="2"/>
      <c r="C591" s="2"/>
      <c r="D591" s="2"/>
      <c r="E591" s="2"/>
      <c r="F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row>
    <row r="592" spans="2:49" x14ac:dyDescent="0.25">
      <c r="B592" s="2"/>
      <c r="C592" s="2"/>
      <c r="D592" s="2"/>
      <c r="E592" s="2"/>
      <c r="F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row>
    <row r="593" spans="2:49" x14ac:dyDescent="0.25">
      <c r="B593" s="2"/>
      <c r="C593" s="2"/>
      <c r="D593" s="2"/>
      <c r="E593" s="2"/>
      <c r="F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row>
    <row r="594" spans="2:49" x14ac:dyDescent="0.25">
      <c r="B594" s="2"/>
      <c r="C594" s="2"/>
      <c r="D594" s="2"/>
      <c r="E594" s="2"/>
      <c r="F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row>
    <row r="595" spans="2:49" x14ac:dyDescent="0.25">
      <c r="B595" s="2"/>
      <c r="C595" s="2"/>
      <c r="D595" s="2"/>
      <c r="E595" s="2"/>
      <c r="F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row>
    <row r="596" spans="2:49" x14ac:dyDescent="0.25">
      <c r="B596" s="2"/>
      <c r="C596" s="2"/>
      <c r="D596" s="2"/>
      <c r="E596" s="2"/>
      <c r="F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row>
    <row r="597" spans="2:49" x14ac:dyDescent="0.25">
      <c r="B597" s="2"/>
      <c r="C597" s="2"/>
      <c r="D597" s="2"/>
      <c r="E597" s="2"/>
      <c r="F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row>
    <row r="598" spans="2:49" x14ac:dyDescent="0.25">
      <c r="B598" s="2"/>
      <c r="C598" s="2"/>
      <c r="D598" s="2"/>
      <c r="E598" s="2"/>
      <c r="F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row>
    <row r="599" spans="2:49" x14ac:dyDescent="0.25">
      <c r="B599" s="2"/>
      <c r="C599" s="2"/>
      <c r="D599" s="2"/>
      <c r="E599" s="2"/>
      <c r="F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row>
    <row r="600" spans="2:49" x14ac:dyDescent="0.25">
      <c r="B600" s="2"/>
      <c r="C600" s="2"/>
      <c r="D600" s="2"/>
      <c r="E600" s="2"/>
      <c r="F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row>
    <row r="601" spans="2:49" x14ac:dyDescent="0.25">
      <c r="B601" s="2"/>
      <c r="C601" s="2"/>
      <c r="D601" s="2"/>
      <c r="E601" s="2"/>
      <c r="F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row>
    <row r="602" spans="2:49" x14ac:dyDescent="0.25">
      <c r="B602" s="2"/>
      <c r="C602" s="2"/>
      <c r="D602" s="2"/>
      <c r="E602" s="2"/>
      <c r="F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row>
    <row r="603" spans="2:49" x14ac:dyDescent="0.25">
      <c r="B603" s="2"/>
      <c r="C603" s="2"/>
      <c r="D603" s="2"/>
      <c r="E603" s="2"/>
      <c r="F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row>
    <row r="604" spans="2:49" x14ac:dyDescent="0.25">
      <c r="B604" s="2"/>
      <c r="C604" s="2"/>
      <c r="D604" s="2"/>
      <c r="E604" s="2"/>
      <c r="F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row>
    <row r="605" spans="2:49" x14ac:dyDescent="0.25">
      <c r="B605" s="2"/>
      <c r="C605" s="2"/>
      <c r="D605" s="2"/>
      <c r="E605" s="2"/>
      <c r="F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row>
    <row r="606" spans="2:49" x14ac:dyDescent="0.25">
      <c r="B606" s="2"/>
      <c r="C606" s="2"/>
      <c r="D606" s="2"/>
      <c r="E606" s="2"/>
      <c r="F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row>
    <row r="607" spans="2:49" x14ac:dyDescent="0.25">
      <c r="B607" s="2"/>
      <c r="C607" s="2"/>
      <c r="D607" s="2"/>
      <c r="E607" s="2"/>
      <c r="F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row>
    <row r="608" spans="2:49" x14ac:dyDescent="0.25">
      <c r="B608" s="2"/>
      <c r="C608" s="2"/>
      <c r="D608" s="2"/>
      <c r="E608" s="2"/>
      <c r="F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row>
    <row r="609" spans="2:49" x14ac:dyDescent="0.25">
      <c r="B609" s="2"/>
      <c r="C609" s="2"/>
      <c r="D609" s="2"/>
      <c r="E609" s="2"/>
      <c r="F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row>
    <row r="610" spans="2:49" x14ac:dyDescent="0.25">
      <c r="B610" s="2"/>
      <c r="C610" s="2"/>
      <c r="D610" s="2"/>
      <c r="E610" s="2"/>
      <c r="F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row>
    <row r="611" spans="2:49" x14ac:dyDescent="0.25">
      <c r="B611" s="2"/>
      <c r="C611" s="2"/>
      <c r="D611" s="2"/>
      <c r="E611" s="2"/>
      <c r="F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row>
    <row r="612" spans="2:49" x14ac:dyDescent="0.25">
      <c r="B612" s="2"/>
      <c r="C612" s="2"/>
      <c r="D612" s="2"/>
      <c r="E612" s="2"/>
      <c r="F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row>
    <row r="613" spans="2:49" x14ac:dyDescent="0.25">
      <c r="B613" s="2"/>
      <c r="C613" s="2"/>
      <c r="D613" s="2"/>
      <c r="E613" s="2"/>
      <c r="F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row>
    <row r="614" spans="2:49" x14ac:dyDescent="0.25">
      <c r="B614" s="2"/>
      <c r="C614" s="2"/>
      <c r="D614" s="2"/>
      <c r="E614" s="2"/>
      <c r="F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row>
    <row r="615" spans="2:49" x14ac:dyDescent="0.25">
      <c r="B615" s="2"/>
      <c r="C615" s="2"/>
      <c r="D615" s="2"/>
      <c r="E615" s="2"/>
      <c r="F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row>
    <row r="616" spans="2:49" x14ac:dyDescent="0.25">
      <c r="B616" s="2"/>
      <c r="C616" s="2"/>
      <c r="D616" s="2"/>
      <c r="E616" s="2"/>
      <c r="F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row>
    <row r="617" spans="2:49" x14ac:dyDescent="0.25">
      <c r="B617" s="2"/>
      <c r="C617" s="2"/>
      <c r="D617" s="2"/>
      <c r="E617" s="2"/>
      <c r="F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row>
    <row r="618" spans="2:49" x14ac:dyDescent="0.25">
      <c r="B618" s="2"/>
      <c r="C618" s="2"/>
      <c r="D618" s="2"/>
      <c r="E618" s="2"/>
      <c r="F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row>
    <row r="619" spans="2:49" x14ac:dyDescent="0.25">
      <c r="B619" s="2"/>
      <c r="C619" s="2"/>
      <c r="D619" s="2"/>
      <c r="E619" s="2"/>
      <c r="F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row>
    <row r="620" spans="2:49" x14ac:dyDescent="0.25">
      <c r="B620" s="2"/>
      <c r="C620" s="2"/>
      <c r="D620" s="2"/>
      <c r="E620" s="2"/>
      <c r="F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row>
    <row r="621" spans="2:49" x14ac:dyDescent="0.25">
      <c r="B621" s="2"/>
      <c r="C621" s="2"/>
      <c r="D621" s="2"/>
      <c r="E621" s="2"/>
      <c r="F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row>
    <row r="622" spans="2:49" x14ac:dyDescent="0.25">
      <c r="B622" s="2"/>
      <c r="C622" s="2"/>
      <c r="D622" s="2"/>
      <c r="E622" s="2"/>
      <c r="F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row>
    <row r="623" spans="2:49" x14ac:dyDescent="0.25">
      <c r="B623" s="2"/>
      <c r="C623" s="2"/>
      <c r="D623" s="2"/>
      <c r="E623" s="2"/>
      <c r="F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row>
    <row r="624" spans="2:49" x14ac:dyDescent="0.25">
      <c r="B624" s="2"/>
      <c r="C624" s="2"/>
      <c r="D624" s="2"/>
      <c r="E624" s="2"/>
      <c r="F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row>
    <row r="625" spans="2:49" x14ac:dyDescent="0.25">
      <c r="B625" s="2"/>
      <c r="C625" s="2"/>
      <c r="D625" s="2"/>
      <c r="E625" s="2"/>
      <c r="F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row>
    <row r="626" spans="2:49" x14ac:dyDescent="0.25">
      <c r="B626" s="2"/>
      <c r="C626" s="2"/>
      <c r="D626" s="2"/>
      <c r="E626" s="2"/>
      <c r="F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row>
    <row r="627" spans="2:49" x14ac:dyDescent="0.25">
      <c r="B627" s="2"/>
      <c r="C627" s="2"/>
      <c r="D627" s="2"/>
      <c r="E627" s="2"/>
      <c r="F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row>
    <row r="628" spans="2:49" x14ac:dyDescent="0.25">
      <c r="B628" s="2"/>
      <c r="C628" s="2"/>
      <c r="D628" s="2"/>
      <c r="E628" s="2"/>
      <c r="F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row>
    <row r="629" spans="2:49" x14ac:dyDescent="0.25">
      <c r="B629" s="2"/>
      <c r="C629" s="2"/>
      <c r="D629" s="2"/>
      <c r="E629" s="2"/>
      <c r="F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row>
    <row r="630" spans="2:49" x14ac:dyDescent="0.25">
      <c r="B630" s="2"/>
      <c r="C630" s="2"/>
      <c r="D630" s="2"/>
      <c r="E630" s="2"/>
      <c r="F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row>
    <row r="631" spans="2:49" x14ac:dyDescent="0.25">
      <c r="B631" s="2"/>
      <c r="C631" s="2"/>
      <c r="D631" s="2"/>
      <c r="E631" s="2"/>
      <c r="F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row>
    <row r="632" spans="2:49" x14ac:dyDescent="0.25">
      <c r="B632" s="2"/>
      <c r="C632" s="2"/>
      <c r="D632" s="2"/>
      <c r="E632" s="2"/>
      <c r="F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row>
    <row r="633" spans="2:49" x14ac:dyDescent="0.25">
      <c r="B633" s="2"/>
      <c r="C633" s="2"/>
      <c r="D633" s="2"/>
      <c r="E633" s="2"/>
      <c r="F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row>
    <row r="634" spans="2:49" x14ac:dyDescent="0.25">
      <c r="B634" s="2"/>
      <c r="C634" s="2"/>
      <c r="D634" s="2"/>
      <c r="E634" s="2"/>
      <c r="F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row>
    <row r="635" spans="2:49" x14ac:dyDescent="0.25">
      <c r="B635" s="2"/>
      <c r="C635" s="2"/>
      <c r="D635" s="2"/>
      <c r="E635" s="2"/>
      <c r="F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row>
    <row r="636" spans="2:49" x14ac:dyDescent="0.25">
      <c r="B636" s="2"/>
      <c r="C636" s="2"/>
      <c r="D636" s="2"/>
      <c r="E636" s="2"/>
      <c r="F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row>
    <row r="637" spans="2:49" x14ac:dyDescent="0.25">
      <c r="B637" s="2"/>
      <c r="C637" s="2"/>
      <c r="D637" s="2"/>
      <c r="E637" s="2"/>
      <c r="F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row>
    <row r="638" spans="2:49" x14ac:dyDescent="0.25">
      <c r="B638" s="2"/>
      <c r="C638" s="2"/>
      <c r="D638" s="2"/>
      <c r="E638" s="2"/>
      <c r="F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row>
    <row r="639" spans="2:49" x14ac:dyDescent="0.25">
      <c r="B639" s="2"/>
      <c r="C639" s="2"/>
      <c r="D639" s="2"/>
      <c r="E639" s="2"/>
      <c r="F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row>
    <row r="640" spans="2:49" x14ac:dyDescent="0.25">
      <c r="B640" s="2"/>
      <c r="C640" s="2"/>
      <c r="D640" s="2"/>
      <c r="E640" s="2"/>
      <c r="F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row>
    <row r="641" spans="2:49" x14ac:dyDescent="0.25">
      <c r="B641" s="2"/>
      <c r="C641" s="2"/>
      <c r="D641" s="2"/>
      <c r="E641" s="2"/>
      <c r="F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row>
    <row r="642" spans="2:49" x14ac:dyDescent="0.25">
      <c r="B642" s="2"/>
      <c r="C642" s="2"/>
      <c r="D642" s="2"/>
      <c r="E642" s="2"/>
      <c r="F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row>
    <row r="643" spans="2:49" x14ac:dyDescent="0.25">
      <c r="B643" s="2"/>
      <c r="C643" s="2"/>
      <c r="D643" s="2"/>
      <c r="E643" s="2"/>
      <c r="F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row>
    <row r="644" spans="2:49" x14ac:dyDescent="0.25">
      <c r="B644" s="2"/>
      <c r="C644" s="2"/>
      <c r="D644" s="2"/>
      <c r="E644" s="2"/>
      <c r="F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row>
    <row r="645" spans="2:49" x14ac:dyDescent="0.25">
      <c r="B645" s="2"/>
      <c r="C645" s="2"/>
      <c r="D645" s="2"/>
      <c r="E645" s="2"/>
      <c r="F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row>
    <row r="646" spans="2:49" x14ac:dyDescent="0.25">
      <c r="B646" s="2"/>
      <c r="C646" s="2"/>
      <c r="D646" s="2"/>
      <c r="E646" s="2"/>
      <c r="F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row>
    <row r="647" spans="2:49" x14ac:dyDescent="0.25">
      <c r="B647" s="2"/>
      <c r="C647" s="2"/>
      <c r="D647" s="2"/>
      <c r="E647" s="2"/>
      <c r="F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row>
    <row r="648" spans="2:49" x14ac:dyDescent="0.25">
      <c r="B648" s="2"/>
      <c r="C648" s="2"/>
      <c r="D648" s="2"/>
      <c r="E648" s="2"/>
      <c r="F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row>
    <row r="649" spans="2:49" x14ac:dyDescent="0.25">
      <c r="B649" s="2"/>
      <c r="C649" s="2"/>
      <c r="D649" s="2"/>
      <c r="E649" s="2"/>
      <c r="F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row>
    <row r="650" spans="2:49" x14ac:dyDescent="0.25">
      <c r="B650" s="2"/>
      <c r="C650" s="2"/>
      <c r="D650" s="2"/>
      <c r="E650" s="2"/>
      <c r="F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row>
    <row r="651" spans="2:49" x14ac:dyDescent="0.25">
      <c r="B651" s="2"/>
      <c r="C651" s="2"/>
      <c r="D651" s="2"/>
      <c r="E651" s="2"/>
      <c r="F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row>
    <row r="652" spans="2:49" x14ac:dyDescent="0.25">
      <c r="B652" s="2"/>
      <c r="C652" s="2"/>
      <c r="D652" s="2"/>
      <c r="E652" s="2"/>
      <c r="F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row>
    <row r="653" spans="2:49" x14ac:dyDescent="0.25">
      <c r="B653" s="2"/>
      <c r="C653" s="2"/>
      <c r="D653" s="2"/>
      <c r="E653" s="2"/>
      <c r="F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row>
    <row r="654" spans="2:49" x14ac:dyDescent="0.25">
      <c r="B654" s="2"/>
      <c r="C654" s="2"/>
      <c r="D654" s="2"/>
      <c r="E654" s="2"/>
      <c r="F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row>
    <row r="655" spans="2:49" x14ac:dyDescent="0.25">
      <c r="B655" s="2"/>
      <c r="C655" s="2"/>
      <c r="D655" s="2"/>
      <c r="E655" s="2"/>
      <c r="F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row>
    <row r="656" spans="2:49" x14ac:dyDescent="0.25">
      <c r="B656" s="2"/>
      <c r="C656" s="2"/>
      <c r="D656" s="2"/>
      <c r="E656" s="2"/>
      <c r="F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row>
    <row r="657" spans="2:49" x14ac:dyDescent="0.25">
      <c r="B657" s="2"/>
      <c r="C657" s="2"/>
      <c r="D657" s="2"/>
      <c r="E657" s="2"/>
      <c r="F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row>
    <row r="658" spans="2:49" x14ac:dyDescent="0.25">
      <c r="B658" s="2"/>
      <c r="C658" s="2"/>
      <c r="D658" s="2"/>
      <c r="E658" s="2"/>
      <c r="F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row>
    <row r="659" spans="2:49" x14ac:dyDescent="0.25">
      <c r="B659" s="2"/>
      <c r="C659" s="2"/>
      <c r="D659" s="2"/>
      <c r="E659" s="2"/>
      <c r="F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row>
    <row r="660" spans="2:49" x14ac:dyDescent="0.25">
      <c r="B660" s="2"/>
      <c r="C660" s="2"/>
      <c r="D660" s="2"/>
      <c r="E660" s="2"/>
      <c r="F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row>
    <row r="661" spans="2:49" x14ac:dyDescent="0.25">
      <c r="B661" s="2"/>
      <c r="C661" s="2"/>
      <c r="D661" s="2"/>
      <c r="E661" s="2"/>
      <c r="F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row>
    <row r="662" spans="2:49" x14ac:dyDescent="0.25">
      <c r="B662" s="2"/>
      <c r="C662" s="2"/>
      <c r="D662" s="2"/>
      <c r="E662" s="2"/>
      <c r="F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row>
    <row r="663" spans="2:49" x14ac:dyDescent="0.25">
      <c r="B663" s="2"/>
      <c r="C663" s="2"/>
      <c r="D663" s="2"/>
      <c r="E663" s="2"/>
      <c r="F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row>
    <row r="664" spans="2:49" x14ac:dyDescent="0.25">
      <c r="B664" s="2"/>
      <c r="C664" s="2"/>
      <c r="D664" s="2"/>
      <c r="E664" s="2"/>
      <c r="F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row>
    <row r="665" spans="2:49" x14ac:dyDescent="0.25">
      <c r="B665" s="2"/>
      <c r="C665" s="2"/>
      <c r="D665" s="2"/>
      <c r="E665" s="2"/>
      <c r="F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row>
    <row r="666" spans="2:49" x14ac:dyDescent="0.25">
      <c r="B666" s="2"/>
      <c r="C666" s="2"/>
      <c r="D666" s="2"/>
      <c r="E666" s="2"/>
      <c r="F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row>
    <row r="667" spans="2:49" x14ac:dyDescent="0.25">
      <c r="B667" s="2"/>
      <c r="C667" s="2"/>
      <c r="D667" s="2"/>
      <c r="E667" s="2"/>
      <c r="F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row>
    <row r="668" spans="2:49" x14ac:dyDescent="0.25">
      <c r="B668" s="2"/>
      <c r="C668" s="2"/>
      <c r="D668" s="2"/>
      <c r="E668" s="2"/>
      <c r="F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row>
    <row r="669" spans="2:49" x14ac:dyDescent="0.25">
      <c r="B669" s="2"/>
      <c r="C669" s="2"/>
      <c r="D669" s="2"/>
      <c r="E669" s="2"/>
      <c r="F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row>
    <row r="670" spans="2:49" x14ac:dyDescent="0.25">
      <c r="B670" s="2"/>
      <c r="C670" s="2"/>
      <c r="D670" s="2"/>
      <c r="E670" s="2"/>
      <c r="F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row>
    <row r="671" spans="2:49" x14ac:dyDescent="0.25">
      <c r="B671" s="2"/>
      <c r="C671" s="2"/>
      <c r="D671" s="2"/>
      <c r="E671" s="2"/>
      <c r="F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row>
    <row r="672" spans="2:49" x14ac:dyDescent="0.25">
      <c r="B672" s="2"/>
      <c r="C672" s="2"/>
      <c r="D672" s="2"/>
      <c r="E672" s="2"/>
      <c r="F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row>
    <row r="673" spans="2:49" x14ac:dyDescent="0.25">
      <c r="B673" s="2"/>
      <c r="C673" s="2"/>
      <c r="D673" s="2"/>
      <c r="E673" s="2"/>
      <c r="F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row>
    <row r="674" spans="2:49" x14ac:dyDescent="0.25">
      <c r="B674" s="2"/>
      <c r="C674" s="2"/>
      <c r="D674" s="2"/>
      <c r="E674" s="2"/>
      <c r="F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row>
    <row r="675" spans="2:49" x14ac:dyDescent="0.25">
      <c r="B675" s="2"/>
      <c r="C675" s="2"/>
      <c r="D675" s="2"/>
      <c r="E675" s="2"/>
      <c r="F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row>
    <row r="676" spans="2:49" x14ac:dyDescent="0.25">
      <c r="B676" s="2"/>
      <c r="C676" s="2"/>
      <c r="D676" s="2"/>
      <c r="E676" s="2"/>
      <c r="F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row>
    <row r="677" spans="2:49" x14ac:dyDescent="0.25">
      <c r="B677" s="2"/>
      <c r="C677" s="2"/>
      <c r="D677" s="2"/>
      <c r="E677" s="2"/>
      <c r="F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row>
    <row r="678" spans="2:49" x14ac:dyDescent="0.25">
      <c r="B678" s="2"/>
      <c r="C678" s="2"/>
      <c r="D678" s="2"/>
      <c r="E678" s="2"/>
      <c r="F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row>
    <row r="679" spans="2:49" x14ac:dyDescent="0.25">
      <c r="B679" s="2"/>
      <c r="C679" s="2"/>
      <c r="D679" s="2"/>
      <c r="E679" s="2"/>
      <c r="F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row>
    <row r="680" spans="2:49" x14ac:dyDescent="0.25">
      <c r="B680" s="2"/>
      <c r="C680" s="2"/>
      <c r="D680" s="2"/>
      <c r="E680" s="2"/>
      <c r="F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row>
    <row r="681" spans="2:49" x14ac:dyDescent="0.25">
      <c r="B681" s="2"/>
      <c r="C681" s="2"/>
      <c r="D681" s="2"/>
      <c r="E681" s="2"/>
      <c r="F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row>
    <row r="682" spans="2:49" x14ac:dyDescent="0.25">
      <c r="B682" s="2"/>
      <c r="C682" s="2"/>
      <c r="D682" s="2"/>
      <c r="E682" s="2"/>
      <c r="F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row>
    <row r="683" spans="2:49" x14ac:dyDescent="0.25">
      <c r="B683" s="2"/>
      <c r="C683" s="2"/>
      <c r="D683" s="2"/>
      <c r="E683" s="2"/>
      <c r="F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row>
    <row r="684" spans="2:49" x14ac:dyDescent="0.25">
      <c r="B684" s="2"/>
      <c r="C684" s="2"/>
      <c r="D684" s="2"/>
      <c r="E684" s="2"/>
      <c r="F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row>
    <row r="685" spans="2:49" x14ac:dyDescent="0.25">
      <c r="B685" s="2"/>
      <c r="C685" s="2"/>
      <c r="D685" s="2"/>
      <c r="E685" s="2"/>
      <c r="F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row>
    <row r="686" spans="2:49" x14ac:dyDescent="0.25">
      <c r="B686" s="2"/>
      <c r="C686" s="2"/>
      <c r="D686" s="2"/>
      <c r="E686" s="2"/>
      <c r="F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row>
    <row r="687" spans="2:49" x14ac:dyDescent="0.25">
      <c r="B687" s="2"/>
      <c r="C687" s="2"/>
      <c r="D687" s="2"/>
      <c r="E687" s="2"/>
      <c r="F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row>
    <row r="688" spans="2:49" x14ac:dyDescent="0.25">
      <c r="B688" s="2"/>
      <c r="C688" s="2"/>
      <c r="D688" s="2"/>
      <c r="E688" s="2"/>
      <c r="F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row>
    <row r="689" spans="2:49" x14ac:dyDescent="0.25">
      <c r="B689" s="2"/>
      <c r="C689" s="2"/>
      <c r="D689" s="2"/>
      <c r="E689" s="2"/>
      <c r="F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row>
    <row r="690" spans="2:49" x14ac:dyDescent="0.25">
      <c r="B690" s="2"/>
      <c r="C690" s="2"/>
      <c r="D690" s="2"/>
      <c r="E690" s="2"/>
      <c r="F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row>
    <row r="691" spans="2:49" x14ac:dyDescent="0.25">
      <c r="B691" s="2"/>
      <c r="C691" s="2"/>
      <c r="D691" s="2"/>
      <c r="E691" s="2"/>
      <c r="F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row>
    <row r="692" spans="2:49" x14ac:dyDescent="0.25">
      <c r="B692" s="2"/>
      <c r="C692" s="2"/>
      <c r="D692" s="2"/>
      <c r="E692" s="2"/>
      <c r="F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row>
    <row r="693" spans="2:49" x14ac:dyDescent="0.25">
      <c r="B693" s="2"/>
      <c r="C693" s="2"/>
      <c r="D693" s="2"/>
      <c r="E693" s="2"/>
      <c r="F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row>
    <row r="694" spans="2:49" x14ac:dyDescent="0.25">
      <c r="B694" s="2"/>
      <c r="C694" s="2"/>
      <c r="D694" s="2"/>
      <c r="E694" s="2"/>
      <c r="F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row>
    <row r="695" spans="2:49" x14ac:dyDescent="0.25">
      <c r="B695" s="2"/>
      <c r="C695" s="2"/>
      <c r="D695" s="2"/>
      <c r="E695" s="2"/>
      <c r="F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row>
    <row r="696" spans="2:49" x14ac:dyDescent="0.25">
      <c r="B696" s="2"/>
      <c r="C696" s="2"/>
      <c r="D696" s="2"/>
      <c r="E696" s="2"/>
      <c r="F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row>
    <row r="697" spans="2:49" x14ac:dyDescent="0.25">
      <c r="B697" s="2"/>
      <c r="C697" s="2"/>
      <c r="D697" s="2"/>
      <c r="E697" s="2"/>
      <c r="F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row>
    <row r="698" spans="2:49" x14ac:dyDescent="0.25">
      <c r="B698" s="2"/>
      <c r="C698" s="2"/>
      <c r="D698" s="2"/>
      <c r="E698" s="2"/>
      <c r="F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row>
    <row r="699" spans="2:49" x14ac:dyDescent="0.25">
      <c r="B699" s="2"/>
      <c r="C699" s="2"/>
      <c r="D699" s="2"/>
      <c r="E699" s="2"/>
      <c r="F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row>
    <row r="700" spans="2:49" x14ac:dyDescent="0.25">
      <c r="B700" s="2"/>
      <c r="C700" s="2"/>
      <c r="D700" s="2"/>
      <c r="E700" s="2"/>
      <c r="F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row>
    <row r="701" spans="2:49" x14ac:dyDescent="0.25">
      <c r="B701" s="2"/>
      <c r="C701" s="2"/>
      <c r="D701" s="2"/>
      <c r="E701" s="2"/>
      <c r="F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row>
    <row r="702" spans="2:49" x14ac:dyDescent="0.25">
      <c r="B702" s="2"/>
      <c r="C702" s="2"/>
      <c r="D702" s="2"/>
      <c r="E702" s="2"/>
      <c r="F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row>
    <row r="703" spans="2:49" x14ac:dyDescent="0.25">
      <c r="B703" s="2"/>
      <c r="C703" s="2"/>
      <c r="D703" s="2"/>
      <c r="E703" s="2"/>
      <c r="F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row>
    <row r="704" spans="2:49" x14ac:dyDescent="0.25">
      <c r="B704" s="2"/>
      <c r="C704" s="2"/>
      <c r="D704" s="2"/>
      <c r="E704" s="2"/>
      <c r="F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row>
    <row r="705" spans="2:49" x14ac:dyDescent="0.25">
      <c r="B705" s="2"/>
      <c r="C705" s="2"/>
      <c r="D705" s="2"/>
      <c r="E705" s="2"/>
      <c r="F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row>
    <row r="706" spans="2:49" x14ac:dyDescent="0.25">
      <c r="B706" s="2"/>
      <c r="C706" s="2"/>
      <c r="D706" s="2"/>
      <c r="E706" s="2"/>
      <c r="F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row>
    <row r="707" spans="2:49" x14ac:dyDescent="0.25">
      <c r="B707" s="2"/>
      <c r="C707" s="2"/>
      <c r="D707" s="2"/>
      <c r="E707" s="2"/>
      <c r="F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row>
    <row r="708" spans="2:49" x14ac:dyDescent="0.25">
      <c r="B708" s="2"/>
      <c r="C708" s="2"/>
      <c r="D708" s="2"/>
      <c r="E708" s="2"/>
      <c r="F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row>
    <row r="709" spans="2:49" x14ac:dyDescent="0.25">
      <c r="B709" s="2"/>
      <c r="C709" s="2"/>
      <c r="D709" s="2"/>
      <c r="E709" s="2"/>
      <c r="F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row>
    <row r="710" spans="2:49" x14ac:dyDescent="0.25">
      <c r="B710" s="2"/>
      <c r="C710" s="2"/>
      <c r="D710" s="2"/>
      <c r="E710" s="2"/>
      <c r="F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row>
    <row r="711" spans="2:49" x14ac:dyDescent="0.25">
      <c r="B711" s="2"/>
      <c r="C711" s="2"/>
      <c r="D711" s="2"/>
      <c r="E711" s="2"/>
      <c r="F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row>
    <row r="712" spans="2:49" x14ac:dyDescent="0.25">
      <c r="B712" s="2"/>
      <c r="C712" s="2"/>
      <c r="D712" s="2"/>
      <c r="E712" s="2"/>
      <c r="F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row>
    <row r="713" spans="2:49" x14ac:dyDescent="0.25">
      <c r="B713" s="2"/>
      <c r="C713" s="2"/>
      <c r="D713" s="2"/>
      <c r="E713" s="2"/>
      <c r="F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row>
    <row r="714" spans="2:49" x14ac:dyDescent="0.25">
      <c r="B714" s="2"/>
      <c r="C714" s="2"/>
      <c r="D714" s="2"/>
      <c r="E714" s="2"/>
      <c r="F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row>
    <row r="715" spans="2:49" x14ac:dyDescent="0.25">
      <c r="B715" s="2"/>
      <c r="C715" s="2"/>
      <c r="D715" s="2"/>
      <c r="E715" s="2"/>
      <c r="F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row>
    <row r="716" spans="2:49" x14ac:dyDescent="0.25">
      <c r="B716" s="2"/>
      <c r="C716" s="2"/>
      <c r="D716" s="2"/>
      <c r="E716" s="2"/>
      <c r="F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row>
    <row r="717" spans="2:49" x14ac:dyDescent="0.25">
      <c r="B717" s="2"/>
      <c r="C717" s="2"/>
      <c r="D717" s="2"/>
      <c r="E717" s="2"/>
      <c r="F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row>
    <row r="718" spans="2:49" x14ac:dyDescent="0.25">
      <c r="B718" s="2"/>
      <c r="C718" s="2"/>
      <c r="D718" s="2"/>
      <c r="E718" s="2"/>
      <c r="F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row>
    <row r="719" spans="2:49" x14ac:dyDescent="0.25">
      <c r="B719" s="2"/>
      <c r="C719" s="2"/>
      <c r="D719" s="2"/>
      <c r="E719" s="2"/>
      <c r="F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row>
    <row r="720" spans="2:49" x14ac:dyDescent="0.25">
      <c r="B720" s="2"/>
      <c r="C720" s="2"/>
      <c r="D720" s="2"/>
      <c r="E720" s="2"/>
      <c r="F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row>
    <row r="721" spans="2:49" x14ac:dyDescent="0.25">
      <c r="B721" s="2"/>
      <c r="C721" s="2"/>
      <c r="D721" s="2"/>
      <c r="E721" s="2"/>
      <c r="F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row>
    <row r="722" spans="2:49" x14ac:dyDescent="0.25">
      <c r="B722" s="2"/>
      <c r="C722" s="2"/>
      <c r="D722" s="2"/>
      <c r="E722" s="2"/>
      <c r="F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row>
    <row r="723" spans="2:49" x14ac:dyDescent="0.25">
      <c r="B723" s="2"/>
      <c r="C723" s="2"/>
      <c r="D723" s="2"/>
      <c r="E723" s="2"/>
      <c r="F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row>
    <row r="724" spans="2:49" x14ac:dyDescent="0.25">
      <c r="B724" s="2"/>
      <c r="C724" s="2"/>
      <c r="D724" s="2"/>
      <c r="E724" s="2"/>
      <c r="F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row>
    <row r="725" spans="2:49" x14ac:dyDescent="0.25">
      <c r="B725" s="2"/>
      <c r="C725" s="2"/>
      <c r="D725" s="2"/>
      <c r="E725" s="2"/>
      <c r="F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row>
    <row r="726" spans="2:49" x14ac:dyDescent="0.25">
      <c r="B726" s="2"/>
      <c r="C726" s="2"/>
      <c r="D726" s="2"/>
      <c r="E726" s="2"/>
      <c r="F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row>
    <row r="727" spans="2:49" x14ac:dyDescent="0.25">
      <c r="B727" s="2"/>
      <c r="C727" s="2"/>
      <c r="D727" s="2"/>
      <c r="E727" s="2"/>
      <c r="F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row>
    <row r="728" spans="2:49" x14ac:dyDescent="0.25">
      <c r="B728" s="2"/>
      <c r="C728" s="2"/>
      <c r="D728" s="2"/>
      <c r="E728" s="2"/>
      <c r="F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row>
    <row r="729" spans="2:49" x14ac:dyDescent="0.25">
      <c r="B729" s="2"/>
      <c r="C729" s="2"/>
      <c r="D729" s="2"/>
      <c r="E729" s="2"/>
      <c r="F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row>
    <row r="730" spans="2:49" x14ac:dyDescent="0.25">
      <c r="B730" s="2"/>
      <c r="C730" s="2"/>
      <c r="D730" s="2"/>
      <c r="E730" s="2"/>
      <c r="F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row>
    <row r="731" spans="2:49" x14ac:dyDescent="0.25">
      <c r="B731" s="2"/>
      <c r="C731" s="2"/>
      <c r="D731" s="2"/>
      <c r="E731" s="2"/>
      <c r="F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row>
    <row r="732" spans="2:49" x14ac:dyDescent="0.25">
      <c r="B732" s="2"/>
      <c r="C732" s="2"/>
      <c r="D732" s="2"/>
      <c r="E732" s="2"/>
      <c r="F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row>
    <row r="733" spans="2:49" x14ac:dyDescent="0.25">
      <c r="B733" s="2"/>
      <c r="C733" s="2"/>
      <c r="D733" s="2"/>
      <c r="E733" s="2"/>
      <c r="F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row>
    <row r="734" spans="2:49" x14ac:dyDescent="0.25">
      <c r="B734" s="2"/>
      <c r="C734" s="2"/>
      <c r="D734" s="2"/>
      <c r="E734" s="2"/>
      <c r="F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row>
    <row r="735" spans="2:49" x14ac:dyDescent="0.25">
      <c r="B735" s="2"/>
      <c r="C735" s="2"/>
      <c r="D735" s="2"/>
      <c r="E735" s="2"/>
      <c r="F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row>
    <row r="736" spans="2:49" x14ac:dyDescent="0.25">
      <c r="B736" s="2"/>
      <c r="C736" s="2"/>
      <c r="D736" s="2"/>
      <c r="E736" s="2"/>
      <c r="F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row>
    <row r="737" spans="2:49" x14ac:dyDescent="0.25">
      <c r="B737" s="2"/>
      <c r="C737" s="2"/>
      <c r="D737" s="2"/>
      <c r="E737" s="2"/>
      <c r="F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row>
    <row r="738" spans="2:49" x14ac:dyDescent="0.25">
      <c r="B738" s="2"/>
      <c r="C738" s="2"/>
      <c r="D738" s="2"/>
      <c r="E738" s="2"/>
      <c r="F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row>
    <row r="739" spans="2:49" x14ac:dyDescent="0.25">
      <c r="B739" s="2"/>
      <c r="C739" s="2"/>
      <c r="D739" s="2"/>
      <c r="E739" s="2"/>
      <c r="F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row>
    <row r="740" spans="2:49" x14ac:dyDescent="0.25">
      <c r="B740" s="2"/>
      <c r="C740" s="2"/>
      <c r="D740" s="2"/>
      <c r="E740" s="2"/>
      <c r="F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row>
    <row r="741" spans="2:49" x14ac:dyDescent="0.25">
      <c r="B741" s="2"/>
      <c r="C741" s="2"/>
      <c r="D741" s="2"/>
      <c r="E741" s="2"/>
      <c r="F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row>
    <row r="742" spans="2:49" x14ac:dyDescent="0.25">
      <c r="B742" s="2"/>
      <c r="C742" s="2"/>
      <c r="D742" s="2"/>
      <c r="E742" s="2"/>
      <c r="F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row>
    <row r="743" spans="2:49" x14ac:dyDescent="0.25">
      <c r="B743" s="2"/>
      <c r="C743" s="2"/>
      <c r="D743" s="2"/>
      <c r="E743" s="2"/>
      <c r="F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row>
    <row r="744" spans="2:49" x14ac:dyDescent="0.25">
      <c r="B744" s="2"/>
      <c r="C744" s="2"/>
      <c r="D744" s="2"/>
      <c r="E744" s="2"/>
      <c r="F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row>
    <row r="745" spans="2:49" x14ac:dyDescent="0.25">
      <c r="B745" s="2"/>
      <c r="C745" s="2"/>
      <c r="D745" s="2"/>
      <c r="E745" s="2"/>
      <c r="F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row>
    <row r="746" spans="2:49" x14ac:dyDescent="0.25">
      <c r="B746" s="2"/>
      <c r="C746" s="2"/>
      <c r="D746" s="2"/>
      <c r="E746" s="2"/>
      <c r="F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row>
    <row r="747" spans="2:49" x14ac:dyDescent="0.25">
      <c r="B747" s="2"/>
      <c r="C747" s="2"/>
      <c r="D747" s="2"/>
      <c r="E747" s="2"/>
      <c r="F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row>
    <row r="748" spans="2:49" x14ac:dyDescent="0.25">
      <c r="B748" s="2"/>
      <c r="C748" s="2"/>
      <c r="D748" s="2"/>
      <c r="E748" s="2"/>
      <c r="F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row>
    <row r="749" spans="2:49" x14ac:dyDescent="0.25">
      <c r="B749" s="2"/>
      <c r="C749" s="2"/>
      <c r="D749" s="2"/>
      <c r="E749" s="2"/>
      <c r="F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row>
    <row r="750" spans="2:49" x14ac:dyDescent="0.25">
      <c r="B750" s="2"/>
      <c r="C750" s="2"/>
      <c r="D750" s="2"/>
      <c r="E750" s="2"/>
      <c r="F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row>
    <row r="751" spans="2:49" x14ac:dyDescent="0.25">
      <c r="B751" s="2"/>
      <c r="C751" s="2"/>
      <c r="D751" s="2"/>
      <c r="E751" s="2"/>
      <c r="F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row>
    <row r="752" spans="2:49" x14ac:dyDescent="0.25">
      <c r="B752" s="2"/>
      <c r="C752" s="2"/>
      <c r="D752" s="2"/>
      <c r="E752" s="2"/>
      <c r="F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row>
    <row r="753" spans="2:49" x14ac:dyDescent="0.25">
      <c r="B753" s="2"/>
      <c r="C753" s="2"/>
      <c r="D753" s="2"/>
      <c r="E753" s="2"/>
      <c r="F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row>
    <row r="754" spans="2:49" x14ac:dyDescent="0.25">
      <c r="B754" s="2"/>
      <c r="C754" s="2"/>
      <c r="D754" s="2"/>
      <c r="E754" s="2"/>
      <c r="F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row>
    <row r="755" spans="2:49" x14ac:dyDescent="0.25">
      <c r="B755" s="2"/>
      <c r="C755" s="2"/>
      <c r="D755" s="2"/>
      <c r="E755" s="2"/>
      <c r="F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row>
    <row r="756" spans="2:49" x14ac:dyDescent="0.25">
      <c r="B756" s="2"/>
      <c r="C756" s="2"/>
      <c r="D756" s="2"/>
      <c r="E756" s="2"/>
      <c r="F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row>
    <row r="757" spans="2:49" x14ac:dyDescent="0.25">
      <c r="B757" s="2"/>
      <c r="C757" s="2"/>
      <c r="D757" s="2"/>
      <c r="E757" s="2"/>
      <c r="F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row>
    <row r="758" spans="2:49" x14ac:dyDescent="0.25">
      <c r="B758" s="2"/>
      <c r="C758" s="2"/>
      <c r="D758" s="2"/>
      <c r="E758" s="2"/>
      <c r="F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row>
    <row r="759" spans="2:49" x14ac:dyDescent="0.25">
      <c r="B759" s="2"/>
      <c r="C759" s="2"/>
      <c r="D759" s="2"/>
      <c r="E759" s="2"/>
      <c r="F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row>
    <row r="760" spans="2:49" x14ac:dyDescent="0.25">
      <c r="B760" s="2"/>
      <c r="C760" s="2"/>
      <c r="D760" s="2"/>
      <c r="E760" s="2"/>
      <c r="F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row>
    <row r="761" spans="2:49" x14ac:dyDescent="0.25">
      <c r="B761" s="2"/>
      <c r="C761" s="2"/>
      <c r="D761" s="2"/>
      <c r="E761" s="2"/>
      <c r="F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row>
    <row r="762" spans="2:49" x14ac:dyDescent="0.25">
      <c r="B762" s="2"/>
      <c r="C762" s="2"/>
      <c r="D762" s="2"/>
      <c r="E762" s="2"/>
      <c r="F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row>
    <row r="763" spans="2:49" x14ac:dyDescent="0.25">
      <c r="B763" s="2"/>
      <c r="C763" s="2"/>
      <c r="D763" s="2"/>
      <c r="E763" s="2"/>
      <c r="F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row>
    <row r="764" spans="2:49" x14ac:dyDescent="0.25">
      <c r="B764" s="2"/>
      <c r="C764" s="2"/>
      <c r="D764" s="2"/>
      <c r="E764" s="2"/>
      <c r="F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row>
    <row r="765" spans="2:49" x14ac:dyDescent="0.25">
      <c r="B765" s="2"/>
      <c r="C765" s="2"/>
      <c r="D765" s="2"/>
      <c r="E765" s="2"/>
      <c r="F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row>
    <row r="766" spans="2:49" x14ac:dyDescent="0.25">
      <c r="B766" s="2"/>
      <c r="C766" s="2"/>
      <c r="D766" s="2"/>
      <c r="E766" s="2"/>
      <c r="F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row>
    <row r="767" spans="2:49" x14ac:dyDescent="0.25">
      <c r="B767" s="2"/>
      <c r="C767" s="2"/>
      <c r="D767" s="2"/>
      <c r="E767" s="2"/>
      <c r="F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row>
    <row r="768" spans="2:49" x14ac:dyDescent="0.25">
      <c r="B768" s="2"/>
      <c r="C768" s="2"/>
      <c r="D768" s="2"/>
      <c r="E768" s="2"/>
      <c r="F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row>
    <row r="769" spans="2:49" x14ac:dyDescent="0.25">
      <c r="B769" s="2"/>
      <c r="C769" s="2"/>
      <c r="D769" s="2"/>
      <c r="E769" s="2"/>
      <c r="F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row>
    <row r="770" spans="2:49" x14ac:dyDescent="0.25">
      <c r="B770" s="2"/>
      <c r="C770" s="2"/>
      <c r="D770" s="2"/>
      <c r="E770" s="2"/>
      <c r="F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row>
    <row r="771" spans="2:49" x14ac:dyDescent="0.25">
      <c r="B771" s="2"/>
      <c r="C771" s="2"/>
      <c r="D771" s="2"/>
      <c r="E771" s="2"/>
      <c r="F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row>
    <row r="772" spans="2:49" x14ac:dyDescent="0.25">
      <c r="B772" s="2"/>
      <c r="C772" s="2"/>
      <c r="D772" s="2"/>
      <c r="E772" s="2"/>
      <c r="F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row>
    <row r="773" spans="2:49" x14ac:dyDescent="0.25">
      <c r="B773" s="2"/>
      <c r="C773" s="2"/>
      <c r="D773" s="2"/>
      <c r="E773" s="2"/>
      <c r="F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row>
    <row r="774" spans="2:49" x14ac:dyDescent="0.25">
      <c r="B774" s="2"/>
      <c r="C774" s="2"/>
      <c r="D774" s="2"/>
      <c r="E774" s="2"/>
      <c r="F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row>
    <row r="775" spans="2:49" x14ac:dyDescent="0.25">
      <c r="B775" s="2"/>
      <c r="C775" s="2"/>
      <c r="D775" s="2"/>
      <c r="E775" s="2"/>
      <c r="F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row>
    <row r="776" spans="2:49" x14ac:dyDescent="0.25">
      <c r="B776" s="2"/>
      <c r="C776" s="2"/>
      <c r="D776" s="2"/>
      <c r="E776" s="2"/>
      <c r="F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row>
    <row r="777" spans="2:49" x14ac:dyDescent="0.25">
      <c r="B777" s="2"/>
      <c r="C777" s="2"/>
      <c r="D777" s="2"/>
      <c r="E777" s="2"/>
      <c r="F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row>
    <row r="778" spans="2:49" x14ac:dyDescent="0.25">
      <c r="B778" s="2"/>
      <c r="C778" s="2"/>
      <c r="D778" s="2"/>
      <c r="E778" s="2"/>
      <c r="F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row>
    <row r="779" spans="2:49" x14ac:dyDescent="0.25">
      <c r="B779" s="2"/>
      <c r="C779" s="2"/>
      <c r="D779" s="2"/>
      <c r="E779" s="2"/>
      <c r="F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row>
    <row r="780" spans="2:49" x14ac:dyDescent="0.25">
      <c r="B780" s="2"/>
      <c r="C780" s="2"/>
      <c r="D780" s="2"/>
      <c r="E780" s="2"/>
      <c r="F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row>
    <row r="781" spans="2:49" x14ac:dyDescent="0.25">
      <c r="B781" s="2"/>
      <c r="C781" s="2"/>
      <c r="D781" s="2"/>
      <c r="E781" s="2"/>
      <c r="F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row>
    <row r="782" spans="2:49" x14ac:dyDescent="0.25">
      <c r="B782" s="2"/>
      <c r="C782" s="2"/>
      <c r="D782" s="2"/>
      <c r="E782" s="2"/>
      <c r="F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row>
    <row r="783" spans="2:49" x14ac:dyDescent="0.25">
      <c r="B783" s="2"/>
      <c r="C783" s="2"/>
      <c r="D783" s="2"/>
      <c r="E783" s="2"/>
      <c r="F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row>
    <row r="784" spans="2:49" x14ac:dyDescent="0.25">
      <c r="B784" s="2"/>
      <c r="C784" s="2"/>
      <c r="D784" s="2"/>
      <c r="E784" s="2"/>
      <c r="F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row>
    <row r="785" spans="2:49" x14ac:dyDescent="0.25">
      <c r="B785" s="2"/>
      <c r="C785" s="2"/>
      <c r="D785" s="2"/>
      <c r="E785" s="2"/>
      <c r="F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row>
    <row r="786" spans="2:49" x14ac:dyDescent="0.25">
      <c r="B786" s="2"/>
      <c r="C786" s="2"/>
      <c r="D786" s="2"/>
      <c r="E786" s="2"/>
      <c r="F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row>
    <row r="787" spans="2:49" x14ac:dyDescent="0.25">
      <c r="B787" s="2"/>
      <c r="C787" s="2"/>
      <c r="D787" s="2"/>
      <c r="E787" s="2"/>
      <c r="F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row>
    <row r="788" spans="2:49" x14ac:dyDescent="0.25">
      <c r="B788" s="2"/>
      <c r="C788" s="2"/>
      <c r="D788" s="2"/>
      <c r="E788" s="2"/>
      <c r="F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row>
    <row r="789" spans="2:49" x14ac:dyDescent="0.25">
      <c r="B789" s="2"/>
      <c r="C789" s="2"/>
      <c r="D789" s="2"/>
      <c r="E789" s="2"/>
      <c r="F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row>
    <row r="790" spans="2:49" x14ac:dyDescent="0.25">
      <c r="B790" s="2"/>
      <c r="C790" s="2"/>
      <c r="D790" s="2"/>
      <c r="E790" s="2"/>
      <c r="F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row>
    <row r="791" spans="2:49" x14ac:dyDescent="0.25">
      <c r="B791" s="2"/>
      <c r="C791" s="2"/>
      <c r="D791" s="2"/>
      <c r="E791" s="2"/>
      <c r="F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row>
    <row r="792" spans="2:49" x14ac:dyDescent="0.25">
      <c r="B792" s="2"/>
      <c r="C792" s="2"/>
      <c r="D792" s="2"/>
      <c r="E792" s="2"/>
      <c r="F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row>
    <row r="793" spans="2:49" x14ac:dyDescent="0.25">
      <c r="B793" s="2"/>
      <c r="C793" s="2"/>
      <c r="D793" s="2"/>
      <c r="E793" s="2"/>
      <c r="F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row>
    <row r="794" spans="2:49" x14ac:dyDescent="0.25">
      <c r="B794" s="2"/>
      <c r="C794" s="2"/>
      <c r="D794" s="2"/>
      <c r="E794" s="2"/>
      <c r="F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row>
    <row r="795" spans="2:49" x14ac:dyDescent="0.25">
      <c r="B795" s="2"/>
      <c r="C795" s="2"/>
      <c r="D795" s="2"/>
      <c r="E795" s="2"/>
      <c r="F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row>
    <row r="796" spans="2:49" x14ac:dyDescent="0.25">
      <c r="B796" s="2"/>
      <c r="C796" s="2"/>
      <c r="D796" s="2"/>
      <c r="E796" s="2"/>
      <c r="F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row>
    <row r="797" spans="2:49" x14ac:dyDescent="0.25">
      <c r="B797" s="2"/>
      <c r="C797" s="2"/>
      <c r="D797" s="2"/>
      <c r="E797" s="2"/>
      <c r="F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row>
    <row r="798" spans="2:49" x14ac:dyDescent="0.25">
      <c r="B798" s="2"/>
      <c r="C798" s="2"/>
      <c r="D798" s="2"/>
      <c r="E798" s="2"/>
      <c r="F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row>
    <row r="799" spans="2:49" x14ac:dyDescent="0.25">
      <c r="B799" s="2"/>
      <c r="C799" s="2"/>
      <c r="D799" s="2"/>
      <c r="E799" s="2"/>
      <c r="F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row>
    <row r="800" spans="2:49" x14ac:dyDescent="0.25">
      <c r="B800" s="2"/>
      <c r="C800" s="2"/>
      <c r="D800" s="2"/>
      <c r="E800" s="2"/>
      <c r="F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row>
    <row r="801" spans="2:49" x14ac:dyDescent="0.25">
      <c r="B801" s="2"/>
      <c r="C801" s="2"/>
      <c r="D801" s="2"/>
      <c r="E801" s="2"/>
      <c r="F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row>
    <row r="802" spans="2:49" x14ac:dyDescent="0.25">
      <c r="B802" s="2"/>
      <c r="C802" s="2"/>
      <c r="D802" s="2"/>
      <c r="E802" s="2"/>
      <c r="F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row>
    <row r="803" spans="2:49" x14ac:dyDescent="0.25">
      <c r="B803" s="2"/>
      <c r="C803" s="2"/>
      <c r="D803" s="2"/>
      <c r="E803" s="2"/>
      <c r="F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row>
    <row r="804" spans="2:49" x14ac:dyDescent="0.25">
      <c r="B804" s="2"/>
      <c r="C804" s="2"/>
      <c r="D804" s="2"/>
      <c r="E804" s="2"/>
      <c r="F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row>
    <row r="805" spans="2:49" x14ac:dyDescent="0.25">
      <c r="B805" s="2"/>
      <c r="C805" s="2"/>
      <c r="D805" s="2"/>
      <c r="E805" s="2"/>
      <c r="F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row>
    <row r="806" spans="2:49" x14ac:dyDescent="0.25">
      <c r="B806" s="2"/>
      <c r="C806" s="2"/>
      <c r="D806" s="2"/>
      <c r="E806" s="2"/>
      <c r="F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row>
    <row r="807" spans="2:49" x14ac:dyDescent="0.25">
      <c r="B807" s="2"/>
      <c r="C807" s="2"/>
      <c r="D807" s="2"/>
      <c r="E807" s="2"/>
      <c r="F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row>
    <row r="808" spans="2:49" x14ac:dyDescent="0.25">
      <c r="B808" s="2"/>
      <c r="C808" s="2"/>
      <c r="D808" s="2"/>
      <c r="E808" s="2"/>
      <c r="F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row>
    <row r="809" spans="2:49" x14ac:dyDescent="0.25">
      <c r="B809" s="2"/>
      <c r="C809" s="2"/>
      <c r="D809" s="2"/>
      <c r="E809" s="2"/>
      <c r="F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row>
    <row r="810" spans="2:49" x14ac:dyDescent="0.25">
      <c r="B810" s="2"/>
      <c r="C810" s="2"/>
      <c r="D810" s="2"/>
      <c r="E810" s="2"/>
      <c r="F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row>
    <row r="811" spans="2:49" x14ac:dyDescent="0.25">
      <c r="B811" s="2"/>
      <c r="C811" s="2"/>
      <c r="D811" s="2"/>
      <c r="E811" s="2"/>
      <c r="F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row>
    <row r="812" spans="2:49" x14ac:dyDescent="0.25">
      <c r="B812" s="2"/>
      <c r="C812" s="2"/>
      <c r="D812" s="2"/>
      <c r="E812" s="2"/>
      <c r="F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row>
    <row r="813" spans="2:49" x14ac:dyDescent="0.25">
      <c r="B813" s="2"/>
      <c r="C813" s="2"/>
      <c r="D813" s="2"/>
      <c r="E813" s="2"/>
      <c r="F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row>
    <row r="814" spans="2:49" x14ac:dyDescent="0.25">
      <c r="B814" s="2"/>
      <c r="C814" s="2"/>
      <c r="D814" s="2"/>
      <c r="E814" s="2"/>
      <c r="F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row>
    <row r="815" spans="2:49" x14ac:dyDescent="0.25">
      <c r="B815" s="2"/>
      <c r="C815" s="2"/>
      <c r="D815" s="2"/>
      <c r="E815" s="2"/>
      <c r="F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row>
    <row r="816" spans="2:49" x14ac:dyDescent="0.25">
      <c r="B816" s="2"/>
      <c r="C816" s="2"/>
      <c r="D816" s="2"/>
      <c r="E816" s="2"/>
      <c r="F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row>
    <row r="817" spans="2:49" x14ac:dyDescent="0.25">
      <c r="B817" s="2"/>
      <c r="C817" s="2"/>
      <c r="D817" s="2"/>
      <c r="E817" s="2"/>
      <c r="F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row>
    <row r="818" spans="2:49" x14ac:dyDescent="0.25">
      <c r="B818" s="2"/>
      <c r="C818" s="2"/>
      <c r="D818" s="2"/>
      <c r="E818" s="2"/>
      <c r="F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row>
    <row r="819" spans="2:49" x14ac:dyDescent="0.25">
      <c r="B819" s="2"/>
      <c r="C819" s="2"/>
      <c r="D819" s="2"/>
      <c r="E819" s="2"/>
      <c r="F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row>
    <row r="820" spans="2:49" x14ac:dyDescent="0.25">
      <c r="B820" s="2"/>
      <c r="C820" s="2"/>
      <c r="D820" s="2"/>
      <c r="E820" s="2"/>
      <c r="F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row>
    <row r="821" spans="2:49" x14ac:dyDescent="0.25">
      <c r="B821" s="2"/>
      <c r="C821" s="2"/>
      <c r="D821" s="2"/>
      <c r="E821" s="2"/>
      <c r="F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row>
    <row r="822" spans="2:49" x14ac:dyDescent="0.25">
      <c r="B822" s="2"/>
      <c r="C822" s="2"/>
      <c r="D822" s="2"/>
      <c r="E822" s="2"/>
      <c r="F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row>
    <row r="823" spans="2:49" x14ac:dyDescent="0.25">
      <c r="B823" s="2"/>
      <c r="C823" s="2"/>
      <c r="D823" s="2"/>
      <c r="E823" s="2"/>
      <c r="F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row>
    <row r="824" spans="2:49" x14ac:dyDescent="0.25">
      <c r="B824" s="2"/>
      <c r="C824" s="2"/>
      <c r="D824" s="2"/>
      <c r="E824" s="2"/>
      <c r="F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row>
    <row r="825" spans="2:49" x14ac:dyDescent="0.25">
      <c r="B825" s="2"/>
      <c r="C825" s="2"/>
      <c r="D825" s="2"/>
      <c r="E825" s="2"/>
      <c r="F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row>
    <row r="826" spans="2:49" x14ac:dyDescent="0.25">
      <c r="B826" s="2"/>
      <c r="C826" s="2"/>
      <c r="D826" s="2"/>
      <c r="E826" s="2"/>
      <c r="F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row>
    <row r="827" spans="2:49" x14ac:dyDescent="0.25">
      <c r="B827" s="2"/>
      <c r="C827" s="2"/>
      <c r="D827" s="2"/>
      <c r="E827" s="2"/>
      <c r="F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row>
    <row r="828" spans="2:49" x14ac:dyDescent="0.25">
      <c r="B828" s="2"/>
      <c r="C828" s="2"/>
      <c r="D828" s="2"/>
      <c r="E828" s="2"/>
      <c r="F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row>
    <row r="829" spans="2:49" x14ac:dyDescent="0.25">
      <c r="B829" s="2"/>
      <c r="C829" s="2"/>
      <c r="D829" s="2"/>
      <c r="E829" s="2"/>
      <c r="F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row>
    <row r="830" spans="2:49" x14ac:dyDescent="0.25">
      <c r="B830" s="2"/>
      <c r="C830" s="2"/>
      <c r="D830" s="2"/>
      <c r="E830" s="2"/>
      <c r="F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row>
    <row r="831" spans="2:49" x14ac:dyDescent="0.25">
      <c r="B831" s="2"/>
      <c r="C831" s="2"/>
      <c r="D831" s="2"/>
      <c r="E831" s="2"/>
      <c r="F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row>
    <row r="832" spans="2:49" x14ac:dyDescent="0.25">
      <c r="B832" s="2"/>
      <c r="C832" s="2"/>
      <c r="D832" s="2"/>
      <c r="E832" s="2"/>
      <c r="F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row>
    <row r="833" spans="2:49" x14ac:dyDescent="0.25">
      <c r="B833" s="2"/>
      <c r="C833" s="2"/>
      <c r="D833" s="2"/>
      <c r="E833" s="2"/>
      <c r="F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row>
    <row r="834" spans="2:49" x14ac:dyDescent="0.25">
      <c r="B834" s="2"/>
      <c r="C834" s="2"/>
      <c r="D834" s="2"/>
      <c r="E834" s="2"/>
      <c r="F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row>
    <row r="835" spans="2:49" x14ac:dyDescent="0.25">
      <c r="B835" s="2"/>
      <c r="C835" s="2"/>
      <c r="D835" s="2"/>
      <c r="E835" s="2"/>
      <c r="F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row>
    <row r="836" spans="2:49" x14ac:dyDescent="0.25">
      <c r="B836" s="2"/>
      <c r="C836" s="2"/>
      <c r="D836" s="2"/>
      <c r="E836" s="2"/>
      <c r="F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row>
    <row r="837" spans="2:49" x14ac:dyDescent="0.25">
      <c r="B837" s="2"/>
      <c r="C837" s="2"/>
      <c r="D837" s="2"/>
      <c r="E837" s="2"/>
      <c r="F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row>
    <row r="838" spans="2:49" x14ac:dyDescent="0.25">
      <c r="B838" s="2"/>
      <c r="C838" s="2"/>
      <c r="D838" s="2"/>
      <c r="E838" s="2"/>
      <c r="F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row>
    <row r="839" spans="2:49" x14ac:dyDescent="0.25">
      <c r="B839" s="2"/>
      <c r="C839" s="2"/>
      <c r="D839" s="2"/>
      <c r="E839" s="2"/>
      <c r="F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row>
    <row r="840" spans="2:49" x14ac:dyDescent="0.25">
      <c r="B840" s="2"/>
      <c r="C840" s="2"/>
      <c r="D840" s="2"/>
      <c r="E840" s="2"/>
      <c r="F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row>
    <row r="841" spans="2:49" x14ac:dyDescent="0.25">
      <c r="B841" s="2"/>
      <c r="C841" s="2"/>
      <c r="D841" s="2"/>
      <c r="E841" s="2"/>
      <c r="F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row>
    <row r="842" spans="2:49" x14ac:dyDescent="0.25">
      <c r="B842" s="2"/>
      <c r="C842" s="2"/>
      <c r="D842" s="2"/>
      <c r="E842" s="2"/>
      <c r="F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row>
    <row r="843" spans="2:49" x14ac:dyDescent="0.25">
      <c r="B843" s="2"/>
      <c r="C843" s="2"/>
      <c r="D843" s="2"/>
      <c r="E843" s="2"/>
      <c r="F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row>
    <row r="844" spans="2:49" x14ac:dyDescent="0.25">
      <c r="B844" s="2"/>
      <c r="C844" s="2"/>
      <c r="D844" s="2"/>
      <c r="E844" s="2"/>
      <c r="F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row>
    <row r="845" spans="2:49" x14ac:dyDescent="0.25">
      <c r="B845" s="2"/>
      <c r="C845" s="2"/>
      <c r="D845" s="2"/>
      <c r="E845" s="2"/>
      <c r="F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row>
    <row r="846" spans="2:49" x14ac:dyDescent="0.25">
      <c r="B846" s="2"/>
      <c r="C846" s="2"/>
      <c r="D846" s="2"/>
      <c r="E846" s="2"/>
      <c r="F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row>
    <row r="847" spans="2:49" x14ac:dyDescent="0.25">
      <c r="B847" s="2"/>
      <c r="C847" s="2"/>
      <c r="D847" s="2"/>
      <c r="E847" s="2"/>
      <c r="F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row>
    <row r="848" spans="2:49" x14ac:dyDescent="0.25">
      <c r="B848" s="2"/>
      <c r="C848" s="2"/>
      <c r="D848" s="2"/>
      <c r="E848" s="2"/>
      <c r="F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row>
    <row r="849" spans="2:49" x14ac:dyDescent="0.25">
      <c r="B849" s="2"/>
      <c r="C849" s="2"/>
      <c r="D849" s="2"/>
      <c r="E849" s="2"/>
      <c r="F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row>
    <row r="850" spans="2:49" x14ac:dyDescent="0.25">
      <c r="B850" s="2"/>
      <c r="C850" s="2"/>
      <c r="D850" s="2"/>
      <c r="E850" s="2"/>
      <c r="F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row>
    <row r="851" spans="2:49" x14ac:dyDescent="0.25">
      <c r="B851" s="2"/>
      <c r="C851" s="2"/>
      <c r="D851" s="2"/>
      <c r="E851" s="2"/>
      <c r="F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row>
    <row r="852" spans="2:49" x14ac:dyDescent="0.25">
      <c r="B852" s="2"/>
      <c r="C852" s="2"/>
      <c r="D852" s="2"/>
      <c r="E852" s="2"/>
      <c r="F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row>
    <row r="853" spans="2:49" x14ac:dyDescent="0.25">
      <c r="B853" s="2"/>
      <c r="C853" s="2"/>
      <c r="D853" s="2"/>
      <c r="E853" s="2"/>
      <c r="F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row>
    <row r="854" spans="2:49" x14ac:dyDescent="0.25">
      <c r="B854" s="2"/>
      <c r="C854" s="2"/>
      <c r="D854" s="2"/>
      <c r="E854" s="2"/>
      <c r="F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row>
    <row r="855" spans="2:49" x14ac:dyDescent="0.25">
      <c r="B855" s="2"/>
      <c r="C855" s="2"/>
      <c r="D855" s="2"/>
      <c r="E855" s="2"/>
      <c r="F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row>
    <row r="856" spans="2:49" x14ac:dyDescent="0.25">
      <c r="B856" s="2"/>
      <c r="C856" s="2"/>
      <c r="D856" s="2"/>
      <c r="E856" s="2"/>
      <c r="F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row>
    <row r="857" spans="2:49" x14ac:dyDescent="0.25">
      <c r="B857" s="2"/>
      <c r="C857" s="2"/>
      <c r="D857" s="2"/>
      <c r="E857" s="2"/>
      <c r="F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row>
    <row r="858" spans="2:49" x14ac:dyDescent="0.25">
      <c r="B858" s="2"/>
      <c r="C858" s="2"/>
      <c r="D858" s="2"/>
      <c r="E858" s="2"/>
      <c r="F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row>
    <row r="859" spans="2:49" x14ac:dyDescent="0.25">
      <c r="B859" s="2"/>
      <c r="C859" s="2"/>
      <c r="D859" s="2"/>
      <c r="E859" s="2"/>
      <c r="F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row>
    <row r="860" spans="2:49" x14ac:dyDescent="0.25">
      <c r="B860" s="2"/>
      <c r="C860" s="2"/>
      <c r="D860" s="2"/>
      <c r="E860" s="2"/>
      <c r="F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row>
    <row r="861" spans="2:49" x14ac:dyDescent="0.25">
      <c r="B861" s="2"/>
      <c r="C861" s="2"/>
      <c r="D861" s="2"/>
      <c r="E861" s="2"/>
      <c r="F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row>
    <row r="862" spans="2:49" x14ac:dyDescent="0.25">
      <c r="B862" s="2"/>
      <c r="C862" s="2"/>
      <c r="D862" s="2"/>
      <c r="E862" s="2"/>
      <c r="F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row>
    <row r="863" spans="2:49" x14ac:dyDescent="0.25">
      <c r="B863" s="2"/>
      <c r="C863" s="2"/>
      <c r="D863" s="2"/>
      <c r="E863" s="2"/>
      <c r="F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row>
    <row r="864" spans="2:49" x14ac:dyDescent="0.25">
      <c r="B864" s="2"/>
      <c r="C864" s="2"/>
      <c r="D864" s="2"/>
      <c r="E864" s="2"/>
      <c r="F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row>
    <row r="865" spans="2:49" x14ac:dyDescent="0.25">
      <c r="B865" s="2"/>
      <c r="C865" s="2"/>
      <c r="D865" s="2"/>
      <c r="E865" s="2"/>
      <c r="F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row>
    <row r="866" spans="2:49" x14ac:dyDescent="0.25">
      <c r="B866" s="2"/>
      <c r="C866" s="2"/>
      <c r="D866" s="2"/>
      <c r="E866" s="2"/>
      <c r="F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row>
    <row r="867" spans="2:49" x14ac:dyDescent="0.25">
      <c r="B867" s="2"/>
      <c r="C867" s="2"/>
      <c r="D867" s="2"/>
      <c r="E867" s="2"/>
      <c r="F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row>
    <row r="868" spans="2:49" x14ac:dyDescent="0.25">
      <c r="B868" s="2"/>
      <c r="C868" s="2"/>
      <c r="D868" s="2"/>
      <c r="E868" s="2"/>
      <c r="F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row>
    <row r="869" spans="2:49" x14ac:dyDescent="0.25">
      <c r="B869" s="2"/>
      <c r="C869" s="2"/>
      <c r="D869" s="2"/>
      <c r="E869" s="2"/>
      <c r="F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row>
    <row r="870" spans="2:49" x14ac:dyDescent="0.25">
      <c r="B870" s="2"/>
      <c r="C870" s="2"/>
      <c r="D870" s="2"/>
      <c r="E870" s="2"/>
      <c r="F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row>
    <row r="871" spans="2:49" x14ac:dyDescent="0.25">
      <c r="B871" s="2"/>
      <c r="C871" s="2"/>
      <c r="D871" s="2"/>
      <c r="E871" s="2"/>
      <c r="F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row>
    <row r="872" spans="2:49" x14ac:dyDescent="0.25">
      <c r="B872" s="2"/>
      <c r="C872" s="2"/>
      <c r="D872" s="2"/>
      <c r="E872" s="2"/>
      <c r="F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row>
    <row r="873" spans="2:49" x14ac:dyDescent="0.25">
      <c r="B873" s="2"/>
      <c r="C873" s="2"/>
      <c r="D873" s="2"/>
      <c r="E873" s="2"/>
      <c r="F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row>
    <row r="874" spans="2:49" x14ac:dyDescent="0.25">
      <c r="B874" s="2"/>
      <c r="C874" s="2"/>
      <c r="D874" s="2"/>
      <c r="E874" s="2"/>
      <c r="F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row>
    <row r="875" spans="2:49" x14ac:dyDescent="0.25">
      <c r="B875" s="2"/>
      <c r="C875" s="2"/>
      <c r="D875" s="2"/>
      <c r="E875" s="2"/>
      <c r="F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row>
    <row r="876" spans="2:49" x14ac:dyDescent="0.25">
      <c r="B876" s="2"/>
      <c r="C876" s="2"/>
      <c r="D876" s="2"/>
      <c r="E876" s="2"/>
      <c r="F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row>
    <row r="877" spans="2:49" x14ac:dyDescent="0.25">
      <c r="B877" s="2"/>
      <c r="C877" s="2"/>
      <c r="D877" s="2"/>
      <c r="E877" s="2"/>
      <c r="F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row>
    <row r="878" spans="2:49" x14ac:dyDescent="0.25">
      <c r="B878" s="2"/>
      <c r="C878" s="2"/>
      <c r="D878" s="2"/>
      <c r="E878" s="2"/>
      <c r="F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row>
    <row r="879" spans="2:49" x14ac:dyDescent="0.25">
      <c r="B879" s="2"/>
      <c r="C879" s="2"/>
      <c r="D879" s="2"/>
      <c r="E879" s="2"/>
      <c r="F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row>
    <row r="880" spans="2:49" x14ac:dyDescent="0.25">
      <c r="B880" s="2"/>
      <c r="C880" s="2"/>
      <c r="D880" s="2"/>
      <c r="E880" s="2"/>
      <c r="F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row>
    <row r="881" spans="2:49" x14ac:dyDescent="0.25">
      <c r="B881" s="2"/>
      <c r="C881" s="2"/>
      <c r="D881" s="2"/>
      <c r="E881" s="2"/>
      <c r="F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row>
    <row r="882" spans="2:49" x14ac:dyDescent="0.25">
      <c r="B882" s="2"/>
      <c r="C882" s="2"/>
      <c r="D882" s="2"/>
      <c r="E882" s="2"/>
      <c r="F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row>
    <row r="883" spans="2:49" x14ac:dyDescent="0.25">
      <c r="B883" s="2"/>
      <c r="C883" s="2"/>
      <c r="D883" s="2"/>
      <c r="E883" s="2"/>
      <c r="F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row>
    <row r="884" spans="2:49" x14ac:dyDescent="0.25">
      <c r="B884" s="2"/>
      <c r="C884" s="2"/>
      <c r="D884" s="2"/>
      <c r="E884" s="2"/>
      <c r="F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row>
    <row r="885" spans="2:49" x14ac:dyDescent="0.25">
      <c r="B885" s="2"/>
      <c r="C885" s="2"/>
      <c r="D885" s="2"/>
      <c r="E885" s="2"/>
      <c r="F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row>
    <row r="886" spans="2:49" x14ac:dyDescent="0.25">
      <c r="B886" s="2"/>
      <c r="C886" s="2"/>
      <c r="D886" s="2"/>
      <c r="E886" s="2"/>
      <c r="F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row>
    <row r="887" spans="2:49" x14ac:dyDescent="0.25">
      <c r="B887" s="2"/>
      <c r="C887" s="2"/>
      <c r="D887" s="2"/>
      <c r="E887" s="2"/>
      <c r="F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row>
    <row r="888" spans="2:49" x14ac:dyDescent="0.25">
      <c r="B888" s="2"/>
      <c r="C888" s="2"/>
      <c r="D888" s="2"/>
      <c r="E888" s="2"/>
      <c r="F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row>
    <row r="889" spans="2:49" x14ac:dyDescent="0.25">
      <c r="B889" s="2"/>
      <c r="C889" s="2"/>
      <c r="D889" s="2"/>
      <c r="E889" s="2"/>
      <c r="F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row>
    <row r="890" spans="2:49" x14ac:dyDescent="0.25">
      <c r="B890" s="2"/>
      <c r="C890" s="2"/>
      <c r="D890" s="2"/>
      <c r="E890" s="2"/>
      <c r="F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row>
    <row r="891" spans="2:49" x14ac:dyDescent="0.25">
      <c r="B891" s="2"/>
      <c r="C891" s="2"/>
      <c r="D891" s="2"/>
      <c r="E891" s="2"/>
      <c r="F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row>
    <row r="892" spans="2:49" x14ac:dyDescent="0.25">
      <c r="B892" s="2"/>
      <c r="C892" s="2"/>
      <c r="D892" s="2"/>
      <c r="E892" s="2"/>
      <c r="F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row>
    <row r="893" spans="2:49" x14ac:dyDescent="0.25">
      <c r="B893" s="2"/>
      <c r="C893" s="2"/>
      <c r="D893" s="2"/>
      <c r="E893" s="2"/>
      <c r="F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row>
    <row r="894" spans="2:49" x14ac:dyDescent="0.25">
      <c r="B894" s="2"/>
      <c r="C894" s="2"/>
      <c r="D894" s="2"/>
      <c r="E894" s="2"/>
      <c r="F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row>
    <row r="895" spans="2:49" x14ac:dyDescent="0.25">
      <c r="B895" s="2"/>
      <c r="C895" s="2"/>
      <c r="D895" s="2"/>
      <c r="E895" s="2"/>
      <c r="F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row>
    <row r="896" spans="2:49" x14ac:dyDescent="0.25">
      <c r="B896" s="2"/>
      <c r="C896" s="2"/>
      <c r="D896" s="2"/>
      <c r="E896" s="2"/>
      <c r="F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row>
    <row r="897" spans="2:49" x14ac:dyDescent="0.25">
      <c r="B897" s="2"/>
      <c r="C897" s="2"/>
      <c r="D897" s="2"/>
      <c r="E897" s="2"/>
      <c r="F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row>
    <row r="898" spans="2:49" x14ac:dyDescent="0.25">
      <c r="B898" s="2"/>
      <c r="C898" s="2"/>
      <c r="D898" s="2"/>
      <c r="E898" s="2"/>
      <c r="F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row>
    <row r="899" spans="2:49" x14ac:dyDescent="0.25">
      <c r="B899" s="2"/>
      <c r="C899" s="2"/>
      <c r="D899" s="2"/>
      <c r="E899" s="2"/>
      <c r="F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row>
    <row r="900" spans="2:49" x14ac:dyDescent="0.25">
      <c r="B900" s="2"/>
      <c r="C900" s="2"/>
      <c r="D900" s="2"/>
      <c r="E900" s="2"/>
      <c r="F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row>
    <row r="901" spans="2:49" x14ac:dyDescent="0.25">
      <c r="B901" s="2"/>
      <c r="C901" s="2"/>
      <c r="D901" s="2"/>
      <c r="E901" s="2"/>
      <c r="F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row>
    <row r="902" spans="2:49" x14ac:dyDescent="0.25">
      <c r="B902" s="2"/>
      <c r="C902" s="2"/>
      <c r="D902" s="2"/>
      <c r="E902" s="2"/>
      <c r="F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row>
    <row r="903" spans="2:49" x14ac:dyDescent="0.25">
      <c r="B903" s="2"/>
      <c r="C903" s="2"/>
      <c r="D903" s="2"/>
      <c r="E903" s="2"/>
      <c r="F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row>
    <row r="904" spans="2:49" x14ac:dyDescent="0.25">
      <c r="B904" s="2"/>
      <c r="C904" s="2"/>
      <c r="D904" s="2"/>
      <c r="E904" s="2"/>
      <c r="F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row>
    <row r="905" spans="2:49" x14ac:dyDescent="0.25">
      <c r="B905" s="2"/>
      <c r="C905" s="2"/>
      <c r="D905" s="2"/>
      <c r="E905" s="2"/>
      <c r="F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row>
    <row r="906" spans="2:49" x14ac:dyDescent="0.25">
      <c r="B906" s="2"/>
      <c r="C906" s="2"/>
      <c r="D906" s="2"/>
      <c r="E906" s="2"/>
      <c r="F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row>
    <row r="907" spans="2:49" x14ac:dyDescent="0.25">
      <c r="B907" s="2"/>
      <c r="C907" s="2"/>
      <c r="D907" s="2"/>
      <c r="E907" s="2"/>
      <c r="F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row>
    <row r="908" spans="2:49" x14ac:dyDescent="0.25">
      <c r="B908" s="2"/>
      <c r="C908" s="2"/>
      <c r="D908" s="2"/>
      <c r="E908" s="2"/>
      <c r="F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row>
    <row r="909" spans="2:49" x14ac:dyDescent="0.25">
      <c r="B909" s="2"/>
      <c r="C909" s="2"/>
      <c r="D909" s="2"/>
      <c r="E909" s="2"/>
      <c r="F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row>
    <row r="910" spans="2:49" x14ac:dyDescent="0.25">
      <c r="B910" s="2"/>
      <c r="C910" s="2"/>
      <c r="D910" s="2"/>
      <c r="E910" s="2"/>
      <c r="F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row>
    <row r="911" spans="2:49" x14ac:dyDescent="0.25">
      <c r="B911" s="2"/>
      <c r="C911" s="2"/>
      <c r="D911" s="2"/>
      <c r="E911" s="2"/>
      <c r="F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row>
    <row r="912" spans="2:49" x14ac:dyDescent="0.25">
      <c r="B912" s="2"/>
      <c r="C912" s="2"/>
      <c r="D912" s="2"/>
      <c r="E912" s="2"/>
      <c r="F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row>
    <row r="913" spans="2:49" x14ac:dyDescent="0.25">
      <c r="B913" s="2"/>
      <c r="C913" s="2"/>
      <c r="D913" s="2"/>
      <c r="E913" s="2"/>
      <c r="F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row>
    <row r="914" spans="2:49" x14ac:dyDescent="0.25">
      <c r="B914" s="2"/>
      <c r="C914" s="2"/>
      <c r="D914" s="2"/>
      <c r="E914" s="2"/>
      <c r="F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row>
    <row r="915" spans="2:49" x14ac:dyDescent="0.25">
      <c r="B915" s="2"/>
      <c r="C915" s="2"/>
      <c r="D915" s="2"/>
      <c r="E915" s="2"/>
      <c r="F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row>
    <row r="916" spans="2:49" x14ac:dyDescent="0.25">
      <c r="B916" s="2"/>
      <c r="C916" s="2"/>
      <c r="D916" s="2"/>
      <c r="E916" s="2"/>
      <c r="F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row>
    <row r="917" spans="2:49" x14ac:dyDescent="0.25">
      <c r="B917" s="2"/>
      <c r="C917" s="2"/>
      <c r="D917" s="2"/>
      <c r="E917" s="2"/>
      <c r="F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row>
    <row r="918" spans="2:49" x14ac:dyDescent="0.25">
      <c r="B918" s="2"/>
      <c r="C918" s="2"/>
      <c r="D918" s="2"/>
      <c r="E918" s="2"/>
      <c r="F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row>
    <row r="919" spans="2:49" x14ac:dyDescent="0.25">
      <c r="B919" s="2"/>
      <c r="C919" s="2"/>
      <c r="D919" s="2"/>
      <c r="E919" s="2"/>
      <c r="F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row>
    <row r="920" spans="2:49" x14ac:dyDescent="0.25">
      <c r="B920" s="2"/>
      <c r="C920" s="2"/>
      <c r="D920" s="2"/>
      <c r="E920" s="2"/>
      <c r="F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row>
    <row r="921" spans="2:49" x14ac:dyDescent="0.25">
      <c r="B921" s="2"/>
      <c r="C921" s="2"/>
      <c r="D921" s="2"/>
      <c r="E921" s="2"/>
      <c r="F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row>
    <row r="922" spans="2:49" x14ac:dyDescent="0.25">
      <c r="B922" s="2"/>
      <c r="C922" s="2"/>
      <c r="D922" s="2"/>
      <c r="E922" s="2"/>
      <c r="F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row>
    <row r="923" spans="2:49" x14ac:dyDescent="0.25">
      <c r="B923" s="2"/>
      <c r="C923" s="2"/>
      <c r="D923" s="2"/>
      <c r="E923" s="2"/>
      <c r="F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row>
    <row r="924" spans="2:49" x14ac:dyDescent="0.25">
      <c r="B924" s="2"/>
      <c r="C924" s="2"/>
      <c r="D924" s="2"/>
      <c r="E924" s="2"/>
      <c r="F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row>
    <row r="925" spans="2:49" x14ac:dyDescent="0.25">
      <c r="B925" s="2"/>
      <c r="C925" s="2"/>
      <c r="D925" s="2"/>
      <c r="E925" s="2"/>
      <c r="F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row>
    <row r="926" spans="2:49" x14ac:dyDescent="0.25">
      <c r="B926" s="2"/>
      <c r="C926" s="2"/>
      <c r="D926" s="2"/>
      <c r="E926" s="2"/>
      <c r="F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row>
    <row r="927" spans="2:49" x14ac:dyDescent="0.25">
      <c r="B927" s="2"/>
      <c r="C927" s="2"/>
      <c r="D927" s="2"/>
      <c r="E927" s="2"/>
      <c r="F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row>
    <row r="928" spans="2:49" x14ac:dyDescent="0.25">
      <c r="B928" s="2"/>
      <c r="C928" s="2"/>
      <c r="D928" s="2"/>
      <c r="E928" s="2"/>
      <c r="F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row>
    <row r="929" spans="2:49" x14ac:dyDescent="0.25">
      <c r="B929" s="2"/>
      <c r="C929" s="2"/>
      <c r="D929" s="2"/>
      <c r="E929" s="2"/>
      <c r="F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row>
    <row r="930" spans="2:49" x14ac:dyDescent="0.25">
      <c r="B930" s="2"/>
      <c r="C930" s="2"/>
      <c r="D930" s="2"/>
      <c r="E930" s="2"/>
      <c r="F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row>
    <row r="931" spans="2:49" x14ac:dyDescent="0.25">
      <c r="B931" s="2"/>
      <c r="C931" s="2"/>
      <c r="D931" s="2"/>
      <c r="E931" s="2"/>
      <c r="F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row>
    <row r="932" spans="2:49" x14ac:dyDescent="0.25">
      <c r="B932" s="2"/>
      <c r="C932" s="2"/>
      <c r="D932" s="2"/>
      <c r="E932" s="2"/>
      <c r="F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row>
    <row r="933" spans="2:49" x14ac:dyDescent="0.25">
      <c r="B933" s="2"/>
      <c r="C933" s="2"/>
      <c r="D933" s="2"/>
      <c r="E933" s="2"/>
      <c r="F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row>
    <row r="934" spans="2:49" x14ac:dyDescent="0.25">
      <c r="B934" s="2"/>
      <c r="C934" s="2"/>
      <c r="D934" s="2"/>
      <c r="E934" s="2"/>
      <c r="F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row>
    <row r="935" spans="2:49" x14ac:dyDescent="0.25">
      <c r="B935" s="2"/>
      <c r="C935" s="2"/>
      <c r="D935" s="2"/>
      <c r="E935" s="2"/>
      <c r="F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row>
    <row r="936" spans="2:49" x14ac:dyDescent="0.25">
      <c r="B936" s="2"/>
      <c r="C936" s="2"/>
      <c r="D936" s="2"/>
      <c r="E936" s="2"/>
      <c r="F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row>
    <row r="937" spans="2:49" x14ac:dyDescent="0.25">
      <c r="B937" s="2"/>
      <c r="C937" s="2"/>
      <c r="D937" s="2"/>
      <c r="E937" s="2"/>
      <c r="F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row>
    <row r="938" spans="2:49" x14ac:dyDescent="0.25">
      <c r="B938" s="2"/>
      <c r="C938" s="2"/>
      <c r="D938" s="2"/>
      <c r="E938" s="2"/>
      <c r="F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row>
    <row r="939" spans="2:49" x14ac:dyDescent="0.25">
      <c r="B939" s="2"/>
      <c r="C939" s="2"/>
      <c r="D939" s="2"/>
      <c r="E939" s="2"/>
      <c r="F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row>
    <row r="940" spans="2:49" x14ac:dyDescent="0.25">
      <c r="B940" s="2"/>
      <c r="C940" s="2"/>
      <c r="D940" s="2"/>
      <c r="E940" s="2"/>
      <c r="F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row>
    <row r="941" spans="2:49" x14ac:dyDescent="0.25">
      <c r="B941" s="2"/>
      <c r="C941" s="2"/>
      <c r="D941" s="2"/>
      <c r="E941" s="2"/>
      <c r="F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row>
    <row r="942" spans="2:49" x14ac:dyDescent="0.25">
      <c r="B942" s="2"/>
      <c r="C942" s="2"/>
      <c r="D942" s="2"/>
      <c r="E942" s="2"/>
      <c r="F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row>
    <row r="943" spans="2:49" x14ac:dyDescent="0.25">
      <c r="B943" s="2"/>
      <c r="C943" s="2"/>
      <c r="D943" s="2"/>
      <c r="E943" s="2"/>
      <c r="F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row>
    <row r="944" spans="2:49" x14ac:dyDescent="0.25">
      <c r="B944" s="2"/>
      <c r="C944" s="2"/>
      <c r="D944" s="2"/>
      <c r="E944" s="2"/>
      <c r="F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row>
    <row r="945" spans="2:49" x14ac:dyDescent="0.25">
      <c r="B945" s="2"/>
      <c r="C945" s="2"/>
      <c r="D945" s="2"/>
      <c r="E945" s="2"/>
      <c r="F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row>
    <row r="946" spans="2:49" x14ac:dyDescent="0.25">
      <c r="B946" s="2"/>
      <c r="C946" s="2"/>
      <c r="D946" s="2"/>
      <c r="E946" s="2"/>
      <c r="F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row>
    <row r="947" spans="2:49" x14ac:dyDescent="0.25">
      <c r="B947" s="2"/>
      <c r="C947" s="2"/>
      <c r="D947" s="2"/>
      <c r="E947" s="2"/>
      <c r="F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row>
    <row r="948" spans="2:49" x14ac:dyDescent="0.25">
      <c r="B948" s="2"/>
      <c r="C948" s="2"/>
      <c r="D948" s="2"/>
      <c r="E948" s="2"/>
      <c r="F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row>
    <row r="949" spans="2:49" x14ac:dyDescent="0.25">
      <c r="B949" s="2"/>
      <c r="C949" s="2"/>
      <c r="D949" s="2"/>
      <c r="E949" s="2"/>
      <c r="F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row>
    <row r="950" spans="2:49" x14ac:dyDescent="0.25">
      <c r="B950" s="2"/>
      <c r="C950" s="2"/>
      <c r="D950" s="2"/>
      <c r="E950" s="2"/>
      <c r="F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row>
    <row r="951" spans="2:49" x14ac:dyDescent="0.25">
      <c r="B951" s="2"/>
      <c r="C951" s="2"/>
      <c r="D951" s="2"/>
      <c r="E951" s="2"/>
      <c r="F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row>
    <row r="952" spans="2:49" x14ac:dyDescent="0.25">
      <c r="B952" s="2"/>
      <c r="C952" s="2"/>
      <c r="D952" s="2"/>
      <c r="E952" s="2"/>
      <c r="F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row>
    <row r="953" spans="2:49" x14ac:dyDescent="0.25">
      <c r="B953" s="2"/>
      <c r="C953" s="2"/>
      <c r="D953" s="2"/>
      <c r="E953" s="2"/>
      <c r="F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row>
    <row r="954" spans="2:49" x14ac:dyDescent="0.25">
      <c r="B954" s="2"/>
      <c r="C954" s="2"/>
      <c r="D954" s="2"/>
      <c r="E954" s="2"/>
      <c r="F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row>
    <row r="955" spans="2:49" x14ac:dyDescent="0.25">
      <c r="B955" s="2"/>
      <c r="C955" s="2"/>
      <c r="D955" s="2"/>
      <c r="E955" s="2"/>
      <c r="F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row>
    <row r="956" spans="2:49" x14ac:dyDescent="0.25">
      <c r="B956" s="2"/>
      <c r="C956" s="2"/>
      <c r="D956" s="2"/>
      <c r="E956" s="2"/>
      <c r="F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row>
    <row r="957" spans="2:49" x14ac:dyDescent="0.25">
      <c r="B957" s="2"/>
      <c r="C957" s="2"/>
      <c r="D957" s="2"/>
      <c r="E957" s="2"/>
      <c r="F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row>
    <row r="958" spans="2:49" x14ac:dyDescent="0.25">
      <c r="B958" s="2"/>
      <c r="C958" s="2"/>
      <c r="D958" s="2"/>
      <c r="E958" s="2"/>
      <c r="F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row>
    <row r="959" spans="2:49" x14ac:dyDescent="0.25">
      <c r="B959" s="2"/>
      <c r="C959" s="2"/>
      <c r="D959" s="2"/>
      <c r="E959" s="2"/>
      <c r="F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row>
    <row r="960" spans="2:49" x14ac:dyDescent="0.25">
      <c r="B960" s="2"/>
      <c r="C960" s="2"/>
      <c r="D960" s="2"/>
      <c r="E960" s="2"/>
      <c r="F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row>
    <row r="961" spans="2:49" x14ac:dyDescent="0.25">
      <c r="B961" s="2"/>
      <c r="C961" s="2"/>
      <c r="D961" s="2"/>
      <c r="E961" s="2"/>
      <c r="F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row>
    <row r="962" spans="2:49" x14ac:dyDescent="0.25">
      <c r="B962" s="2"/>
      <c r="C962" s="2"/>
      <c r="D962" s="2"/>
      <c r="E962" s="2"/>
      <c r="F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row>
    <row r="963" spans="2:49" x14ac:dyDescent="0.25">
      <c r="B963" s="2"/>
      <c r="C963" s="2"/>
      <c r="D963" s="2"/>
      <c r="E963" s="2"/>
      <c r="F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row>
    <row r="964" spans="2:49" x14ac:dyDescent="0.25">
      <c r="B964" s="2"/>
      <c r="C964" s="2"/>
      <c r="D964" s="2"/>
      <c r="E964" s="2"/>
      <c r="F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row>
    <row r="965" spans="2:49" x14ac:dyDescent="0.25">
      <c r="B965" s="2"/>
      <c r="C965" s="2"/>
      <c r="D965" s="2"/>
      <c r="E965" s="2"/>
      <c r="F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row>
    <row r="966" spans="2:49" x14ac:dyDescent="0.25">
      <c r="B966" s="2"/>
      <c r="C966" s="2"/>
      <c r="D966" s="2"/>
      <c r="E966" s="2"/>
      <c r="F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row>
    <row r="967" spans="2:49" x14ac:dyDescent="0.25">
      <c r="B967" s="2"/>
      <c r="C967" s="2"/>
      <c r="D967" s="2"/>
      <c r="E967" s="2"/>
      <c r="F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row>
    <row r="968" spans="2:49" x14ac:dyDescent="0.25">
      <c r="B968" s="2"/>
      <c r="C968" s="2"/>
      <c r="D968" s="2"/>
      <c r="E968" s="2"/>
      <c r="F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row>
    <row r="969" spans="2:49" x14ac:dyDescent="0.25">
      <c r="B969" s="2"/>
      <c r="C969" s="2"/>
      <c r="D969" s="2"/>
      <c r="E969" s="2"/>
      <c r="F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row>
    <row r="970" spans="2:49" x14ac:dyDescent="0.25">
      <c r="B970" s="2"/>
      <c r="C970" s="2"/>
      <c r="D970" s="2"/>
      <c r="E970" s="2"/>
      <c r="F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row>
    <row r="971" spans="2:49" x14ac:dyDescent="0.25">
      <c r="B971" s="2"/>
      <c r="C971" s="2"/>
      <c r="D971" s="2"/>
      <c r="E971" s="2"/>
      <c r="F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row>
    <row r="972" spans="2:49" x14ac:dyDescent="0.25">
      <c r="B972" s="2"/>
      <c r="C972" s="2"/>
      <c r="D972" s="2"/>
      <c r="E972" s="2"/>
      <c r="F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row>
    <row r="973" spans="2:49" x14ac:dyDescent="0.25">
      <c r="B973" s="2"/>
      <c r="C973" s="2"/>
      <c r="D973" s="2"/>
      <c r="E973" s="2"/>
      <c r="F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row>
    <row r="974" spans="2:49" x14ac:dyDescent="0.25">
      <c r="B974" s="2"/>
      <c r="C974" s="2"/>
      <c r="D974" s="2"/>
      <c r="E974" s="2"/>
      <c r="F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row>
    <row r="975" spans="2:49" x14ac:dyDescent="0.25">
      <c r="B975" s="2"/>
      <c r="C975" s="2"/>
      <c r="D975" s="2"/>
      <c r="E975" s="2"/>
      <c r="F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row>
    <row r="976" spans="2:49" x14ac:dyDescent="0.25">
      <c r="B976" s="2"/>
      <c r="C976" s="2"/>
      <c r="D976" s="2"/>
      <c r="E976" s="2"/>
      <c r="F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row>
    <row r="977" spans="2:49" x14ac:dyDescent="0.25">
      <c r="B977" s="2"/>
      <c r="C977" s="2"/>
      <c r="D977" s="2"/>
      <c r="E977" s="2"/>
      <c r="F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row>
    <row r="978" spans="2:49" x14ac:dyDescent="0.25">
      <c r="B978" s="2"/>
      <c r="C978" s="2"/>
      <c r="D978" s="2"/>
      <c r="E978" s="2"/>
      <c r="F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row>
    <row r="979" spans="2:49" x14ac:dyDescent="0.25">
      <c r="B979" s="2"/>
      <c r="C979" s="2"/>
      <c r="D979" s="2"/>
      <c r="E979" s="2"/>
      <c r="F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row>
    <row r="980" spans="2:49" x14ac:dyDescent="0.25">
      <c r="B980" s="2"/>
      <c r="C980" s="2"/>
      <c r="D980" s="2"/>
      <c r="E980" s="2"/>
      <c r="F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row>
    <row r="981" spans="2:49" x14ac:dyDescent="0.25">
      <c r="B981" s="2"/>
      <c r="C981" s="2"/>
      <c r="D981" s="2"/>
      <c r="E981" s="2"/>
      <c r="F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row>
    <row r="982" spans="2:49" x14ac:dyDescent="0.25">
      <c r="B982" s="2"/>
      <c r="C982" s="2"/>
      <c r="D982" s="2"/>
      <c r="E982" s="2"/>
      <c r="F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row>
    <row r="983" spans="2:49" x14ac:dyDescent="0.25">
      <c r="B983" s="2"/>
      <c r="C983" s="2"/>
      <c r="D983" s="2"/>
      <c r="E983" s="2"/>
      <c r="F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row>
    <row r="984" spans="2:49" x14ac:dyDescent="0.25">
      <c r="B984" s="2"/>
      <c r="C984" s="2"/>
      <c r="D984" s="2"/>
      <c r="E984" s="2"/>
      <c r="F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row>
    <row r="985" spans="2:49" x14ac:dyDescent="0.25">
      <c r="B985" s="2"/>
      <c r="C985" s="2"/>
      <c r="D985" s="2"/>
      <c r="E985" s="2"/>
      <c r="F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row>
    <row r="986" spans="2:49" x14ac:dyDescent="0.25">
      <c r="B986" s="2"/>
      <c r="C986" s="2"/>
      <c r="D986" s="2"/>
      <c r="E986" s="2"/>
      <c r="F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row>
    <row r="987" spans="2:49" x14ac:dyDescent="0.25">
      <c r="B987" s="2"/>
      <c r="C987" s="2"/>
      <c r="D987" s="2"/>
      <c r="E987" s="2"/>
      <c r="F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row>
    <row r="988" spans="2:49" x14ac:dyDescent="0.25">
      <c r="B988" s="2"/>
      <c r="C988" s="2"/>
      <c r="D988" s="2"/>
      <c r="E988" s="2"/>
      <c r="F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row>
    <row r="989" spans="2:49" x14ac:dyDescent="0.25">
      <c r="B989" s="2"/>
      <c r="C989" s="2"/>
      <c r="D989" s="2"/>
      <c r="E989" s="2"/>
      <c r="F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row>
    <row r="990" spans="2:49" x14ac:dyDescent="0.25">
      <c r="B990" s="2"/>
      <c r="C990" s="2"/>
      <c r="D990" s="2"/>
      <c r="E990" s="2"/>
      <c r="F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row>
    <row r="991" spans="2:49" x14ac:dyDescent="0.25">
      <c r="B991" s="2"/>
      <c r="C991" s="2"/>
      <c r="D991" s="2"/>
      <c r="E991" s="2"/>
      <c r="F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row>
    <row r="992" spans="2:49" x14ac:dyDescent="0.25">
      <c r="B992" s="2"/>
      <c r="C992" s="2"/>
      <c r="D992" s="2"/>
      <c r="E992" s="2"/>
      <c r="F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row>
    <row r="993" spans="2:49" x14ac:dyDescent="0.25">
      <c r="B993" s="2"/>
      <c r="C993" s="2"/>
      <c r="D993" s="2"/>
      <c r="E993" s="2"/>
      <c r="F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row>
    <row r="994" spans="2:49" x14ac:dyDescent="0.25">
      <c r="B994" s="2"/>
      <c r="C994" s="2"/>
      <c r="D994" s="2"/>
      <c r="E994" s="2"/>
      <c r="F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row>
    <row r="995" spans="2:49" x14ac:dyDescent="0.25">
      <c r="B995" s="2"/>
      <c r="C995" s="2"/>
      <c r="D995" s="2"/>
      <c r="E995" s="2"/>
      <c r="F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row>
    <row r="996" spans="2:49" x14ac:dyDescent="0.25">
      <c r="B996" s="2"/>
      <c r="C996" s="2"/>
      <c r="D996" s="2"/>
      <c r="E996" s="2"/>
      <c r="F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row>
    <row r="997" spans="2:49" x14ac:dyDescent="0.25">
      <c r="B997" s="2"/>
      <c r="C997" s="2"/>
      <c r="D997" s="2"/>
      <c r="E997" s="2"/>
      <c r="F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row>
    <row r="998" spans="2:49" x14ac:dyDescent="0.25">
      <c r="B998" s="2"/>
      <c r="C998" s="2"/>
      <c r="D998" s="2"/>
      <c r="E998" s="2"/>
      <c r="F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row>
    <row r="999" spans="2:49" x14ac:dyDescent="0.25">
      <c r="B999" s="2"/>
      <c r="C999" s="2"/>
      <c r="D999" s="2"/>
      <c r="E999" s="2"/>
      <c r="F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row>
    <row r="1000" spans="2:49" x14ac:dyDescent="0.25">
      <c r="B1000" s="2"/>
      <c r="C1000" s="2"/>
      <c r="D1000" s="2"/>
      <c r="E1000" s="2"/>
      <c r="F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row>
    <row r="1001" spans="2:49" x14ac:dyDescent="0.25">
      <c r="B1001" s="2"/>
      <c r="C1001" s="2"/>
      <c r="D1001" s="2"/>
      <c r="E1001" s="2"/>
      <c r="F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row>
    <row r="1002" spans="2:49" x14ac:dyDescent="0.25">
      <c r="B1002" s="2"/>
      <c r="C1002" s="2"/>
      <c r="D1002" s="2"/>
      <c r="E1002" s="2"/>
      <c r="F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row>
    <row r="1003" spans="2:49" x14ac:dyDescent="0.25">
      <c r="B1003" s="2"/>
      <c r="C1003" s="2"/>
      <c r="D1003" s="2"/>
      <c r="E1003" s="2"/>
      <c r="F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row>
    <row r="1004" spans="2:49" x14ac:dyDescent="0.25">
      <c r="B1004" s="2"/>
      <c r="C1004" s="2"/>
      <c r="D1004" s="2"/>
      <c r="E1004" s="2"/>
      <c r="F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row>
    <row r="1005" spans="2:49" x14ac:dyDescent="0.25">
      <c r="B1005" s="2"/>
      <c r="C1005" s="2"/>
      <c r="D1005" s="2"/>
      <c r="E1005" s="2"/>
      <c r="F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row>
    <row r="1006" spans="2:49" x14ac:dyDescent="0.25">
      <c r="B1006" s="2"/>
      <c r="C1006" s="2"/>
      <c r="D1006" s="2"/>
      <c r="E1006" s="2"/>
      <c r="F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row>
    <row r="1007" spans="2:49" x14ac:dyDescent="0.25">
      <c r="B1007" s="2"/>
      <c r="C1007" s="2"/>
      <c r="D1007" s="2"/>
      <c r="E1007" s="2"/>
      <c r="F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row>
    <row r="1008" spans="2:49" x14ac:dyDescent="0.25">
      <c r="B1008" s="2"/>
      <c r="C1008" s="2"/>
      <c r="D1008" s="2"/>
      <c r="E1008" s="2"/>
      <c r="F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row>
    <row r="1009" spans="2:49" x14ac:dyDescent="0.25">
      <c r="B1009" s="2"/>
      <c r="C1009" s="2"/>
      <c r="D1009" s="2"/>
      <c r="E1009" s="2"/>
      <c r="F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row>
    <row r="1010" spans="2:49" x14ac:dyDescent="0.25">
      <c r="B1010" s="2"/>
      <c r="C1010" s="2"/>
      <c r="D1010" s="2"/>
      <c r="E1010" s="2"/>
      <c r="F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row>
    <row r="1011" spans="2:49" x14ac:dyDescent="0.25">
      <c r="B1011" s="2"/>
      <c r="C1011" s="2"/>
      <c r="D1011" s="2"/>
      <c r="E1011" s="2"/>
      <c r="F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row>
    <row r="1012" spans="2:49" x14ac:dyDescent="0.25">
      <c r="B1012" s="2"/>
      <c r="C1012" s="2"/>
      <c r="D1012" s="2"/>
      <c r="E1012" s="2"/>
      <c r="F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row>
    <row r="1013" spans="2:49" x14ac:dyDescent="0.25">
      <c r="B1013" s="2"/>
      <c r="C1013" s="2"/>
      <c r="D1013" s="2"/>
      <c r="E1013" s="2"/>
      <c r="F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row>
    <row r="1014" spans="2:49" x14ac:dyDescent="0.25">
      <c r="B1014" s="2"/>
      <c r="C1014" s="2"/>
      <c r="D1014" s="2"/>
      <c r="E1014" s="2"/>
      <c r="F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row>
    <row r="1015" spans="2:49" x14ac:dyDescent="0.25">
      <c r="B1015" s="2"/>
      <c r="C1015" s="2"/>
      <c r="D1015" s="2"/>
      <c r="E1015" s="2"/>
      <c r="F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row>
    <row r="1016" spans="2:49" x14ac:dyDescent="0.25">
      <c r="B1016" s="2"/>
      <c r="C1016" s="2"/>
      <c r="D1016" s="2"/>
      <c r="E1016" s="2"/>
      <c r="F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row>
    <row r="1017" spans="2:49" x14ac:dyDescent="0.25">
      <c r="B1017" s="2"/>
      <c r="C1017" s="2"/>
      <c r="D1017" s="2"/>
      <c r="E1017" s="2"/>
      <c r="F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row>
    <row r="1018" spans="2:49" x14ac:dyDescent="0.25">
      <c r="B1018" s="2"/>
      <c r="C1018" s="2"/>
      <c r="D1018" s="2"/>
      <c r="E1018" s="2"/>
      <c r="F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row>
    <row r="1019" spans="2:49" x14ac:dyDescent="0.25">
      <c r="B1019" s="2"/>
      <c r="C1019" s="2"/>
      <c r="D1019" s="2"/>
      <c r="E1019" s="2"/>
      <c r="F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row>
    <row r="1020" spans="2:49" x14ac:dyDescent="0.25">
      <c r="B1020" s="2"/>
      <c r="C1020" s="2"/>
      <c r="D1020" s="2"/>
      <c r="E1020" s="2"/>
      <c r="F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row>
    <row r="1021" spans="2:49" x14ac:dyDescent="0.25">
      <c r="B1021" s="2"/>
      <c r="C1021" s="2"/>
      <c r="D1021" s="2"/>
      <c r="E1021" s="2"/>
      <c r="F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row>
    <row r="1022" spans="2:49" x14ac:dyDescent="0.25">
      <c r="B1022" s="2"/>
      <c r="C1022" s="2"/>
      <c r="D1022" s="2"/>
      <c r="E1022" s="2"/>
      <c r="F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row>
    <row r="1023" spans="2:49" x14ac:dyDescent="0.25">
      <c r="B1023" s="2"/>
      <c r="C1023" s="2"/>
      <c r="D1023" s="2"/>
      <c r="E1023" s="2"/>
      <c r="F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row>
    <row r="1024" spans="2:49" x14ac:dyDescent="0.25">
      <c r="B1024" s="2"/>
      <c r="C1024" s="2"/>
      <c r="D1024" s="2"/>
      <c r="E1024" s="2"/>
      <c r="F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row>
    <row r="1025" spans="2:49" x14ac:dyDescent="0.25">
      <c r="B1025" s="2"/>
      <c r="C1025" s="2"/>
      <c r="D1025" s="2"/>
      <c r="E1025" s="2"/>
      <c r="F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row>
    <row r="1026" spans="2:49" x14ac:dyDescent="0.25">
      <c r="B1026" s="2"/>
      <c r="C1026" s="2"/>
      <c r="D1026" s="2"/>
      <c r="E1026" s="2"/>
      <c r="F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row>
    <row r="1027" spans="2:49" x14ac:dyDescent="0.25">
      <c r="B1027" s="2"/>
      <c r="C1027" s="2"/>
      <c r="D1027" s="2"/>
      <c r="E1027" s="2"/>
      <c r="F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row>
    <row r="1028" spans="2:49" x14ac:dyDescent="0.25">
      <c r="B1028" s="2"/>
      <c r="C1028" s="2"/>
      <c r="D1028" s="2"/>
      <c r="E1028" s="2"/>
      <c r="F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row>
    <row r="1029" spans="2:49" x14ac:dyDescent="0.25">
      <c r="B1029" s="2"/>
      <c r="C1029" s="2"/>
      <c r="D1029" s="2"/>
      <c r="E1029" s="2"/>
      <c r="F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row>
    <row r="1030" spans="2:49" x14ac:dyDescent="0.25">
      <c r="B1030" s="2"/>
      <c r="C1030" s="2"/>
      <c r="D1030" s="2"/>
      <c r="E1030" s="2"/>
      <c r="F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row>
    <row r="1031" spans="2:49" x14ac:dyDescent="0.25">
      <c r="B1031" s="2"/>
      <c r="C1031" s="2"/>
      <c r="D1031" s="2"/>
      <c r="E1031" s="2"/>
      <c r="F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row>
    <row r="1032" spans="2:49" x14ac:dyDescent="0.25">
      <c r="B1032" s="2"/>
      <c r="C1032" s="2"/>
      <c r="D1032" s="2"/>
      <c r="E1032" s="2"/>
      <c r="F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row>
    <row r="1033" spans="2:49" x14ac:dyDescent="0.25">
      <c r="B1033" s="2"/>
      <c r="C1033" s="2"/>
      <c r="D1033" s="2"/>
      <c r="E1033" s="2"/>
      <c r="F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row>
    <row r="1034" spans="2:49" x14ac:dyDescent="0.25">
      <c r="B1034" s="2"/>
      <c r="C1034" s="2"/>
      <c r="D1034" s="2"/>
      <c r="E1034" s="2"/>
      <c r="F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row>
    <row r="1035" spans="2:49" x14ac:dyDescent="0.25">
      <c r="B1035" s="2"/>
      <c r="C1035" s="2"/>
      <c r="D1035" s="2"/>
      <c r="E1035" s="2"/>
      <c r="F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row>
    <row r="1036" spans="2:49" x14ac:dyDescent="0.25">
      <c r="B1036" s="2"/>
      <c r="C1036" s="2"/>
      <c r="D1036" s="2"/>
      <c r="E1036" s="2"/>
      <c r="F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row>
    <row r="1037" spans="2:49" x14ac:dyDescent="0.25">
      <c r="B1037" s="2"/>
      <c r="C1037" s="2"/>
      <c r="D1037" s="2"/>
      <c r="E1037" s="2"/>
      <c r="F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row>
    <row r="1038" spans="2:49" x14ac:dyDescent="0.25">
      <c r="B1038" s="2"/>
      <c r="C1038" s="2"/>
      <c r="D1038" s="2"/>
      <c r="E1038" s="2"/>
      <c r="F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row>
    <row r="1039" spans="2:49" x14ac:dyDescent="0.25">
      <c r="B1039" s="2"/>
      <c r="C1039" s="2"/>
      <c r="D1039" s="2"/>
      <c r="E1039" s="2"/>
      <c r="F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row>
    <row r="1040" spans="2:49" x14ac:dyDescent="0.25">
      <c r="B1040" s="2"/>
      <c r="C1040" s="2"/>
      <c r="D1040" s="2"/>
      <c r="E1040" s="2"/>
      <c r="F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row>
    <row r="1041" spans="2:49" x14ac:dyDescent="0.25">
      <c r="B1041" s="2"/>
      <c r="C1041" s="2"/>
      <c r="D1041" s="2"/>
      <c r="E1041" s="2"/>
      <c r="F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row>
    <row r="1042" spans="2:49" x14ac:dyDescent="0.25">
      <c r="B1042" s="2"/>
      <c r="C1042" s="2"/>
      <c r="D1042" s="2"/>
      <c r="E1042" s="2"/>
      <c r="F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row>
    <row r="1043" spans="2:49" x14ac:dyDescent="0.25">
      <c r="B1043" s="2"/>
      <c r="C1043" s="2"/>
      <c r="D1043" s="2"/>
      <c r="E1043" s="2"/>
      <c r="F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row>
    <row r="1044" spans="2:49" x14ac:dyDescent="0.25">
      <c r="B1044" s="2"/>
      <c r="C1044" s="2"/>
      <c r="D1044" s="2"/>
      <c r="E1044" s="2"/>
      <c r="F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row>
    <row r="1045" spans="2:49" x14ac:dyDescent="0.25">
      <c r="B1045" s="2"/>
      <c r="C1045" s="2"/>
      <c r="D1045" s="2"/>
      <c r="E1045" s="2"/>
      <c r="F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row>
    <row r="1046" spans="2:49" x14ac:dyDescent="0.25">
      <c r="B1046" s="2"/>
      <c r="C1046" s="2"/>
      <c r="D1046" s="2"/>
      <c r="E1046" s="2"/>
      <c r="F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row>
    <row r="1047" spans="2:49" x14ac:dyDescent="0.25">
      <c r="B1047" s="2"/>
      <c r="C1047" s="2"/>
      <c r="D1047" s="2"/>
      <c r="E1047" s="2"/>
      <c r="F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row>
    <row r="1048" spans="2:49" x14ac:dyDescent="0.25">
      <c r="B1048" s="2"/>
      <c r="C1048" s="2"/>
      <c r="D1048" s="2"/>
      <c r="E1048" s="2"/>
      <c r="F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row>
    <row r="1049" spans="2:49" x14ac:dyDescent="0.25">
      <c r="B1049" s="2"/>
      <c r="C1049" s="2"/>
      <c r="D1049" s="2"/>
      <c r="E1049" s="2"/>
      <c r="F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row>
    <row r="1050" spans="2:49" x14ac:dyDescent="0.25">
      <c r="B1050" s="2"/>
      <c r="C1050" s="2"/>
      <c r="D1050" s="2"/>
      <c r="E1050" s="2"/>
      <c r="F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row>
    <row r="1051" spans="2:49" x14ac:dyDescent="0.25">
      <c r="B1051" s="2"/>
      <c r="C1051" s="2"/>
      <c r="D1051" s="2"/>
      <c r="E1051" s="2"/>
      <c r="F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row>
    <row r="1052" spans="2:49" x14ac:dyDescent="0.25">
      <c r="B1052" s="2"/>
      <c r="C1052" s="2"/>
      <c r="D1052" s="2"/>
      <c r="E1052" s="2"/>
      <c r="F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row>
    <row r="1053" spans="2:49" x14ac:dyDescent="0.25">
      <c r="B1053" s="2"/>
      <c r="C1053" s="2"/>
      <c r="D1053" s="2"/>
      <c r="E1053" s="2"/>
      <c r="F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row>
    <row r="1054" spans="2:49" x14ac:dyDescent="0.25">
      <c r="B1054" s="2"/>
      <c r="C1054" s="2"/>
      <c r="D1054" s="2"/>
      <c r="E1054" s="2"/>
      <c r="F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row>
    <row r="1055" spans="2:49" x14ac:dyDescent="0.25">
      <c r="B1055" s="2"/>
      <c r="C1055" s="2"/>
      <c r="D1055" s="2"/>
      <c r="E1055" s="2"/>
      <c r="F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row>
    <row r="1056" spans="2:49" x14ac:dyDescent="0.25">
      <c r="B1056" s="2"/>
      <c r="C1056" s="2"/>
      <c r="D1056" s="2"/>
      <c r="E1056" s="2"/>
      <c r="F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row>
    <row r="1057" spans="2:49" x14ac:dyDescent="0.25">
      <c r="B1057" s="2"/>
      <c r="C1057" s="2"/>
      <c r="D1057" s="2"/>
      <c r="E1057" s="2"/>
      <c r="F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row>
    <row r="1058" spans="2:49" x14ac:dyDescent="0.25">
      <c r="B1058" s="2"/>
      <c r="C1058" s="2"/>
      <c r="D1058" s="2"/>
      <c r="E1058" s="2"/>
      <c r="F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row>
    <row r="1059" spans="2:49" x14ac:dyDescent="0.25">
      <c r="B1059" s="2"/>
      <c r="C1059" s="2"/>
      <c r="D1059" s="2"/>
      <c r="E1059" s="2"/>
      <c r="F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row>
    <row r="1060" spans="2:49" x14ac:dyDescent="0.25">
      <c r="B1060" s="2"/>
      <c r="C1060" s="2"/>
      <c r="D1060" s="2"/>
      <c r="E1060" s="2"/>
      <c r="F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row>
    <row r="1061" spans="2:49" x14ac:dyDescent="0.25">
      <c r="B1061" s="2"/>
      <c r="C1061" s="2"/>
      <c r="D1061" s="2"/>
      <c r="E1061" s="2"/>
      <c r="F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row>
    <row r="1062" spans="2:49" x14ac:dyDescent="0.25">
      <c r="B1062" s="2"/>
      <c r="C1062" s="2"/>
      <c r="D1062" s="2"/>
      <c r="E1062" s="2"/>
      <c r="F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row>
    <row r="1063" spans="2:49" x14ac:dyDescent="0.25">
      <c r="B1063" s="2"/>
      <c r="C1063" s="2"/>
      <c r="D1063" s="2"/>
      <c r="E1063" s="2"/>
      <c r="F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row>
    <row r="1064" spans="2:49" x14ac:dyDescent="0.25">
      <c r="B1064" s="2"/>
      <c r="C1064" s="2"/>
      <c r="D1064" s="2"/>
      <c r="E1064" s="2"/>
      <c r="F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row>
    <row r="1065" spans="2:49" x14ac:dyDescent="0.25">
      <c r="B1065" s="2"/>
      <c r="C1065" s="2"/>
      <c r="D1065" s="2"/>
      <c r="E1065" s="2"/>
      <c r="F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row>
    <row r="1066" spans="2:49" x14ac:dyDescent="0.25">
      <c r="B1066" s="2"/>
      <c r="C1066" s="2"/>
      <c r="D1066" s="2"/>
      <c r="E1066" s="2"/>
      <c r="F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row>
    <row r="1067" spans="2:49" x14ac:dyDescent="0.25">
      <c r="B1067" s="2"/>
      <c r="C1067" s="2"/>
      <c r="D1067" s="2"/>
      <c r="E1067" s="2"/>
      <c r="F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row>
    <row r="1068" spans="2:49" x14ac:dyDescent="0.25">
      <c r="B1068" s="2"/>
      <c r="C1068" s="2"/>
      <c r="D1068" s="2"/>
      <c r="E1068" s="2"/>
      <c r="F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row>
    <row r="1069" spans="2:49" x14ac:dyDescent="0.25">
      <c r="B1069" s="2"/>
      <c r="C1069" s="2"/>
      <c r="D1069" s="2"/>
      <c r="E1069" s="2"/>
      <c r="F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row>
    <row r="1070" spans="2:49" x14ac:dyDescent="0.25">
      <c r="B1070" s="2"/>
      <c r="C1070" s="2"/>
      <c r="D1070" s="2"/>
      <c r="E1070" s="2"/>
      <c r="F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row>
    <row r="1071" spans="2:49" x14ac:dyDescent="0.25">
      <c r="B1071" s="2"/>
      <c r="C1071" s="2"/>
      <c r="D1071" s="2"/>
      <c r="E1071" s="2"/>
      <c r="F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row>
    <row r="1072" spans="2:49" x14ac:dyDescent="0.25">
      <c r="B1072" s="2"/>
      <c r="C1072" s="2"/>
      <c r="D1072" s="2"/>
      <c r="E1072" s="2"/>
      <c r="F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row>
    <row r="1073" spans="2:49" x14ac:dyDescent="0.25">
      <c r="B1073" s="2"/>
      <c r="C1073" s="2"/>
      <c r="D1073" s="2"/>
      <c r="E1073" s="2"/>
      <c r="F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row>
    <row r="1074" spans="2:49" x14ac:dyDescent="0.25">
      <c r="B1074" s="2"/>
      <c r="C1074" s="2"/>
      <c r="D1074" s="2"/>
      <c r="E1074" s="2"/>
      <c r="F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row>
    <row r="1075" spans="2:49" x14ac:dyDescent="0.25">
      <c r="B1075" s="2"/>
      <c r="C1075" s="2"/>
      <c r="D1075" s="2"/>
      <c r="E1075" s="2"/>
      <c r="F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row>
    <row r="1076" spans="2:49" x14ac:dyDescent="0.25">
      <c r="B1076" s="2"/>
      <c r="C1076" s="2"/>
      <c r="D1076" s="2"/>
      <c r="E1076" s="2"/>
      <c r="F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row>
    <row r="1077" spans="2:49" x14ac:dyDescent="0.25">
      <c r="B1077" s="2"/>
      <c r="C1077" s="2"/>
      <c r="D1077" s="2"/>
      <c r="E1077" s="2"/>
      <c r="F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row>
    <row r="1078" spans="2:49" x14ac:dyDescent="0.25">
      <c r="B1078" s="2"/>
      <c r="C1078" s="2"/>
      <c r="D1078" s="2"/>
      <c r="E1078" s="2"/>
      <c r="F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row>
    <row r="1079" spans="2:49" x14ac:dyDescent="0.25">
      <c r="B1079" s="2"/>
      <c r="C1079" s="2"/>
      <c r="D1079" s="2"/>
      <c r="E1079" s="2"/>
      <c r="F1079" s="2"/>
      <c r="M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row>
    <row r="1080" spans="2:49" x14ac:dyDescent="0.25">
      <c r="B1080" s="2"/>
      <c r="C1080" s="2"/>
      <c r="D1080" s="2"/>
      <c r="E1080" s="2"/>
      <c r="F1080" s="2"/>
      <c r="M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row>
    <row r="1081" spans="2:49" x14ac:dyDescent="0.25">
      <c r="B1081" s="2"/>
      <c r="C1081" s="2"/>
      <c r="D1081" s="2"/>
      <c r="E1081" s="2"/>
      <c r="F1081" s="2"/>
      <c r="M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row>
    <row r="1082" spans="2:49" x14ac:dyDescent="0.25">
      <c r="B1082" s="2"/>
      <c r="C1082" s="2"/>
      <c r="D1082" s="2"/>
      <c r="E1082" s="2"/>
      <c r="F1082" s="2"/>
      <c r="M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row>
    <row r="1083" spans="2:49" x14ac:dyDescent="0.25">
      <c r="B1083" s="2"/>
      <c r="C1083" s="2"/>
      <c r="D1083" s="2"/>
      <c r="E1083" s="2"/>
      <c r="F1083" s="2"/>
      <c r="M1083" s="2"/>
      <c r="N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row>
    <row r="1084" spans="2:49" x14ac:dyDescent="0.25">
      <c r="B1084" s="2"/>
      <c r="C1084" s="2"/>
      <c r="D1084" s="2"/>
      <c r="E1084" s="2"/>
      <c r="F1084" s="2"/>
      <c r="M1084" s="2"/>
      <c r="N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row>
    <row r="1085" spans="2:49" x14ac:dyDescent="0.25">
      <c r="B1085" s="2"/>
      <c r="C1085" s="2"/>
      <c r="D1085" s="2"/>
      <c r="E1085" s="2"/>
      <c r="F1085" s="2"/>
      <c r="M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row>
    <row r="1086" spans="2:49" x14ac:dyDescent="0.25">
      <c r="B1086" s="2"/>
      <c r="C1086" s="2"/>
      <c r="D1086" s="2"/>
      <c r="E1086" s="2"/>
      <c r="F1086" s="2"/>
      <c r="M1086" s="2"/>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row>
    <row r="1087" spans="2:49" x14ac:dyDescent="0.25">
      <c r="B1087" s="2"/>
      <c r="C1087" s="2"/>
      <c r="D1087" s="2"/>
      <c r="E1087" s="2"/>
      <c r="F1087" s="2"/>
      <c r="M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row>
    <row r="1088" spans="2:49" x14ac:dyDescent="0.25">
      <c r="B1088" s="2"/>
      <c r="C1088" s="2"/>
      <c r="D1088" s="2"/>
      <c r="E1088" s="2"/>
      <c r="F1088" s="2"/>
      <c r="M1088" s="2"/>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row>
  </sheetData>
  <pageMargins left="0.7" right="0.7" top="0.75" bottom="0.75" header="0.3" footer="0.3"/>
  <pageSetup scale="57"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F0"/>
    <pageSetUpPr fitToPage="1"/>
  </sheetPr>
  <dimension ref="A1:BG1129"/>
  <sheetViews>
    <sheetView workbookViewId="0"/>
  </sheetViews>
  <sheetFormatPr defaultColWidth="9.140625" defaultRowHeight="15" x14ac:dyDescent="0.25"/>
  <cols>
    <col min="1" max="1" width="53.5703125" style="6" customWidth="1"/>
    <col min="2" max="7" width="10.7109375" style="7" customWidth="1"/>
    <col min="8" max="8" width="10.7109375" style="17" customWidth="1"/>
    <col min="9" max="9" width="10.7109375" style="18" customWidth="1"/>
    <col min="10" max="16" width="10.7109375" style="17" customWidth="1"/>
    <col min="17" max="27" width="10.7109375" style="7" customWidth="1"/>
    <col min="28" max="59" width="9.140625" style="7"/>
    <col min="60" max="16384" width="9.140625" style="2"/>
  </cols>
  <sheetData>
    <row r="1" spans="1:59" x14ac:dyDescent="0.25">
      <c r="A1" s="4" t="str">
        <f>Inputs!A1</f>
        <v>Pfizer</v>
      </c>
      <c r="B1" s="2"/>
      <c r="C1" s="2"/>
      <c r="D1" s="2"/>
      <c r="E1" s="2"/>
      <c r="F1" s="2"/>
      <c r="G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row>
    <row r="2" spans="1:59" x14ac:dyDescent="0.25">
      <c r="A2" s="5" t="s">
        <v>354</v>
      </c>
      <c r="B2" s="2"/>
      <c r="C2" s="231"/>
      <c r="D2" s="2"/>
      <c r="E2" s="2"/>
      <c r="F2" s="2"/>
      <c r="G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row>
    <row r="3" spans="1:59" x14ac:dyDescent="0.25">
      <c r="A3" s="6" t="s">
        <v>659</v>
      </c>
    </row>
    <row r="4" spans="1:59" s="560" customFormat="1" ht="15.75" thickBot="1" x14ac:dyDescent="0.3">
      <c r="A4" s="80" t="str">
        <f>CONCATENATE("Fiscal Years Ending ",Inputs!B7)</f>
        <v>Fiscal Years Ending Dec. 31</v>
      </c>
      <c r="B4" s="81" t="s">
        <v>28</v>
      </c>
      <c r="C4" s="81" t="s">
        <v>29</v>
      </c>
      <c r="D4" s="81" t="s">
        <v>30</v>
      </c>
      <c r="E4" s="81" t="s">
        <v>31</v>
      </c>
      <c r="F4" s="81" t="s">
        <v>32</v>
      </c>
      <c r="G4" s="81" t="s">
        <v>33</v>
      </c>
      <c r="H4" s="81" t="s">
        <v>34</v>
      </c>
      <c r="I4" s="81" t="s">
        <v>35</v>
      </c>
      <c r="J4" s="559"/>
      <c r="K4" s="559"/>
    </row>
    <row r="5" spans="1:59" s="9" customFormat="1" x14ac:dyDescent="0.25">
      <c r="A5" s="402" t="s">
        <v>578</v>
      </c>
      <c r="B5" s="190"/>
      <c r="C5" s="190"/>
      <c r="D5" s="190"/>
      <c r="E5" s="190"/>
      <c r="F5" s="190"/>
      <c r="G5" s="190"/>
      <c r="H5" s="191"/>
      <c r="I5" s="191"/>
      <c r="J5" s="19"/>
      <c r="K5" s="19"/>
      <c r="L5" s="234"/>
      <c r="M5" s="19"/>
      <c r="N5" s="19"/>
      <c r="O5" s="19"/>
      <c r="P5" s="19"/>
    </row>
    <row r="6" spans="1:59" s="9" customFormat="1" x14ac:dyDescent="0.25">
      <c r="A6" s="158" t="s">
        <v>579</v>
      </c>
      <c r="B6" s="190">
        <f>IS_Sorted!M31</f>
        <v>8177.020172225004</v>
      </c>
      <c r="C6" s="190">
        <f>IS_Sorted!N31</f>
        <v>12726.704105586055</v>
      </c>
      <c r="D6" s="190">
        <f>IS_Sorted!O31</f>
        <v>11819.659823731667</v>
      </c>
      <c r="E6" s="190">
        <f>IS_Sorted!P31</f>
        <v>11398.477318173471</v>
      </c>
      <c r="F6" s="190">
        <f>IS_Sorted!Q31</f>
        <v>11393.043255498762</v>
      </c>
      <c r="G6" s="190">
        <f>IS_Sorted!R31</f>
        <v>11377.355794273761</v>
      </c>
      <c r="H6" s="190">
        <f>IS_Sorted!S31</f>
        <v>11154.302052290885</v>
      </c>
      <c r="I6" s="190">
        <f>IS_Sorted!T31</f>
        <v>11525.956557873547</v>
      </c>
      <c r="J6" s="255"/>
      <c r="K6" s="191"/>
      <c r="L6" s="242"/>
      <c r="M6" s="19"/>
      <c r="N6" s="19"/>
      <c r="O6" s="19"/>
      <c r="P6" s="19"/>
    </row>
    <row r="7" spans="1:59" s="9" customFormat="1" ht="15" customHeight="1" x14ac:dyDescent="0.25">
      <c r="A7" s="8" t="s">
        <v>740</v>
      </c>
      <c r="B7" s="190">
        <f>SUM(B8:B9)</f>
        <v>9907.9894854016347</v>
      </c>
      <c r="C7" s="190">
        <f t="shared" ref="C7:E7" si="0">SUM(C8:C9)</f>
        <v>3074.4864351782658</v>
      </c>
      <c r="D7" s="190">
        <f>SUM(D8:D9)</f>
        <v>5203.3391936821872</v>
      </c>
      <c r="E7" s="190">
        <f t="shared" si="0"/>
        <v>6204.8019181918744</v>
      </c>
      <c r="F7" s="190">
        <f>SUM(F8:F9)</f>
        <v>6198.8811167030772</v>
      </c>
      <c r="G7" s="190">
        <f>SUM(G8:G9)</f>
        <v>4529.0647140384863</v>
      </c>
      <c r="H7" s="190">
        <f>SUM(H8:H9)</f>
        <v>3001.6495324482553</v>
      </c>
      <c r="I7" s="190">
        <f>SUM(I8:I9)</f>
        <v>2166.4578294582852</v>
      </c>
      <c r="J7" s="254"/>
      <c r="L7" s="242"/>
      <c r="M7" s="19"/>
      <c r="N7" s="19"/>
      <c r="O7" s="19"/>
      <c r="P7" s="19"/>
    </row>
    <row r="8" spans="1:59" s="9" customFormat="1" x14ac:dyDescent="0.25">
      <c r="A8" s="223" t="s">
        <v>218</v>
      </c>
      <c r="B8" s="190">
        <f>IS_Sorted!M9+IS_Sorted!M10</f>
        <v>5922.6415482765551</v>
      </c>
      <c r="C8" s="190">
        <f>IS_Sorted!N9+IS_Sorted!N10</f>
        <v>5604.0207017119255</v>
      </c>
      <c r="D8" s="190">
        <f>IS_Sorted!O9+IS_Sorted!O10</f>
        <v>5337.9331508971181</v>
      </c>
      <c r="E8" s="190">
        <f>IS_Sorted!P9+IS_Sorted!P10</f>
        <v>5217.2979570451835</v>
      </c>
      <c r="F8" s="190">
        <f>IS_Sorted!Q9+IS_Sorted!Q10</f>
        <v>4961.1513991983702</v>
      </c>
      <c r="G8" s="190">
        <f>IS_Sorted!R9+IS_Sorted!R10</f>
        <v>4166.5282096041146</v>
      </c>
      <c r="H8" s="190">
        <f>IS_Sorted!S9+IS_Sorted!S10</f>
        <v>3826.1376406014665</v>
      </c>
      <c r="I8" s="190">
        <f>IS_Sorted!T9+IS_Sorted!T10</f>
        <v>3528.3377000931905</v>
      </c>
      <c r="J8" s="255"/>
      <c r="K8" s="191"/>
      <c r="L8" s="242"/>
      <c r="M8" s="19"/>
      <c r="N8" s="19"/>
      <c r="O8" s="19"/>
      <c r="P8" s="19"/>
    </row>
    <row r="9" spans="1:59" s="9" customFormat="1" x14ac:dyDescent="0.25">
      <c r="A9" s="223" t="s">
        <v>583</v>
      </c>
      <c r="B9" s="190">
        <f>(BS_Sorted!M40-BS_Sorted!M24)-(BS_Sorted!L40-BS_Sorted!L24)</f>
        <v>3985.3479371250792</v>
      </c>
      <c r="C9" s="190">
        <f>(BS_Sorted!N40-BS_Sorted!N24)-(BS_Sorted!M40-BS_Sorted!M24)</f>
        <v>-2529.5342665336598</v>
      </c>
      <c r="D9" s="190">
        <f>(BS_Sorted!O40-BS_Sorted!O24)-(BS_Sorted!N40-BS_Sorted!N24)</f>
        <v>-134.59395721493092</v>
      </c>
      <c r="E9" s="190">
        <f>(BS_Sorted!P40-BS_Sorted!P24)-(BS_Sorted!O40-BS_Sorted!O24)</f>
        <v>987.50396114669093</v>
      </c>
      <c r="F9" s="190">
        <f>(BS_Sorted!Q40-BS_Sorted!Q24)-(BS_Sorted!P40-BS_Sorted!P24)</f>
        <v>1237.729717504707</v>
      </c>
      <c r="G9" s="190">
        <f>(BS_Sorted!R40-BS_Sorted!R24)-(BS_Sorted!Q40-BS_Sorted!Q24)</f>
        <v>362.53650443437118</v>
      </c>
      <c r="H9" s="190">
        <f>(BS_Sorted!S40-BS_Sorted!S24)-(BS_Sorted!R40-BS_Sorted!R24)</f>
        <v>-824.48810815321121</v>
      </c>
      <c r="I9" s="190">
        <f>(BS_Sorted!T40-BS_Sorted!T24)-(BS_Sorted!S40-BS_Sorted!S24)</f>
        <v>-1361.8798706349053</v>
      </c>
      <c r="J9" s="255"/>
      <c r="K9" s="242"/>
      <c r="L9" s="242"/>
      <c r="M9" s="19"/>
      <c r="N9" s="19"/>
      <c r="O9" s="19"/>
      <c r="P9" s="19"/>
    </row>
    <row r="10" spans="1:59" s="9" customFormat="1" x14ac:dyDescent="0.25">
      <c r="A10" s="158" t="s">
        <v>580</v>
      </c>
      <c r="B10" s="190">
        <f t="shared" ref="B10:I10" si="1">SUM(B11:B21)</f>
        <v>-20498.423878450478</v>
      </c>
      <c r="C10" s="190">
        <f t="shared" si="1"/>
        <v>-5623.5783914439216</v>
      </c>
      <c r="D10" s="190">
        <f t="shared" si="1"/>
        <v>-1312.7215679722065</v>
      </c>
      <c r="E10" s="190">
        <f t="shared" si="1"/>
        <v>-1054.11746455451</v>
      </c>
      <c r="F10" s="190">
        <f t="shared" si="1"/>
        <v>-1045.2602351528271</v>
      </c>
      <c r="G10" s="190">
        <f t="shared" si="1"/>
        <v>-1287.1187480039239</v>
      </c>
      <c r="H10" s="190">
        <f t="shared" si="1"/>
        <v>-1034.2033074327137</v>
      </c>
      <c r="I10" s="190">
        <f t="shared" si="1"/>
        <v>-1018.477316737582</v>
      </c>
      <c r="J10" s="255"/>
      <c r="K10" s="191"/>
      <c r="L10" s="242"/>
      <c r="M10" s="19"/>
      <c r="N10" s="19"/>
      <c r="O10" s="19"/>
      <c r="P10" s="19"/>
    </row>
    <row r="11" spans="1:59" s="9" customFormat="1" x14ac:dyDescent="0.25">
      <c r="A11" s="223" t="s">
        <v>614</v>
      </c>
      <c r="B11" s="190">
        <f>-(BS_Sorted!M8-BS_Sorted!L8)</f>
        <v>2332.2211042620074</v>
      </c>
      <c r="C11" s="190">
        <f>-(BS_Sorted!N8-BS_Sorted!M8)</f>
        <v>739.01287278824839</v>
      </c>
      <c r="D11" s="190">
        <f>-(BS_Sorted!O8-BS_Sorted!N8)</f>
        <v>557.88975918864526</v>
      </c>
      <c r="E11" s="190">
        <f>-(BS_Sorted!P8-BS_Sorted!O8)</f>
        <v>215.5135782071211</v>
      </c>
      <c r="F11" s="190">
        <f>-(BS_Sorted!Q8-BS_Sorted!P8)</f>
        <v>61.138603746700028</v>
      </c>
      <c r="G11" s="190">
        <f>-(BS_Sorted!R8-BS_Sorted!Q8)</f>
        <v>262.89599611081394</v>
      </c>
      <c r="H11" s="190">
        <f>-(BS_Sorted!S8-BS_Sorted!R8)</f>
        <v>230.03399659696242</v>
      </c>
      <c r="I11" s="190">
        <f>-(BS_Sorted!T8-BS_Sorted!S8)</f>
        <v>-29.805069326516787</v>
      </c>
      <c r="J11" s="255"/>
      <c r="K11" s="191"/>
      <c r="L11" s="242"/>
      <c r="M11" s="19"/>
      <c r="N11" s="19"/>
      <c r="O11" s="19"/>
      <c r="P11" s="19"/>
    </row>
    <row r="12" spans="1:59" s="9" customFormat="1" x14ac:dyDescent="0.25">
      <c r="A12" s="223" t="s">
        <v>234</v>
      </c>
      <c r="B12" s="190">
        <f>-(BS_Sorted!M11-BS_Sorted!L11)</f>
        <v>1201.8433706446349</v>
      </c>
      <c r="C12" s="190">
        <f>-(BS_Sorted!N11-BS_Sorted!M11)</f>
        <v>666.94250027366252</v>
      </c>
      <c r="D12" s="190">
        <f>-(BS_Sorted!O11-BS_Sorted!N11)</f>
        <v>503.48296297804882</v>
      </c>
      <c r="E12" s="190">
        <f>-(BS_Sorted!P11-BS_Sorted!O11)</f>
        <v>194.49615830110997</v>
      </c>
      <c r="F12" s="190">
        <f>-(BS_Sorted!Q11-BS_Sorted!P11)</f>
        <v>55.176215120882262</v>
      </c>
      <c r="G12" s="190">
        <f>-(BS_Sorted!R11-BS_Sorted!Q11)</f>
        <v>237.25772501979282</v>
      </c>
      <c r="H12" s="190">
        <f>-(BS_Sorted!S11-BS_Sorted!R11)</f>
        <v>207.6005093923186</v>
      </c>
      <c r="I12" s="190">
        <f>-(BS_Sorted!T11-BS_Sorted!S11)</f>
        <v>-26.898404871430103</v>
      </c>
      <c r="J12" s="255"/>
      <c r="K12" s="191"/>
      <c r="L12" s="242"/>
      <c r="M12" s="19"/>
      <c r="N12" s="19"/>
      <c r="O12" s="19"/>
      <c r="P12" s="19"/>
    </row>
    <row r="13" spans="1:59" s="9" customFormat="1" x14ac:dyDescent="0.25">
      <c r="A13" s="223" t="s">
        <v>628</v>
      </c>
      <c r="B13" s="190">
        <f>-(BS_Sorted!M15-BS_Sorted!L15)</f>
        <v>-232.28710000000046</v>
      </c>
      <c r="C13" s="190">
        <f>-(BS_Sorted!N15-BS_Sorted!M15)</f>
        <v>-243.04199272999995</v>
      </c>
      <c r="D13" s="190">
        <f>-(BS_Sorted!O15-BS_Sorted!N15)</f>
        <v>-254.29483699339926</v>
      </c>
      <c r="E13" s="190">
        <f>-(BS_Sorted!P15-BS_Sorted!O15)</f>
        <v>-266.06868794619368</v>
      </c>
      <c r="F13" s="190">
        <f>-(BS_Sorted!Q15-BS_Sorted!P15)</f>
        <v>-278.38766819810189</v>
      </c>
      <c r="G13" s="190">
        <f>-(BS_Sorted!R15-BS_Sorted!Q15)</f>
        <v>-291.27701723567407</v>
      </c>
      <c r="H13" s="190">
        <f>-(BS_Sorted!S15-BS_Sorted!R15)</f>
        <v>-304.76314313368584</v>
      </c>
      <c r="I13" s="190">
        <f>-(BS_Sorted!T15-BS_Sorted!S15)</f>
        <v>-318.87367666077535</v>
      </c>
      <c r="J13" s="255"/>
      <c r="K13" s="191"/>
      <c r="L13" s="242"/>
      <c r="M13" s="19"/>
      <c r="N13" s="19"/>
      <c r="O13" s="19"/>
      <c r="P13" s="19"/>
    </row>
    <row r="14" spans="1:59" s="9" customFormat="1" x14ac:dyDescent="0.25">
      <c r="A14" s="223" t="s">
        <v>627</v>
      </c>
      <c r="B14" s="190">
        <f>-(BS_Sorted!M12-BS_Sorted!L12)</f>
        <v>-2959.5960925733016</v>
      </c>
      <c r="C14" s="190">
        <f>-(BS_Sorted!N12-BS_Sorted!M12)</f>
        <v>-3636.9539997305819</v>
      </c>
      <c r="D14" s="190">
        <f>-(BS_Sorted!O12-BS_Sorted!N12)</f>
        <v>725.07857186159526</v>
      </c>
      <c r="E14" s="190">
        <f>-(BS_Sorted!P12-BS_Sorted!O12)</f>
        <v>336.68743162006831</v>
      </c>
      <c r="F14" s="190">
        <f>-(BS_Sorted!Q12-BS_Sorted!P12)</f>
        <v>4.3439140540413064</v>
      </c>
      <c r="G14" s="190">
        <f>-(BS_Sorted!R12-BS_Sorted!Q12)</f>
        <v>12.540338116572457</v>
      </c>
      <c r="H14" s="190">
        <f>-(BS_Sorted!S12-BS_Sorted!R12)</f>
        <v>178.30605618799564</v>
      </c>
      <c r="I14" s="190">
        <f>-(BS_Sorted!T12-BS_Sorted!S12)</f>
        <v>-297.09543792379554</v>
      </c>
      <c r="J14" s="255"/>
      <c r="K14" s="191"/>
      <c r="L14" s="242"/>
      <c r="M14" s="19"/>
      <c r="N14" s="19"/>
      <c r="O14" s="19"/>
      <c r="P14" s="19"/>
    </row>
    <row r="15" spans="1:59" s="9" customFormat="1" x14ac:dyDescent="0.25">
      <c r="A15" s="223" t="s">
        <v>625</v>
      </c>
      <c r="B15" s="190">
        <f>BS_Sorted!M42-BS_Sorted!L42</f>
        <v>-6102.7653374761185</v>
      </c>
      <c r="C15" s="190">
        <f>BS_Sorted!N42-BS_Sorted!M42</f>
        <v>-606.76353565569661</v>
      </c>
      <c r="D15" s="190">
        <f>BS_Sorted!O42-BS_Sorted!N42</f>
        <v>-458.05313446603668</v>
      </c>
      <c r="E15" s="190">
        <f>BS_Sorted!P42-BS_Sorted!O42</f>
        <v>-176.94655331427748</v>
      </c>
      <c r="F15" s="190">
        <f>BS_Sorted!Q42-BS_Sorted!P42</f>
        <v>-50.197603777100085</v>
      </c>
      <c r="G15" s="190">
        <f>BS_Sorted!R42-BS_Sorted!Q42</f>
        <v>-215.84969624152927</v>
      </c>
      <c r="H15" s="190">
        <f>BS_Sorted!S42-BS_Sorted!R42</f>
        <v>-188.86848421133891</v>
      </c>
      <c r="I15" s="190">
        <f>BS_Sorted!T42-BS_Sorted!S42</f>
        <v>24.471331841335996</v>
      </c>
      <c r="J15" s="255"/>
      <c r="K15" s="191"/>
      <c r="L15" s="242"/>
      <c r="M15" s="19"/>
      <c r="N15" s="19"/>
      <c r="O15" s="19"/>
      <c r="P15" s="19"/>
    </row>
    <row r="16" spans="1:59" s="9" customFormat="1" x14ac:dyDescent="0.25">
      <c r="A16" s="223" t="s">
        <v>629</v>
      </c>
      <c r="B16" s="190">
        <f>(BS_Sorted!M30-BS_Sorted!L30)</f>
        <v>-2116.4860844862242</v>
      </c>
      <c r="C16" s="190">
        <f>(BS_Sorted!N30-BS_Sorted!M30)</f>
        <v>-402.31057330453223</v>
      </c>
      <c r="D16" s="190">
        <f>(BS_Sorted!O30-BS_Sorted!N30)</f>
        <v>-303.70911945430043</v>
      </c>
      <c r="E16" s="190">
        <f>(BS_Sorted!P30-BS_Sorted!O30)</f>
        <v>-117.32324888508629</v>
      </c>
      <c r="F16" s="190">
        <f>(BS_Sorted!Q30-BS_Sorted!P30)</f>
        <v>-33.283191173073646</v>
      </c>
      <c r="G16" s="190">
        <f>(BS_Sorted!R30-BS_Sorted!Q30)</f>
        <v>-143.11772204421868</v>
      </c>
      <c r="H16" s="190">
        <f>(BS_Sorted!S30-BS_Sorted!R30)</f>
        <v>-125.22800678869089</v>
      </c>
      <c r="I16" s="190">
        <f>(BS_Sorted!T30-BS_Sorted!S30)</f>
        <v>16.225555696873471</v>
      </c>
      <c r="J16" s="255"/>
      <c r="K16" s="191"/>
      <c r="L16" s="242"/>
      <c r="M16" s="19"/>
      <c r="N16" s="19"/>
      <c r="O16" s="19"/>
      <c r="P16" s="19"/>
    </row>
    <row r="17" spans="1:16" s="9" customFormat="1" x14ac:dyDescent="0.25">
      <c r="A17" s="223" t="s">
        <v>582</v>
      </c>
      <c r="B17" s="190">
        <f>BS_Sorted!M33-BS_Sorted!L33</f>
        <v>-715.89873434672108</v>
      </c>
      <c r="C17" s="190">
        <f>BS_Sorted!N33-BS_Sorted!M33</f>
        <v>-230.72035853238049</v>
      </c>
      <c r="D17" s="190">
        <f>BS_Sorted!O33-BS_Sorted!N33</f>
        <v>-174.17359020541653</v>
      </c>
      <c r="E17" s="190">
        <f>BS_Sorted!P33-BS_Sorted!O33</f>
        <v>-67.283496490311791</v>
      </c>
      <c r="F17" s="190">
        <f>BS_Sorted!Q33-BS_Sorted!P33</f>
        <v>-19.087516734839937</v>
      </c>
      <c r="G17" s="190">
        <f>BS_Sorted!R33-BS_Sorted!Q33</f>
        <v>-82.076321959812958</v>
      </c>
      <c r="H17" s="190">
        <f>BS_Sorted!S33-BS_Sorted!R33</f>
        <v>-71.816781714835997</v>
      </c>
      <c r="I17" s="190">
        <f>BS_Sorted!T33-BS_Sorted!S33</f>
        <v>9.3051644082343046</v>
      </c>
      <c r="J17" s="255"/>
      <c r="K17" s="242"/>
      <c r="L17" s="242"/>
      <c r="M17" s="19"/>
      <c r="N17" s="19"/>
      <c r="O17" s="19"/>
      <c r="P17" s="19"/>
    </row>
    <row r="18" spans="1:16" s="9" customFormat="1" x14ac:dyDescent="0.25">
      <c r="A18" s="223" t="s">
        <v>382</v>
      </c>
      <c r="B18" s="190">
        <f>BS_Sorted!M32-BS_Sorted!L32</f>
        <v>-951.35271323269569</v>
      </c>
      <c r="C18" s="190">
        <f>BS_Sorted!N32-BS_Sorted!M32</f>
        <v>353.67336596686232</v>
      </c>
      <c r="D18" s="190">
        <f>BS_Sorted!O32-BS_Sorted!N32</f>
        <v>-70.509821988326621</v>
      </c>
      <c r="E18" s="190">
        <f>BS_Sorted!P32-BS_Sorted!O32</f>
        <v>-32.740963242490352</v>
      </c>
      <c r="F18" s="190">
        <f>BS_Sorted!Q32-BS_Sorted!P32</f>
        <v>-0.42242126380403988</v>
      </c>
      <c r="G18" s="190">
        <f>BS_Sorted!R32-BS_Sorted!Q32</f>
        <v>-1.2194775057312199</v>
      </c>
      <c r="H18" s="190">
        <f>BS_Sorted!S32-BS_Sorted!R32</f>
        <v>-17.33926331456405</v>
      </c>
      <c r="I18" s="190">
        <f>BS_Sorted!T32-BS_Sorted!S32</f>
        <v>28.89086404493753</v>
      </c>
      <c r="J18" s="255"/>
      <c r="K18" s="242"/>
      <c r="L18" s="242"/>
      <c r="M18" s="19"/>
      <c r="N18" s="19"/>
      <c r="O18" s="19"/>
      <c r="P18" s="19"/>
    </row>
    <row r="19" spans="1:16" s="9" customFormat="1" x14ac:dyDescent="0.25">
      <c r="A19" s="223" t="s">
        <v>273</v>
      </c>
      <c r="B19" s="190">
        <f>(BS_Sorted!M41-BS_Sorted!L41)</f>
        <v>-1077.6148333402107</v>
      </c>
      <c r="C19" s="190">
        <f>(BS_Sorted!N41-BS_Sorted!M41)</f>
        <v>-959.26447367502078</v>
      </c>
      <c r="D19" s="190">
        <f>(BS_Sorted!O41-BS_Sorted!N41)</f>
        <v>-853.91208619759527</v>
      </c>
      <c r="E19" s="190">
        <f>(BS_Sorted!P41-BS_Sorted!O41)</f>
        <v>-760.13015280430045</v>
      </c>
      <c r="F19" s="190">
        <f>(BS_Sorted!Q41-BS_Sorted!P41)</f>
        <v>-676.64793430337522</v>
      </c>
      <c r="G19" s="190">
        <f>(BS_Sorted!R41-BS_Sorted!Q41)</f>
        <v>-602.33425198026816</v>
      </c>
      <c r="H19" s="190">
        <f>(BS_Sorted!S41-BS_Sorted!R41)</f>
        <v>-536.18216019848842</v>
      </c>
      <c r="I19" s="190">
        <f>(BS_Sorted!T41-BS_Sorted!S41)</f>
        <v>-477.29530235072207</v>
      </c>
      <c r="J19" s="255"/>
      <c r="L19" s="242"/>
      <c r="M19" s="19"/>
      <c r="N19" s="19"/>
      <c r="O19" s="19"/>
      <c r="P19" s="19"/>
    </row>
    <row r="20" spans="1:16" s="9" customFormat="1" x14ac:dyDescent="0.25">
      <c r="A20" s="223" t="s">
        <v>381</v>
      </c>
      <c r="B20" s="190">
        <f>BS_Sorted!M34-BS_Sorted!L34</f>
        <v>-747.86721208494896</v>
      </c>
      <c r="C20" s="190">
        <f>BS_Sorted!N34-BS_Sorted!M34</f>
        <v>-151.93300876973626</v>
      </c>
      <c r="D20" s="190">
        <f>BS_Sorted!O34-BS_Sorted!N34</f>
        <v>-114.69606659969736</v>
      </c>
      <c r="E20" s="190">
        <f>BS_Sorted!P34-BS_Sorted!O34</f>
        <v>-44.307247645362622</v>
      </c>
      <c r="F20" s="190">
        <f>BS_Sorted!Q34-BS_Sorted!P34</f>
        <v>-12.569431956131211</v>
      </c>
      <c r="G20" s="190">
        <f>BS_Sorted!R34-BS_Sorted!Q34</f>
        <v>-54.0485574113643</v>
      </c>
      <c r="H20" s="190">
        <f>BS_Sorted!S34-BS_Sorted!R34</f>
        <v>-47.292487734943734</v>
      </c>
      <c r="I20" s="190">
        <f>BS_Sorted!T34-BS_Sorted!S34</f>
        <v>6.1275980786140281</v>
      </c>
      <c r="J20" s="255"/>
      <c r="K20" s="242"/>
      <c r="L20" s="242"/>
      <c r="M20" s="19"/>
      <c r="N20" s="19"/>
      <c r="O20" s="19"/>
      <c r="P20" s="19"/>
    </row>
    <row r="21" spans="1:16" s="9" customFormat="1" x14ac:dyDescent="0.25">
      <c r="A21" s="246" t="s">
        <v>581</v>
      </c>
      <c r="B21" s="453">
        <f>BS_Sorted!M35-BS_Sorted!L35</f>
        <v>-9128.6202458168955</v>
      </c>
      <c r="C21" s="453">
        <f>BS_Sorted!N35-BS_Sorted!M35</f>
        <v>-1152.2191880747469</v>
      </c>
      <c r="D21" s="453">
        <f>BS_Sorted!O35-BS_Sorted!N35</f>
        <v>-869.82420609572364</v>
      </c>
      <c r="E21" s="453">
        <f>BS_Sorted!P35-BS_Sorted!O35</f>
        <v>-336.0142823547867</v>
      </c>
      <c r="F21" s="453">
        <f>BS_Sorted!Q35-BS_Sorted!P35</f>
        <v>-95.323200668024583</v>
      </c>
      <c r="G21" s="453">
        <f>BS_Sorted!R35-BS_Sorted!Q35</f>
        <v>-409.88976287250443</v>
      </c>
      <c r="H21" s="453">
        <f>BS_Sorted!S35-BS_Sorted!R35</f>
        <v>-358.65354251344252</v>
      </c>
      <c r="I21" s="453">
        <f>BS_Sorted!T35-BS_Sorted!S35</f>
        <v>46.470060325662416</v>
      </c>
      <c r="J21" s="255"/>
      <c r="K21" s="191"/>
      <c r="L21" s="242"/>
      <c r="M21" s="19"/>
      <c r="N21" s="19"/>
      <c r="O21" s="19"/>
      <c r="P21" s="19"/>
    </row>
    <row r="22" spans="1:16" s="9" customFormat="1" x14ac:dyDescent="0.25">
      <c r="A22" s="312" t="s">
        <v>596</v>
      </c>
      <c r="B22" s="454">
        <f t="shared" ref="B22:I22" si="2">B6+B7+B10</f>
        <v>-2413.4142208238409</v>
      </c>
      <c r="C22" s="454">
        <f t="shared" si="2"/>
        <v>10177.612149320399</v>
      </c>
      <c r="D22" s="454">
        <f t="shared" si="2"/>
        <v>15710.277449441648</v>
      </c>
      <c r="E22" s="454">
        <f t="shared" si="2"/>
        <v>16549.161771810835</v>
      </c>
      <c r="F22" s="454">
        <f t="shared" si="2"/>
        <v>16546.664137049014</v>
      </c>
      <c r="G22" s="454">
        <f t="shared" si="2"/>
        <v>14619.301760308323</v>
      </c>
      <c r="H22" s="454">
        <f t="shared" si="2"/>
        <v>13121.748277306426</v>
      </c>
      <c r="I22" s="454">
        <f t="shared" si="2"/>
        <v>12673.937070594249</v>
      </c>
      <c r="J22" s="255"/>
      <c r="L22" s="191"/>
      <c r="M22" s="19"/>
      <c r="N22" s="19"/>
      <c r="O22" s="19"/>
      <c r="P22" s="19"/>
    </row>
    <row r="23" spans="1:16" s="9" customFormat="1" x14ac:dyDescent="0.25">
      <c r="A23" s="402" t="s">
        <v>584</v>
      </c>
      <c r="B23" s="190"/>
      <c r="C23" s="190"/>
      <c r="D23" s="190"/>
      <c r="E23" s="190"/>
      <c r="F23" s="190"/>
      <c r="G23" s="190"/>
      <c r="H23" s="190"/>
      <c r="I23" s="190"/>
      <c r="J23" s="255"/>
      <c r="L23" s="191"/>
      <c r="M23" s="19"/>
      <c r="N23" s="19"/>
      <c r="O23" s="19"/>
      <c r="P23" s="19"/>
    </row>
    <row r="24" spans="1:16" s="9" customFormat="1" x14ac:dyDescent="0.25">
      <c r="A24" s="223" t="s">
        <v>589</v>
      </c>
      <c r="B24" s="190">
        <f>-(BS_Sorted!M7-BS_Sorted!L7)</f>
        <v>-23033.230800000005</v>
      </c>
      <c r="C24" s="190">
        <f>-(BS_Sorted!N7-BS_Sorted!M7)</f>
        <v>-2099.6693860399973</v>
      </c>
      <c r="D24" s="190">
        <f>-(BS_Sorted!O7-BS_Sorted!N7)</f>
        <v>-2196.8840786136498</v>
      </c>
      <c r="E24" s="190">
        <f>-(BS_Sorted!P7-BS_Sorted!O7)</f>
        <v>-2298.5998114534668</v>
      </c>
      <c r="F24" s="190">
        <f>-(BS_Sorted!Q7-BS_Sorted!P7)</f>
        <v>-2405.0249827237567</v>
      </c>
      <c r="G24" s="190">
        <f>-(BS_Sorted!R7-BS_Sorted!Q7)</f>
        <v>-2516.3776394238666</v>
      </c>
      <c r="H24" s="190">
        <f>-(BS_Sorted!S7-BS_Sorted!R7)</f>
        <v>-2632.8859241291939</v>
      </c>
      <c r="I24" s="190">
        <f>-(BS_Sorted!T7-BS_Sorted!S7)</f>
        <v>-2754.788542416376</v>
      </c>
      <c r="J24" s="255"/>
      <c r="L24" s="191"/>
      <c r="M24" s="19"/>
      <c r="N24" s="19"/>
      <c r="O24" s="19"/>
      <c r="P24" s="19"/>
    </row>
    <row r="25" spans="1:16" s="9" customFormat="1" x14ac:dyDescent="0.25">
      <c r="A25" s="223" t="s">
        <v>590</v>
      </c>
      <c r="B25" s="190">
        <f>-(BS_Sorted!M18-BS_Sorted!L18)</f>
        <v>-186.86679999999978</v>
      </c>
      <c r="C25" s="190">
        <f>-(BS_Sorted!N18-BS_Sorted!M18)</f>
        <v>-195.51873283999976</v>
      </c>
      <c r="D25" s="190">
        <f>-(BS_Sorted!O18-BS_Sorted!N18)</f>
        <v>-204.57125017049202</v>
      </c>
      <c r="E25" s="190">
        <f>-(BS_Sorted!P18-BS_Sorted!O18)</f>
        <v>-214.04289905338555</v>
      </c>
      <c r="F25" s="190">
        <f>-(BS_Sorted!Q18-BS_Sorted!P18)</f>
        <v>-223.95308527955785</v>
      </c>
      <c r="G25" s="190">
        <f>-(BS_Sorted!R18-BS_Sorted!Q18)</f>
        <v>-234.32211312800064</v>
      </c>
      <c r="H25" s="190">
        <f>-(BS_Sorted!S18-BS_Sorted!R18)</f>
        <v>-245.17122696582737</v>
      </c>
      <c r="I25" s="190">
        <f>-(BS_Sorted!T18-BS_Sorted!S18)</f>
        <v>-256.52265477434503</v>
      </c>
      <c r="J25" s="255"/>
      <c r="L25" s="191"/>
      <c r="M25" s="19"/>
      <c r="N25" s="19"/>
      <c r="O25" s="19"/>
      <c r="P25" s="19"/>
    </row>
    <row r="26" spans="1:16" s="9" customFormat="1" x14ac:dyDescent="0.25">
      <c r="A26" s="223" t="s">
        <v>624</v>
      </c>
      <c r="B26" s="190">
        <f>-(BS_Sorted!M17-BS_Sorted!L17)</f>
        <v>-496.48499999999876</v>
      </c>
      <c r="C26" s="190">
        <f>-(BS_Sorted!N17-BS_Sorted!M17)</f>
        <v>-518.82682499999828</v>
      </c>
      <c r="D26" s="190">
        <f>-(BS_Sorted!O17-BS_Sorted!N17)</f>
        <v>-542.17403212499812</v>
      </c>
      <c r="E26" s="190">
        <f>-(BS_Sorted!P17-BS_Sorted!O17)</f>
        <v>-566.57186357062346</v>
      </c>
      <c r="F26" s="190">
        <f>-(BS_Sorted!Q17-BS_Sorted!P17)</f>
        <v>-592.06759743130169</v>
      </c>
      <c r="G26" s="190">
        <f>-(BS_Sorted!R17-BS_Sorted!Q17)</f>
        <v>-618.71063931571007</v>
      </c>
      <c r="H26" s="190">
        <f>-(BS_Sorted!S17-BS_Sorted!R17)</f>
        <v>-646.55261808491741</v>
      </c>
      <c r="I26" s="190">
        <f>-(BS_Sorted!T17-BS_Sorted!S17)</f>
        <v>-675.64748589873852</v>
      </c>
      <c r="J26" s="255"/>
      <c r="L26" s="191"/>
      <c r="M26" s="19"/>
      <c r="N26" s="19"/>
      <c r="O26" s="19"/>
      <c r="P26" s="19"/>
    </row>
    <row r="27" spans="1:16" s="9" customFormat="1" x14ac:dyDescent="0.25">
      <c r="A27" s="223" t="s">
        <v>591</v>
      </c>
      <c r="B27" s="190">
        <f>-Inputs!D42</f>
        <v>-966</v>
      </c>
      <c r="C27" s="190">
        <f>-Inputs!E42</f>
        <v>-999.81</v>
      </c>
      <c r="D27" s="190">
        <f>-Inputs!F42</f>
        <v>-1034.8033499999999</v>
      </c>
      <c r="E27" s="190">
        <f>-Inputs!G42</f>
        <v>-1071.0214672499999</v>
      </c>
      <c r="F27" s="190">
        <f>-Inputs!H42</f>
        <v>-1108.5072186037498</v>
      </c>
      <c r="G27" s="190">
        <f>-Inputs!I42</f>
        <v>-1147.3049712548809</v>
      </c>
      <c r="H27" s="190">
        <f>-Inputs!J42</f>
        <v>-1187.4606452488017</v>
      </c>
      <c r="I27" s="190">
        <f>-Inputs!K42</f>
        <v>-1229.0217678325096</v>
      </c>
      <c r="J27" s="255"/>
      <c r="L27" s="191"/>
      <c r="M27" s="19"/>
      <c r="N27" s="19"/>
      <c r="O27" s="19"/>
      <c r="P27" s="19"/>
    </row>
    <row r="28" spans="1:16" s="9" customFormat="1" x14ac:dyDescent="0.25">
      <c r="A28" s="223" t="s">
        <v>592</v>
      </c>
      <c r="B28" s="190">
        <f>-(BS_Sorted!M22-BS_Sorted!L22)-IS_Sorted!M10</f>
        <v>0</v>
      </c>
      <c r="C28" s="190">
        <f>-(BS_Sorted!N22-BS_Sorted!M22)-IS_Sorted!N10</f>
        <v>0</v>
      </c>
      <c r="D28" s="190">
        <f>-(BS_Sorted!O22-BS_Sorted!N22)-IS_Sorted!O10</f>
        <v>0</v>
      </c>
      <c r="E28" s="190">
        <f>-(BS_Sorted!P22-BS_Sorted!O22)-IS_Sorted!P10</f>
        <v>0</v>
      </c>
      <c r="F28" s="190">
        <f>-(BS_Sorted!Q22-BS_Sorted!P22)-IS_Sorted!Q10</f>
        <v>0</v>
      </c>
      <c r="G28" s="190">
        <f>-(BS_Sorted!R22-BS_Sorted!Q22)-IS_Sorted!R10</f>
        <v>0</v>
      </c>
      <c r="H28" s="190">
        <f>-(BS_Sorted!S22-BS_Sorted!R22)-IS_Sorted!S10</f>
        <v>0</v>
      </c>
      <c r="I28" s="190">
        <f>-(BS_Sorted!T22-BS_Sorted!S22)-IS_Sorted!T10</f>
        <v>0</v>
      </c>
      <c r="J28" s="255"/>
      <c r="L28" s="191"/>
      <c r="M28" s="19"/>
      <c r="N28" s="19"/>
      <c r="O28" s="19"/>
      <c r="P28" s="19"/>
    </row>
    <row r="29" spans="1:16" s="9" customFormat="1" x14ac:dyDescent="0.25">
      <c r="A29" s="223" t="s">
        <v>593</v>
      </c>
      <c r="B29" s="190">
        <f>-(BS_Sorted!M23-BS_Sorted!L23)</f>
        <v>0</v>
      </c>
      <c r="C29" s="190">
        <f>-(BS_Sorted!N23-BS_Sorted!M23)</f>
        <v>0</v>
      </c>
      <c r="D29" s="190">
        <f>-(BS_Sorted!O23-BS_Sorted!N23)</f>
        <v>0</v>
      </c>
      <c r="E29" s="190">
        <f>-(BS_Sorted!P23-BS_Sorted!O23)</f>
        <v>0</v>
      </c>
      <c r="F29" s="190">
        <f>-(BS_Sorted!Q23-BS_Sorted!P23)</f>
        <v>0</v>
      </c>
      <c r="G29" s="190">
        <f>-(BS_Sorted!R23-BS_Sorted!Q23)</f>
        <v>0</v>
      </c>
      <c r="H29" s="190">
        <f>-(BS_Sorted!S23-BS_Sorted!R23)</f>
        <v>0</v>
      </c>
      <c r="I29" s="190">
        <f>-(BS_Sorted!T23-BS_Sorted!S23)</f>
        <v>0</v>
      </c>
      <c r="J29" s="255"/>
      <c r="L29" s="191"/>
      <c r="M29" s="19"/>
      <c r="N29" s="19"/>
      <c r="O29" s="19"/>
      <c r="P29" s="19"/>
    </row>
    <row r="30" spans="1:16" s="9" customFormat="1" x14ac:dyDescent="0.25">
      <c r="A30" s="245" t="s">
        <v>594</v>
      </c>
      <c r="B30" s="453">
        <f>-(BS_Sorted!M25-BS_Sorted!L25)</f>
        <v>8351.9201987171473</v>
      </c>
      <c r="C30" s="453">
        <f>-(BS_Sorted!N25-BS_Sorted!M25)</f>
        <v>412.47576627719809</v>
      </c>
      <c r="D30" s="453">
        <f>-(BS_Sorted!O25-BS_Sorted!N25)</f>
        <v>311.38294662084263</v>
      </c>
      <c r="E30" s="453">
        <f>-(BS_Sorted!P25-BS_Sorted!O25)</f>
        <v>120.28765883161304</v>
      </c>
      <c r="F30" s="453">
        <f>-(BS_Sorted!Q25-BS_Sorted!P25)</f>
        <v>34.12415853379116</v>
      </c>
      <c r="G30" s="453">
        <f>-(BS_Sorted!R25-BS_Sorted!Q25)</f>
        <v>146.73388169530108</v>
      </c>
      <c r="H30" s="453">
        <f>-(BS_Sorted!S25-BS_Sorted!R25)</f>
        <v>128.39214648338839</v>
      </c>
      <c r="I30" s="453">
        <f>-(BS_Sorted!T25-BS_Sorted!S25)</f>
        <v>-16.635527285222906</v>
      </c>
      <c r="J30" s="255"/>
      <c r="L30" s="191"/>
      <c r="M30" s="19"/>
      <c r="N30" s="19"/>
      <c r="O30" s="19"/>
      <c r="P30" s="19"/>
    </row>
    <row r="31" spans="1:16" s="9" customFormat="1" x14ac:dyDescent="0.25">
      <c r="A31" s="312" t="s">
        <v>603</v>
      </c>
      <c r="B31" s="454">
        <f>SUM(B24:B30)</f>
        <v>-16330.662401282854</v>
      </c>
      <c r="C31" s="454">
        <f t="shared" ref="C31:I31" si="3">SUM(C24:C30)</f>
        <v>-3401.3491776027972</v>
      </c>
      <c r="D31" s="454">
        <f t="shared" si="3"/>
        <v>-3667.0497642882974</v>
      </c>
      <c r="E31" s="454">
        <f t="shared" si="3"/>
        <v>-4029.9483824958625</v>
      </c>
      <c r="F31" s="454">
        <f t="shared" si="3"/>
        <v>-4295.4287255045747</v>
      </c>
      <c r="G31" s="454">
        <f t="shared" si="3"/>
        <v>-4369.9814814271576</v>
      </c>
      <c r="H31" s="454">
        <f t="shared" si="3"/>
        <v>-4583.6782679453518</v>
      </c>
      <c r="I31" s="454">
        <f t="shared" si="3"/>
        <v>-4932.6159782071918</v>
      </c>
      <c r="J31" s="255"/>
      <c r="L31" s="191"/>
      <c r="M31" s="19"/>
      <c r="N31" s="19"/>
      <c r="O31" s="19"/>
      <c r="P31" s="19"/>
    </row>
    <row r="32" spans="1:16" s="9" customFormat="1" x14ac:dyDescent="0.25">
      <c r="A32" s="402" t="s">
        <v>597</v>
      </c>
      <c r="B32" s="190"/>
      <c r="C32" s="190"/>
      <c r="D32" s="190"/>
      <c r="E32" s="190"/>
      <c r="F32" s="190"/>
      <c r="G32" s="190"/>
      <c r="H32" s="190"/>
      <c r="I32" s="190"/>
      <c r="J32" s="255"/>
      <c r="L32" s="191"/>
      <c r="M32" s="19"/>
      <c r="N32" s="19"/>
      <c r="O32" s="19"/>
      <c r="P32" s="19"/>
    </row>
    <row r="33" spans="1:59" s="9" customFormat="1" x14ac:dyDescent="0.25">
      <c r="A33" s="223" t="s">
        <v>255</v>
      </c>
      <c r="B33" s="190">
        <f>BS_Sorted!M$29-BS_Sorted!L$29</f>
        <v>5036.724899015655</v>
      </c>
      <c r="C33" s="190">
        <f>BS_Sorted!N$29-BS_Sorted!M$29</f>
        <v>-684.30959990674182</v>
      </c>
      <c r="D33" s="190">
        <f>BS_Sorted!O$29-BS_Sorted!N$29</f>
        <v>-516.59359662039424</v>
      </c>
      <c r="E33" s="190">
        <f>BS_Sorted!P$29-BS_Sorted!O$29</f>
        <v>-199.56081403691951</v>
      </c>
      <c r="F33" s="190">
        <f>BS_Sorted!Q$29-BS_Sorted!P$29</f>
        <v>-56.612996889905844</v>
      </c>
      <c r="G33" s="190">
        <f>BS_Sorted!R$29-BS_Sorted!Q$29</f>
        <v>-243.43588662659749</v>
      </c>
      <c r="H33" s="190">
        <f>BS_Sorted!S$29-BS_Sorted!R$29</f>
        <v>-213.0064007982719</v>
      </c>
      <c r="I33" s="190">
        <f>BS_Sorted!T$29-BS_Sorted!S$29</f>
        <v>27.598835983829304</v>
      </c>
      <c r="J33" s="255"/>
      <c r="L33" s="191"/>
      <c r="M33" s="19"/>
      <c r="N33" s="19"/>
      <c r="O33" s="19"/>
      <c r="P33" s="19"/>
    </row>
    <row r="34" spans="1:59" s="9" customFormat="1" x14ac:dyDescent="0.25">
      <c r="A34" s="223" t="s">
        <v>622</v>
      </c>
      <c r="B34" s="190">
        <f>BS_Sorted!M39-BS_Sorted!L39</f>
        <v>-675</v>
      </c>
      <c r="C34" s="190">
        <f>BS_Sorted!N39-BS_Sorted!M39</f>
        <v>-472.5</v>
      </c>
      <c r="D34" s="190">
        <f>BS_Sorted!O39-BS_Sorted!N39</f>
        <v>-330.75</v>
      </c>
      <c r="E34" s="190">
        <f>BS_Sorted!P39-BS_Sorted!O39</f>
        <v>-231.52500000000009</v>
      </c>
      <c r="F34" s="190">
        <f>BS_Sorted!Q39-BS_Sorted!P39</f>
        <v>-162.0675</v>
      </c>
      <c r="G34" s="190">
        <f>BS_Sorted!R39-BS_Sorted!Q39</f>
        <v>-113.44725</v>
      </c>
      <c r="H34" s="190">
        <f>BS_Sorted!S39-BS_Sorted!R39</f>
        <v>-79.413074999999992</v>
      </c>
      <c r="I34" s="190">
        <f>BS_Sorted!T39-BS_Sorted!S39</f>
        <v>-55.589152499999983</v>
      </c>
      <c r="J34" s="255"/>
      <c r="L34" s="191"/>
      <c r="M34" s="19"/>
      <c r="N34" s="19"/>
      <c r="O34" s="19"/>
      <c r="P34" s="19"/>
    </row>
    <row r="35" spans="1:59" s="9" customFormat="1" x14ac:dyDescent="0.25">
      <c r="A35" s="223" t="s">
        <v>626</v>
      </c>
      <c r="B35" s="190">
        <f>BS_Sorted!M50-BS_Sorted!L50</f>
        <v>-21.560512989746513</v>
      </c>
      <c r="C35" s="190">
        <f>BS_Sorted!N50-BS_Sorted!M50</f>
        <v>-33.5567558115103</v>
      </c>
      <c r="D35" s="190">
        <f>BS_Sorted!O50-BS_Sorted!N50</f>
        <v>-31.165133972588563</v>
      </c>
      <c r="E35" s="190">
        <f>BS_Sorted!P50-BS_Sorted!O50</f>
        <v>-30.054593617926514</v>
      </c>
      <c r="F35" s="190">
        <f>BS_Sorted!Q50-BS_Sorted!P50</f>
        <v>-30.040265515950793</v>
      </c>
      <c r="G35" s="190">
        <f>BS_Sorted!R50-BS_Sorted!Q50</f>
        <v>-29.998902072496591</v>
      </c>
      <c r="H35" s="190">
        <f>BS_Sorted!S50-BS_Sorted!R50</f>
        <v>-29.410771800081619</v>
      </c>
      <c r="I35" s="190">
        <f>BS_Sorted!T50-BS_Sorted!S50</f>
        <v>-30.390720684460167</v>
      </c>
      <c r="J35" s="255"/>
      <c r="L35" s="191"/>
      <c r="M35" s="19"/>
      <c r="N35" s="19"/>
      <c r="O35" s="19"/>
      <c r="P35" s="19"/>
    </row>
    <row r="36" spans="1:59" s="9" customFormat="1" x14ac:dyDescent="0.25">
      <c r="A36" s="223" t="s">
        <v>598</v>
      </c>
      <c r="B36" s="190">
        <f>BS_Sorted!M38-BS_Sorted!L38</f>
        <v>30130.22345586466</v>
      </c>
      <c r="C36" s="190">
        <f>BS_Sorted!N38-BS_Sorted!M38</f>
        <v>297.86248754611734</v>
      </c>
      <c r="D36" s="190">
        <f>BS_Sorted!O38-BS_Sorted!N38</f>
        <v>-697.75727735994587</v>
      </c>
      <c r="E36" s="190">
        <f>BS_Sorted!P38-BS_Sorted!O38</f>
        <v>-360.62528713123902</v>
      </c>
      <c r="F36" s="190">
        <f>BS_Sorted!Q38-BS_Sorted!P38</f>
        <v>-103.27398522666044</v>
      </c>
      <c r="G36" s="190">
        <f>BS_Sorted!R38-BS_Sorted!Q38</f>
        <v>-4.479087552492274</v>
      </c>
      <c r="H36" s="190">
        <f>BS_Sorted!S38-BS_Sorted!R38</f>
        <v>78.583821804189938</v>
      </c>
      <c r="I36" s="190">
        <f>BS_Sorted!T38-BS_Sorted!S38</f>
        <v>440.89136681279342</v>
      </c>
      <c r="J36" s="255"/>
      <c r="L36" s="191"/>
      <c r="M36" s="19"/>
      <c r="N36" s="19"/>
      <c r="O36" s="19"/>
      <c r="P36" s="19"/>
    </row>
    <row r="37" spans="1:59" s="9" customFormat="1" x14ac:dyDescent="0.25">
      <c r="A37" s="223" t="s">
        <v>623</v>
      </c>
      <c r="B37" s="190">
        <f>BS_Sorted!M31-BS_Sorted!L31</f>
        <v>97.399295805338625</v>
      </c>
      <c r="C37" s="190">
        <f>BS_Sorted!N31-BS_Sorted!M31</f>
        <v>51.697476471006212</v>
      </c>
      <c r="D37" s="190">
        <f>BS_Sorted!O31-BS_Sorted!N31</f>
        <v>46.102487464468595</v>
      </c>
      <c r="E37" s="190">
        <f>BS_Sorted!P31-BS_Sorted!O31</f>
        <v>46.206940580849277</v>
      </c>
      <c r="F37" s="190">
        <f>BS_Sorted!Q31-BS_Sorted!P31</f>
        <v>47.056896307111856</v>
      </c>
      <c r="G37" s="190">
        <f>BS_Sorted!R31-BS_Sorted!Q31</f>
        <v>47.922386398151502</v>
      </c>
      <c r="H37" s="190">
        <f>BS_Sorted!S31-BS_Sorted!R31</f>
        <v>48.803692619685989</v>
      </c>
      <c r="I37" s="190">
        <f>BS_Sorted!T31-BS_Sorted!S31</f>
        <v>49.701101801690129</v>
      </c>
      <c r="J37" s="255"/>
      <c r="L37" s="191"/>
      <c r="M37" s="19"/>
      <c r="N37" s="19"/>
      <c r="O37" s="19"/>
      <c r="P37" s="19"/>
    </row>
    <row r="38" spans="1:59" s="9" customFormat="1" x14ac:dyDescent="0.25">
      <c r="A38" s="223" t="s">
        <v>599</v>
      </c>
      <c r="B38" s="11">
        <f>-(IS_Sorted!M34*IS_Sorted!M35)</f>
        <v>-9237.7919999999995</v>
      </c>
      <c r="C38" s="11">
        <f>-(IS_Sorted!N34*IS_Sorted!N35)</f>
        <v>-9436.7466220075112</v>
      </c>
      <c r="D38" s="11">
        <f>-(IS_Sorted!O34*IS_Sorted!O35)</f>
        <v>-9614.1692660749359</v>
      </c>
      <c r="E38" s="11">
        <f>-(IS_Sorted!P34*IS_Sorted!P35)</f>
        <v>-9791.993891664586</v>
      </c>
      <c r="F38" s="11">
        <f>-(IS_Sorted!Q34*IS_Sorted!Q35)</f>
        <v>-9973.0895206336099</v>
      </c>
      <c r="G38" s="11">
        <f>-(IS_Sorted!R34*IS_Sorted!R35)</f>
        <v>-10157.515936048478</v>
      </c>
      <c r="H38" s="11">
        <f>-(IS_Sorted!S34*IS_Sorted!S35)</f>
        <v>-10345.334005334045</v>
      </c>
      <c r="I38" s="11">
        <f>-(IS_Sorted!T34*IS_Sorted!T35)</f>
        <v>-10536.605699763035</v>
      </c>
      <c r="J38" s="255"/>
      <c r="L38" s="191"/>
      <c r="M38" s="19"/>
      <c r="N38" s="19"/>
      <c r="O38" s="19"/>
      <c r="P38" s="19"/>
    </row>
    <row r="39" spans="1:59" s="9" customFormat="1" x14ac:dyDescent="0.25">
      <c r="A39" s="223" t="s">
        <v>600</v>
      </c>
      <c r="B39" s="190">
        <f>BS_Sorted!M45-BS_Sorted!L45</f>
        <v>528.69599999999627</v>
      </c>
      <c r="C39" s="190">
        <f>BS_Sorted!N45-BS_Sorted!M45</f>
        <v>528.69599999999627</v>
      </c>
      <c r="D39" s="190">
        <f>BS_Sorted!O45-BS_Sorted!N45</f>
        <v>52.869600000005448</v>
      </c>
      <c r="E39" s="190">
        <f>BS_Sorted!P45-BS_Sorted!O45</f>
        <v>0</v>
      </c>
      <c r="F39" s="190">
        <f>BS_Sorted!Q45-BS_Sorted!P45</f>
        <v>0</v>
      </c>
      <c r="G39" s="190">
        <f>BS_Sorted!R45-BS_Sorted!Q45</f>
        <v>0</v>
      </c>
      <c r="H39" s="190">
        <f>BS_Sorted!S45-BS_Sorted!R45</f>
        <v>0</v>
      </c>
      <c r="I39" s="190">
        <f>BS_Sorted!T45-BS_Sorted!S45</f>
        <v>0</v>
      </c>
      <c r="J39" s="255"/>
      <c r="L39" s="191"/>
      <c r="M39" s="19"/>
      <c r="N39" s="19"/>
      <c r="O39" s="19"/>
      <c r="P39" s="19"/>
    </row>
    <row r="40" spans="1:59" s="9" customFormat="1" x14ac:dyDescent="0.25">
      <c r="A40" s="223" t="s">
        <v>601</v>
      </c>
      <c r="B40" s="190">
        <f>-(BS_Sorted!M46-BS_Sorted!L46)</f>
        <v>0</v>
      </c>
      <c r="C40" s="190">
        <f>-(BS_Sorted!N46-BS_Sorted!M46)</f>
        <v>-250</v>
      </c>
      <c r="D40" s="190">
        <f>-(BS_Sorted!O46-BS_Sorted!N46)</f>
        <v>-255</v>
      </c>
      <c r="E40" s="190">
        <f>-(BS_Sorted!P46-BS_Sorted!O46)</f>
        <v>-260.10000000000582</v>
      </c>
      <c r="F40" s="190">
        <f>-(BS_Sorted!Q46-BS_Sorted!P46)</f>
        <v>-265.30199999999604</v>
      </c>
      <c r="G40" s="190">
        <f>-(BS_Sorted!R46-BS_Sorted!Q46)</f>
        <v>-270.60804000000644</v>
      </c>
      <c r="H40" s="190">
        <f>-(BS_Sorted!S46-BS_Sorted!R46)</f>
        <v>-276.02020080000511</v>
      </c>
      <c r="I40" s="190">
        <f>-(BS_Sorted!T46-BS_Sorted!S46)</f>
        <v>-281.54060481599299</v>
      </c>
      <c r="J40" s="255"/>
      <c r="L40" s="191"/>
      <c r="M40" s="19"/>
      <c r="N40" s="19"/>
      <c r="O40" s="19"/>
      <c r="P40" s="19"/>
    </row>
    <row r="41" spans="1:59" s="9" customFormat="1" x14ac:dyDescent="0.25">
      <c r="A41" s="245" t="s">
        <v>602</v>
      </c>
      <c r="B41" s="453">
        <f>(BS_Sorted!M48-BS_Sorted!L48)</f>
        <v>0</v>
      </c>
      <c r="C41" s="453">
        <f>(BS_Sorted!N48-BS_Sorted!M48)</f>
        <v>0</v>
      </c>
      <c r="D41" s="453">
        <f>(BS_Sorted!O48-BS_Sorted!N48)</f>
        <v>0</v>
      </c>
      <c r="E41" s="453">
        <f>(BS_Sorted!P48-BS_Sorted!O48)</f>
        <v>0</v>
      </c>
      <c r="F41" s="453">
        <f>(BS_Sorted!Q48-BS_Sorted!P48)</f>
        <v>0</v>
      </c>
      <c r="G41" s="453">
        <f>(BS_Sorted!R48-BS_Sorted!Q48)</f>
        <v>0</v>
      </c>
      <c r="H41" s="453">
        <f>(BS_Sorted!S48-BS_Sorted!R48)</f>
        <v>0</v>
      </c>
      <c r="I41" s="453">
        <f>(BS_Sorted!T48-BS_Sorted!S48)</f>
        <v>0</v>
      </c>
      <c r="J41" s="255"/>
      <c r="L41" s="191"/>
      <c r="M41" s="19"/>
      <c r="N41" s="19"/>
      <c r="O41" s="19"/>
      <c r="P41" s="19"/>
    </row>
    <row r="42" spans="1:59" s="9" customFormat="1" x14ac:dyDescent="0.25">
      <c r="A42" s="312" t="s">
        <v>595</v>
      </c>
      <c r="B42" s="454">
        <f t="shared" ref="B42:I42" si="4">SUM(B33:B41)</f>
        <v>25858.691137695903</v>
      </c>
      <c r="C42" s="454">
        <f t="shared" si="4"/>
        <v>-9998.8570137086426</v>
      </c>
      <c r="D42" s="454">
        <f t="shared" si="4"/>
        <v>-11346.463186563391</v>
      </c>
      <c r="E42" s="454">
        <f t="shared" si="4"/>
        <v>-10827.652645869828</v>
      </c>
      <c r="F42" s="454">
        <f t="shared" si="4"/>
        <v>-10543.329371959011</v>
      </c>
      <c r="G42" s="454">
        <f t="shared" si="4"/>
        <v>-10771.562715901919</v>
      </c>
      <c r="H42" s="454">
        <f t="shared" si="4"/>
        <v>-10815.796939308528</v>
      </c>
      <c r="I42" s="454">
        <f t="shared" si="4"/>
        <v>-10385.934873165175</v>
      </c>
      <c r="J42" s="255"/>
      <c r="L42" s="191"/>
      <c r="M42" s="19"/>
      <c r="N42" s="19"/>
      <c r="O42" s="19"/>
      <c r="P42" s="19"/>
    </row>
    <row r="43" spans="1:59" s="9" customFormat="1" x14ac:dyDescent="0.25">
      <c r="A43" s="158" t="s">
        <v>613</v>
      </c>
      <c r="B43" s="190">
        <f t="shared" ref="B43:I43" si="5">B22+B31+B42</f>
        <v>7114.6145155892082</v>
      </c>
      <c r="C43" s="190">
        <f t="shared" si="5"/>
        <v>-3222.5940419910403</v>
      </c>
      <c r="D43" s="190">
        <f t="shared" si="5"/>
        <v>696.76449858995875</v>
      </c>
      <c r="E43" s="190">
        <f t="shared" si="5"/>
        <v>1691.5607434451449</v>
      </c>
      <c r="F43" s="190">
        <f t="shared" si="5"/>
        <v>1707.9060395854285</v>
      </c>
      <c r="G43" s="190">
        <f t="shared" si="5"/>
        <v>-522.24243702075364</v>
      </c>
      <c r="H43" s="190">
        <f t="shared" si="5"/>
        <v>-2277.7269299474538</v>
      </c>
      <c r="I43" s="190">
        <f t="shared" si="5"/>
        <v>-2644.6137807781179</v>
      </c>
      <c r="J43" s="255"/>
      <c r="L43" s="191"/>
      <c r="M43" s="19"/>
      <c r="N43" s="19"/>
      <c r="O43" s="19"/>
      <c r="P43" s="19"/>
    </row>
    <row r="44" spans="1:59" s="9" customFormat="1" x14ac:dyDescent="0.25">
      <c r="A44" s="158" t="s">
        <v>616</v>
      </c>
      <c r="B44" s="190">
        <f>BS_Sorted!L6</f>
        <v>416</v>
      </c>
      <c r="C44" s="190">
        <f>BS_Sorted!M6</f>
        <v>7530.6145155892082</v>
      </c>
      <c r="D44" s="190">
        <f>BS_Sorted!N6</f>
        <v>4308.0204735981679</v>
      </c>
      <c r="E44" s="190">
        <f>BS_Sorted!O6</f>
        <v>5004.7849721881266</v>
      </c>
      <c r="F44" s="190">
        <f>BS_Sorted!P6</f>
        <v>6696.3457156332715</v>
      </c>
      <c r="G44" s="190">
        <f>BS_Sorted!Q6</f>
        <v>8404.2517552187001</v>
      </c>
      <c r="H44" s="190">
        <f>BS_Sorted!R6</f>
        <v>7882.0093181979464</v>
      </c>
      <c r="I44" s="190">
        <f>BS_Sorted!S6</f>
        <v>5604.2823882504927</v>
      </c>
      <c r="J44" s="191"/>
      <c r="L44" s="191"/>
      <c r="M44" s="19"/>
      <c r="N44" s="19"/>
      <c r="O44" s="19"/>
      <c r="P44" s="19"/>
    </row>
    <row r="45" spans="1:59" s="9" customFormat="1" x14ac:dyDescent="0.25">
      <c r="A45" s="158" t="s">
        <v>617</v>
      </c>
      <c r="B45" s="190">
        <f t="shared" ref="B45:I45" si="6">B44+B43</f>
        <v>7530.6145155892082</v>
      </c>
      <c r="C45" s="190">
        <f t="shared" si="6"/>
        <v>4308.0204735981679</v>
      </c>
      <c r="D45" s="190">
        <f t="shared" si="6"/>
        <v>5004.7849721881266</v>
      </c>
      <c r="E45" s="190">
        <f t="shared" si="6"/>
        <v>6696.3457156332715</v>
      </c>
      <c r="F45" s="190">
        <f t="shared" si="6"/>
        <v>8404.2517552187001</v>
      </c>
      <c r="G45" s="190">
        <f t="shared" si="6"/>
        <v>7882.0093181979464</v>
      </c>
      <c r="H45" s="190">
        <f t="shared" si="6"/>
        <v>5604.2823882504927</v>
      </c>
      <c r="I45" s="190">
        <f t="shared" si="6"/>
        <v>2959.6686074723748</v>
      </c>
      <c r="J45" s="255"/>
      <c r="L45" s="191"/>
      <c r="M45" s="19"/>
      <c r="N45" s="19"/>
      <c r="O45" s="19"/>
      <c r="P45" s="19"/>
    </row>
    <row r="46" spans="1:59" x14ac:dyDescent="0.25">
      <c r="A46" s="158"/>
      <c r="B46" s="11"/>
      <c r="C46" s="11"/>
      <c r="D46" s="11"/>
      <c r="E46" s="11"/>
      <c r="F46" s="11"/>
      <c r="G46" s="11"/>
      <c r="J46" s="255"/>
      <c r="K46" s="191"/>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row>
    <row r="47" spans="1:59" x14ac:dyDescent="0.25">
      <c r="A47" s="158"/>
      <c r="C47" s="11"/>
      <c r="D47" s="11"/>
      <c r="E47" s="11"/>
      <c r="F47" s="11"/>
      <c r="G47" s="11"/>
      <c r="H47" s="11"/>
      <c r="I47" s="11"/>
      <c r="J47" s="133"/>
      <c r="L47" s="133"/>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row>
    <row r="48" spans="1:59" s="1" customFormat="1" x14ac:dyDescent="0.25">
      <c r="A48" s="158"/>
      <c r="B48" s="12"/>
      <c r="C48" s="12"/>
      <c r="D48" s="12"/>
      <c r="E48" s="12"/>
      <c r="F48" s="12"/>
      <c r="G48" s="12"/>
      <c r="H48" s="12"/>
      <c r="I48" s="12"/>
      <c r="J48" s="192"/>
      <c r="K48" s="17"/>
      <c r="L48" s="192"/>
      <c r="M48" s="20"/>
      <c r="N48" s="20"/>
      <c r="O48" s="20"/>
      <c r="P48" s="20"/>
    </row>
    <row r="49" spans="1:59" s="1" customFormat="1" x14ac:dyDescent="0.25">
      <c r="A49" s="158"/>
      <c r="B49" s="12"/>
      <c r="C49" s="12"/>
      <c r="D49" s="12"/>
      <c r="E49" s="12"/>
      <c r="F49" s="12"/>
      <c r="G49" s="12"/>
      <c r="H49" s="20"/>
      <c r="I49" s="21"/>
      <c r="J49" s="20"/>
      <c r="K49" s="133"/>
      <c r="L49" s="20"/>
      <c r="M49" s="20"/>
      <c r="N49" s="20"/>
      <c r="O49" s="20"/>
      <c r="P49" s="20"/>
    </row>
    <row r="50" spans="1:59" s="1" customFormat="1" x14ac:dyDescent="0.25">
      <c r="A50" s="158"/>
      <c r="B50" s="12"/>
      <c r="C50" s="12"/>
      <c r="D50" s="12"/>
      <c r="E50" s="12"/>
      <c r="F50" s="12"/>
      <c r="G50" s="12"/>
      <c r="H50" s="192"/>
      <c r="I50" s="244"/>
      <c r="J50" s="192"/>
      <c r="K50" s="20"/>
      <c r="L50" s="192"/>
      <c r="M50" s="20"/>
      <c r="N50" s="20"/>
      <c r="O50" s="20"/>
      <c r="P50" s="20"/>
    </row>
    <row r="51" spans="1:59" x14ac:dyDescent="0.25">
      <c r="A51" s="158"/>
      <c r="B51" s="11"/>
      <c r="C51" s="11"/>
      <c r="D51" s="11"/>
      <c r="E51" s="11"/>
      <c r="F51" s="11"/>
      <c r="G51" s="11"/>
      <c r="H51" s="133"/>
      <c r="K51" s="133"/>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row>
    <row r="52" spans="1:59" s="1" customFormat="1" x14ac:dyDescent="0.25">
      <c r="A52" s="158"/>
      <c r="B52" s="11"/>
      <c r="C52" s="11"/>
      <c r="D52" s="11"/>
      <c r="E52" s="11"/>
      <c r="F52" s="11"/>
      <c r="G52" s="11"/>
      <c r="H52" s="133"/>
      <c r="I52" s="243"/>
      <c r="J52" s="192"/>
      <c r="K52" s="133"/>
      <c r="L52" s="192"/>
      <c r="M52" s="20"/>
      <c r="N52" s="20"/>
      <c r="O52" s="20"/>
      <c r="P52" s="20"/>
    </row>
    <row r="53" spans="1:59" s="1" customFormat="1" x14ac:dyDescent="0.25">
      <c r="A53" s="158"/>
      <c r="B53" s="11"/>
      <c r="C53" s="11"/>
      <c r="D53" s="11"/>
      <c r="E53" s="11"/>
      <c r="F53" s="11"/>
      <c r="G53" s="11"/>
      <c r="H53" s="17"/>
      <c r="I53" s="18"/>
      <c r="J53" s="20"/>
      <c r="K53" s="133"/>
      <c r="L53" s="20"/>
      <c r="M53" s="20"/>
      <c r="N53" s="20"/>
      <c r="O53" s="20"/>
      <c r="P53" s="20"/>
    </row>
    <row r="54" spans="1:59" x14ac:dyDescent="0.25">
      <c r="A54" s="158"/>
      <c r="B54" s="11"/>
      <c r="C54" s="11"/>
      <c r="D54" s="11"/>
      <c r="E54" s="11"/>
      <c r="F54" s="11"/>
      <c r="G54" s="11"/>
      <c r="K54" s="21"/>
      <c r="L54" s="133"/>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row>
    <row r="55" spans="1:59" x14ac:dyDescent="0.25">
      <c r="A55" s="158"/>
      <c r="B55" s="11"/>
      <c r="C55" s="11"/>
      <c r="D55" s="11"/>
      <c r="E55" s="11"/>
      <c r="F55" s="11"/>
      <c r="G55" s="11"/>
      <c r="H55" s="133"/>
      <c r="I55" s="243"/>
      <c r="J55" s="133"/>
      <c r="K55" s="133"/>
      <c r="L55" s="133"/>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row>
    <row r="56" spans="1:59" x14ac:dyDescent="0.25">
      <c r="A56" s="158"/>
      <c r="B56" s="11"/>
      <c r="C56" s="11"/>
      <c r="D56" s="11"/>
      <c r="E56" s="11"/>
      <c r="F56" s="11"/>
      <c r="G56" s="11"/>
      <c r="K56" s="133"/>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row>
    <row r="57" spans="1:59" x14ac:dyDescent="0.25">
      <c r="A57" s="158"/>
      <c r="B57" s="11"/>
      <c r="C57" s="11"/>
      <c r="D57" s="11"/>
      <c r="E57" s="11"/>
      <c r="F57" s="11"/>
      <c r="G57" s="11"/>
      <c r="H57" s="133"/>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row>
    <row r="58" spans="1:59" x14ac:dyDescent="0.25">
      <c r="A58" s="158"/>
      <c r="B58" s="11"/>
      <c r="C58" s="11"/>
      <c r="D58" s="11"/>
      <c r="E58" s="11"/>
      <c r="F58" s="11"/>
      <c r="G58" s="11"/>
      <c r="H58" s="133"/>
      <c r="I58" s="243"/>
      <c r="J58" s="133"/>
      <c r="K58" s="133"/>
      <c r="L58" s="133"/>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row>
    <row r="59" spans="1:59" x14ac:dyDescent="0.25">
      <c r="A59" s="158"/>
      <c r="B59" s="11"/>
      <c r="C59" s="11"/>
      <c r="D59" s="11"/>
      <c r="E59" s="11"/>
      <c r="F59" s="11"/>
      <c r="G59" s="11"/>
      <c r="H59" s="133"/>
      <c r="I59" s="243"/>
      <c r="J59" s="133"/>
      <c r="K59" s="133"/>
      <c r="L59" s="133"/>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row>
    <row r="60" spans="1:59" s="1" customFormat="1" x14ac:dyDescent="0.25">
      <c r="A60" s="158"/>
      <c r="B60" s="12"/>
      <c r="C60" s="12"/>
      <c r="D60" s="12"/>
      <c r="E60" s="12"/>
      <c r="F60" s="12"/>
      <c r="G60" s="12"/>
      <c r="H60" s="20"/>
      <c r="I60" s="244"/>
      <c r="J60" s="20"/>
      <c r="K60" s="133"/>
      <c r="L60" s="20"/>
      <c r="M60" s="20"/>
      <c r="N60" s="20"/>
      <c r="O60" s="20"/>
      <c r="P60" s="20"/>
    </row>
    <row r="61" spans="1:59" x14ac:dyDescent="0.25">
      <c r="A61" s="158"/>
      <c r="B61" s="221"/>
      <c r="C61" s="221"/>
      <c r="D61" s="221"/>
      <c r="E61" s="221"/>
      <c r="F61" s="221"/>
      <c r="G61" s="221"/>
      <c r="H61" s="221"/>
      <c r="I61" s="221"/>
      <c r="J61" s="133"/>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row>
    <row r="62" spans="1:59" x14ac:dyDescent="0.25">
      <c r="A62" s="158"/>
      <c r="B62" s="11"/>
      <c r="C62" s="11"/>
      <c r="D62" s="11"/>
      <c r="E62" s="11"/>
      <c r="F62" s="11"/>
      <c r="G62" s="11"/>
      <c r="K62" s="133"/>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row>
    <row r="63" spans="1:59" x14ac:dyDescent="0.25">
      <c r="A63" s="158"/>
      <c r="B63" s="11"/>
      <c r="C63" s="11"/>
      <c r="D63" s="11"/>
      <c r="E63" s="11"/>
      <c r="F63" s="11"/>
      <c r="G63" s="11"/>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row>
    <row r="64" spans="1:59" s="1" customFormat="1" x14ac:dyDescent="0.25">
      <c r="A64" s="158"/>
      <c r="B64" s="12"/>
      <c r="C64" s="12"/>
      <c r="D64" s="12"/>
      <c r="E64" s="12"/>
      <c r="F64" s="12"/>
      <c r="G64" s="12"/>
      <c r="H64" s="20"/>
      <c r="I64" s="21"/>
      <c r="J64" s="20"/>
      <c r="K64" s="20"/>
      <c r="L64" s="20"/>
      <c r="M64" s="20"/>
      <c r="N64" s="20"/>
      <c r="O64" s="20"/>
      <c r="P64" s="20"/>
    </row>
    <row r="65" spans="1:59" s="1" customFormat="1" x14ac:dyDescent="0.25">
      <c r="A65" s="158"/>
      <c r="B65" s="12"/>
      <c r="C65" s="12"/>
      <c r="D65" s="12"/>
      <c r="E65" s="12"/>
      <c r="F65" s="12"/>
      <c r="G65" s="12"/>
      <c r="H65" s="20"/>
      <c r="I65" s="21"/>
      <c r="J65" s="20"/>
      <c r="K65" s="20"/>
      <c r="L65" s="20"/>
      <c r="M65" s="20"/>
      <c r="N65" s="20"/>
      <c r="O65" s="20"/>
      <c r="P65" s="20"/>
    </row>
    <row r="66" spans="1:59" x14ac:dyDescent="0.25">
      <c r="A66" s="158"/>
      <c r="B66" s="11"/>
      <c r="C66" s="11"/>
      <c r="D66" s="11"/>
      <c r="E66" s="11"/>
      <c r="F66" s="11"/>
      <c r="G66" s="11"/>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row>
    <row r="67" spans="1:59" s="1" customFormat="1" x14ac:dyDescent="0.25">
      <c r="A67" s="158"/>
      <c r="B67" s="13"/>
      <c r="C67" s="13"/>
      <c r="D67" s="13"/>
      <c r="E67" s="13"/>
      <c r="F67" s="13"/>
      <c r="G67" s="13"/>
      <c r="H67" s="20"/>
      <c r="I67" s="21"/>
      <c r="J67" s="20"/>
      <c r="K67" s="20"/>
      <c r="L67" s="20"/>
      <c r="M67" s="20"/>
      <c r="N67" s="20"/>
      <c r="O67" s="20"/>
      <c r="P67" s="20"/>
    </row>
    <row r="68" spans="1:59" x14ac:dyDescent="0.25">
      <c r="A68" s="158"/>
      <c r="B68" s="2"/>
      <c r="C68" s="2"/>
      <c r="D68" s="2"/>
      <c r="E68" s="2"/>
      <c r="F68" s="2"/>
      <c r="G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row>
    <row r="69" spans="1:59" x14ac:dyDescent="0.25">
      <c r="A69" s="158"/>
      <c r="B69" s="2"/>
      <c r="C69" s="2"/>
      <c r="D69" s="2"/>
      <c r="E69" s="2"/>
      <c r="F69" s="2"/>
      <c r="G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row>
    <row r="70" spans="1:59" x14ac:dyDescent="0.25">
      <c r="A70" s="158"/>
      <c r="B70" s="2"/>
      <c r="C70" s="2"/>
      <c r="D70" s="2"/>
      <c r="E70" s="2"/>
      <c r="F70" s="2"/>
      <c r="G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row>
    <row r="71" spans="1:59" x14ac:dyDescent="0.25">
      <c r="A71" s="158"/>
      <c r="B71" s="2"/>
      <c r="C71" s="2"/>
      <c r="D71" s="2"/>
      <c r="E71" s="2"/>
      <c r="F71" s="2"/>
      <c r="G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row>
    <row r="72" spans="1:59" x14ac:dyDescent="0.25">
      <c r="A72" s="158"/>
      <c r="B72" s="2"/>
      <c r="C72" s="2"/>
      <c r="D72" s="2"/>
      <c r="E72" s="2"/>
      <c r="F72" s="2"/>
      <c r="G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row>
    <row r="73" spans="1:59" x14ac:dyDescent="0.25">
      <c r="A73" s="158"/>
      <c r="B73" s="11"/>
      <c r="C73" s="11"/>
      <c r="D73" s="11"/>
      <c r="E73" s="11"/>
      <c r="F73" s="11"/>
      <c r="G73" s="11"/>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row>
    <row r="74" spans="1:59" x14ac:dyDescent="0.25">
      <c r="A74" s="158"/>
      <c r="B74" s="158"/>
      <c r="C74" s="158"/>
      <c r="D74" s="158"/>
      <c r="E74" s="158"/>
      <c r="F74" s="158"/>
      <c r="G74" s="158"/>
      <c r="H74" s="158"/>
      <c r="I74" s="158"/>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row>
    <row r="75" spans="1:59" x14ac:dyDescent="0.25">
      <c r="A75" s="158"/>
      <c r="B75" s="14"/>
      <c r="C75" s="14"/>
      <c r="D75" s="14"/>
      <c r="E75" s="14"/>
      <c r="F75" s="14"/>
      <c r="G75" s="14"/>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row>
    <row r="76" spans="1:59" x14ac:dyDescent="0.25">
      <c r="A76" s="158"/>
      <c r="B76" s="2"/>
      <c r="C76" s="2"/>
      <c r="D76" s="2"/>
      <c r="E76" s="2"/>
      <c r="F76" s="2"/>
      <c r="G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row>
    <row r="77" spans="1:59" s="9" customFormat="1" x14ac:dyDescent="0.25">
      <c r="A77" s="158"/>
      <c r="H77" s="19"/>
      <c r="I77" s="19"/>
      <c r="J77" s="19"/>
      <c r="K77" s="19"/>
      <c r="L77" s="19"/>
      <c r="M77" s="19"/>
      <c r="N77" s="19"/>
      <c r="O77" s="19"/>
      <c r="P77" s="19"/>
    </row>
    <row r="78" spans="1:59" s="9" customFormat="1" x14ac:dyDescent="0.25">
      <c r="A78" s="158"/>
      <c r="H78" s="19"/>
      <c r="I78" s="19"/>
      <c r="J78" s="19"/>
      <c r="K78" s="19"/>
      <c r="L78" s="19"/>
      <c r="M78" s="19"/>
      <c r="N78" s="19"/>
      <c r="O78" s="19"/>
      <c r="P78" s="19"/>
    </row>
    <row r="79" spans="1:59" s="9" customFormat="1" x14ac:dyDescent="0.25">
      <c r="A79" s="158"/>
      <c r="H79" s="19"/>
      <c r="I79" s="19"/>
      <c r="J79" s="19"/>
      <c r="K79" s="19"/>
      <c r="L79" s="19"/>
      <c r="M79" s="19"/>
      <c r="N79" s="19"/>
      <c r="O79" s="19"/>
      <c r="P79" s="19"/>
    </row>
    <row r="80" spans="1:59" s="9" customFormat="1" x14ac:dyDescent="0.25">
      <c r="A80" s="158"/>
      <c r="H80" s="19"/>
      <c r="I80" s="19"/>
      <c r="J80" s="19"/>
      <c r="K80" s="19"/>
      <c r="L80" s="19"/>
      <c r="M80" s="19"/>
      <c r="N80" s="19"/>
      <c r="O80" s="19"/>
      <c r="P80" s="19"/>
    </row>
    <row r="81" spans="1:59" s="16" customFormat="1" x14ac:dyDescent="0.25">
      <c r="A81" s="158"/>
      <c r="H81" s="22"/>
      <c r="I81" s="23"/>
      <c r="J81" s="22"/>
      <c r="K81" s="22"/>
      <c r="L81" s="22"/>
      <c r="M81" s="22"/>
      <c r="N81" s="22"/>
      <c r="O81" s="22"/>
      <c r="P81" s="22"/>
    </row>
    <row r="82" spans="1:59" x14ac:dyDescent="0.25">
      <c r="A82" s="158"/>
      <c r="B82" s="2"/>
      <c r="C82" s="2"/>
      <c r="D82" s="2"/>
      <c r="E82" s="2"/>
      <c r="F82" s="2"/>
      <c r="G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row>
    <row r="83" spans="1:59" x14ac:dyDescent="0.25">
      <c r="A83" s="158"/>
      <c r="B83" s="2"/>
      <c r="C83" s="2"/>
      <c r="D83" s="2"/>
      <c r="E83" s="2"/>
      <c r="F83" s="2"/>
      <c r="G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row>
    <row r="84" spans="1:59" x14ac:dyDescent="0.25">
      <c r="A84" s="158"/>
      <c r="B84" s="2"/>
      <c r="C84" s="2"/>
      <c r="D84" s="2"/>
      <c r="E84" s="2"/>
      <c r="F84" s="2"/>
      <c r="G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row>
    <row r="85" spans="1:59" x14ac:dyDescent="0.25">
      <c r="A85" s="158"/>
      <c r="B85" s="2"/>
      <c r="C85" s="2"/>
      <c r="D85" s="2"/>
      <c r="E85" s="2"/>
      <c r="F85" s="2"/>
      <c r="G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row>
    <row r="86" spans="1:59" x14ac:dyDescent="0.25">
      <c r="A86" s="158"/>
      <c r="B86" s="158"/>
      <c r="C86" s="158"/>
      <c r="D86" s="158"/>
      <c r="E86" s="158"/>
      <c r="F86" s="158"/>
      <c r="G86" s="158"/>
      <c r="H86" s="158"/>
      <c r="I86" s="158"/>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row>
    <row r="87" spans="1:59" x14ac:dyDescent="0.25">
      <c r="A87" s="158"/>
      <c r="B87" s="2"/>
      <c r="C87" s="2"/>
      <c r="D87" s="2"/>
      <c r="E87" s="2"/>
      <c r="F87" s="2"/>
      <c r="G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row>
    <row r="88" spans="1:59" x14ac:dyDescent="0.25">
      <c r="A88" s="158"/>
      <c r="B88" s="2"/>
      <c r="C88" s="2"/>
      <c r="D88" s="2"/>
      <c r="E88" s="2"/>
      <c r="F88" s="2"/>
      <c r="G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row>
    <row r="89" spans="1:59" x14ac:dyDescent="0.25">
      <c r="A89" s="158"/>
      <c r="B89" s="2"/>
      <c r="C89" s="2"/>
      <c r="D89" s="2"/>
      <c r="E89" s="2"/>
      <c r="F89" s="2"/>
      <c r="G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row>
    <row r="90" spans="1:59" x14ac:dyDescent="0.25">
      <c r="A90" s="158"/>
      <c r="B90" s="2"/>
      <c r="C90" s="2"/>
      <c r="D90" s="2"/>
      <c r="E90" s="2"/>
      <c r="F90" s="2"/>
      <c r="G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row>
    <row r="91" spans="1:59" x14ac:dyDescent="0.25">
      <c r="A91" s="158"/>
      <c r="B91" s="2"/>
      <c r="C91" s="2"/>
      <c r="D91" s="2"/>
      <c r="E91" s="2"/>
      <c r="F91" s="2"/>
      <c r="G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row>
    <row r="92" spans="1:59" x14ac:dyDescent="0.25">
      <c r="A92" s="158"/>
      <c r="B92" s="2"/>
      <c r="C92" s="2"/>
      <c r="D92" s="2"/>
      <c r="E92" s="2"/>
      <c r="F92" s="2"/>
      <c r="G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row>
    <row r="93" spans="1:59" x14ac:dyDescent="0.25">
      <c r="A93" s="158"/>
      <c r="B93" s="2"/>
      <c r="C93" s="2"/>
      <c r="D93" s="2"/>
      <c r="E93" s="2"/>
      <c r="F93" s="2"/>
      <c r="G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row>
    <row r="94" spans="1:59" x14ac:dyDescent="0.25">
      <c r="B94" s="2"/>
      <c r="C94" s="2"/>
      <c r="D94" s="2"/>
      <c r="E94" s="2"/>
      <c r="F94" s="2"/>
      <c r="G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row>
    <row r="95" spans="1:59" x14ac:dyDescent="0.25">
      <c r="B95" s="2"/>
      <c r="C95" s="2"/>
      <c r="D95" s="2"/>
      <c r="E95" s="2"/>
      <c r="F95" s="2"/>
      <c r="G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row>
    <row r="96" spans="1:59" x14ac:dyDescent="0.25">
      <c r="B96" s="2"/>
      <c r="C96" s="2"/>
      <c r="D96" s="2"/>
      <c r="E96" s="2"/>
      <c r="F96" s="2"/>
      <c r="G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row>
    <row r="97" spans="2:59" x14ac:dyDescent="0.25">
      <c r="B97" s="2"/>
      <c r="C97" s="2"/>
      <c r="D97" s="2"/>
      <c r="E97" s="2"/>
      <c r="F97" s="2"/>
      <c r="G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row>
    <row r="98" spans="2:59" x14ac:dyDescent="0.25">
      <c r="B98" s="2"/>
      <c r="C98" s="2"/>
      <c r="D98" s="2"/>
      <c r="E98" s="2"/>
      <c r="F98" s="2"/>
      <c r="G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row>
    <row r="99" spans="2:59" x14ac:dyDescent="0.25">
      <c r="B99" s="2"/>
      <c r="C99" s="2"/>
      <c r="D99" s="2"/>
      <c r="E99" s="2"/>
      <c r="F99" s="2"/>
      <c r="G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row>
    <row r="100" spans="2:59" x14ac:dyDescent="0.25">
      <c r="B100" s="2"/>
      <c r="C100" s="2"/>
      <c r="D100" s="2"/>
      <c r="E100" s="2"/>
      <c r="F100" s="2"/>
      <c r="G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row>
    <row r="101" spans="2:59" x14ac:dyDescent="0.25">
      <c r="B101" s="2"/>
      <c r="C101" s="2"/>
      <c r="D101" s="2"/>
      <c r="E101" s="2"/>
      <c r="F101" s="2"/>
      <c r="G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row>
    <row r="102" spans="2:59" x14ac:dyDescent="0.25">
      <c r="B102" s="2"/>
      <c r="C102" s="2"/>
      <c r="D102" s="2"/>
      <c r="E102" s="2"/>
      <c r="F102" s="2"/>
      <c r="G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row>
    <row r="103" spans="2:59" x14ac:dyDescent="0.25">
      <c r="B103" s="2"/>
      <c r="C103" s="2"/>
      <c r="D103" s="2"/>
      <c r="E103" s="2"/>
      <c r="F103" s="2"/>
      <c r="G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row>
    <row r="104" spans="2:59" x14ac:dyDescent="0.25">
      <c r="B104" s="2"/>
      <c r="C104" s="2"/>
      <c r="D104" s="2"/>
      <c r="E104" s="2"/>
      <c r="F104" s="2"/>
      <c r="G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row>
    <row r="105" spans="2:59" x14ac:dyDescent="0.25">
      <c r="B105" s="2"/>
      <c r="C105" s="2"/>
      <c r="D105" s="2"/>
      <c r="E105" s="2"/>
      <c r="F105" s="2"/>
      <c r="G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row>
    <row r="106" spans="2:59" x14ac:dyDescent="0.25">
      <c r="B106" s="2"/>
      <c r="C106" s="2"/>
      <c r="D106" s="2"/>
      <c r="E106" s="2"/>
      <c r="F106" s="2"/>
      <c r="G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row>
    <row r="107" spans="2:59" x14ac:dyDescent="0.25">
      <c r="B107" s="2"/>
      <c r="C107" s="2"/>
      <c r="D107" s="2"/>
      <c r="E107" s="2"/>
      <c r="F107" s="2"/>
      <c r="G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row>
    <row r="108" spans="2:59" x14ac:dyDescent="0.25">
      <c r="B108" s="2"/>
      <c r="C108" s="2"/>
      <c r="D108" s="2"/>
      <c r="E108" s="2"/>
      <c r="F108" s="2"/>
      <c r="G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row>
    <row r="109" spans="2:59" x14ac:dyDescent="0.25">
      <c r="B109" s="2"/>
      <c r="C109" s="2"/>
      <c r="D109" s="2"/>
      <c r="E109" s="2"/>
      <c r="F109" s="2"/>
      <c r="G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row>
    <row r="110" spans="2:59" x14ac:dyDescent="0.25">
      <c r="B110" s="2"/>
      <c r="C110" s="2"/>
      <c r="D110" s="2"/>
      <c r="E110" s="2"/>
      <c r="F110" s="2"/>
      <c r="G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row>
    <row r="111" spans="2:59" x14ac:dyDescent="0.25">
      <c r="B111" s="2"/>
      <c r="C111" s="2"/>
      <c r="D111" s="2"/>
      <c r="E111" s="2"/>
      <c r="F111" s="2"/>
      <c r="G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row>
    <row r="112" spans="2:59" x14ac:dyDescent="0.25">
      <c r="B112" s="2"/>
      <c r="C112" s="2"/>
      <c r="D112" s="2"/>
      <c r="E112" s="2"/>
      <c r="F112" s="2"/>
      <c r="G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row>
    <row r="113" spans="2:59" x14ac:dyDescent="0.25">
      <c r="B113" s="2"/>
      <c r="C113" s="2"/>
      <c r="D113" s="2"/>
      <c r="E113" s="2"/>
      <c r="F113" s="2"/>
      <c r="G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row>
    <row r="114" spans="2:59" x14ac:dyDescent="0.25">
      <c r="B114" s="2"/>
      <c r="C114" s="2"/>
      <c r="D114" s="2"/>
      <c r="E114" s="2"/>
      <c r="F114" s="2"/>
      <c r="G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row>
    <row r="115" spans="2:59" x14ac:dyDescent="0.25">
      <c r="B115" s="2"/>
      <c r="C115" s="2"/>
      <c r="D115" s="2"/>
      <c r="E115" s="2"/>
      <c r="F115" s="2"/>
      <c r="G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row>
    <row r="116" spans="2:59" x14ac:dyDescent="0.25">
      <c r="B116" s="2"/>
      <c r="C116" s="2"/>
      <c r="D116" s="2"/>
      <c r="E116" s="2"/>
      <c r="F116" s="2"/>
      <c r="G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row>
    <row r="117" spans="2:59" x14ac:dyDescent="0.25">
      <c r="B117" s="2"/>
      <c r="C117" s="2"/>
      <c r="D117" s="2"/>
      <c r="E117" s="2"/>
      <c r="F117" s="2"/>
      <c r="G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row>
    <row r="118" spans="2:59" x14ac:dyDescent="0.25">
      <c r="B118" s="2"/>
      <c r="C118" s="2"/>
      <c r="D118" s="2"/>
      <c r="E118" s="2"/>
      <c r="F118" s="2"/>
      <c r="G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row>
    <row r="119" spans="2:59" x14ac:dyDescent="0.25">
      <c r="B119" s="2"/>
      <c r="C119" s="2"/>
      <c r="D119" s="2"/>
      <c r="E119" s="2"/>
      <c r="F119" s="2"/>
      <c r="G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row>
    <row r="120" spans="2:59" x14ac:dyDescent="0.25">
      <c r="B120" s="2"/>
      <c r="C120" s="2"/>
      <c r="D120" s="2"/>
      <c r="E120" s="2"/>
      <c r="F120" s="2"/>
      <c r="G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row>
    <row r="121" spans="2:59" x14ac:dyDescent="0.25">
      <c r="B121" s="2"/>
      <c r="C121" s="2"/>
      <c r="D121" s="2"/>
      <c r="E121" s="2"/>
      <c r="F121" s="2"/>
      <c r="G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row>
    <row r="122" spans="2:59" x14ac:dyDescent="0.25">
      <c r="B122" s="2"/>
      <c r="C122" s="2"/>
      <c r="D122" s="2"/>
      <c r="E122" s="2"/>
      <c r="F122" s="2"/>
      <c r="G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row>
    <row r="123" spans="2:59" x14ac:dyDescent="0.25">
      <c r="B123" s="2"/>
      <c r="C123" s="2"/>
      <c r="D123" s="2"/>
      <c r="E123" s="2"/>
      <c r="F123" s="2"/>
      <c r="G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row>
    <row r="124" spans="2:59" x14ac:dyDescent="0.25">
      <c r="B124" s="2"/>
      <c r="C124" s="2"/>
      <c r="D124" s="2"/>
      <c r="E124" s="2"/>
      <c r="F124" s="2"/>
      <c r="G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row>
    <row r="125" spans="2:59" x14ac:dyDescent="0.25">
      <c r="B125" s="2"/>
      <c r="C125" s="2"/>
      <c r="D125" s="2"/>
      <c r="E125" s="2"/>
      <c r="F125" s="2"/>
      <c r="G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row>
    <row r="126" spans="2:59" x14ac:dyDescent="0.25">
      <c r="B126" s="2"/>
      <c r="C126" s="2"/>
      <c r="D126" s="2"/>
      <c r="E126" s="2"/>
      <c r="F126" s="2"/>
      <c r="G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row>
    <row r="127" spans="2:59" x14ac:dyDescent="0.25">
      <c r="B127" s="2"/>
      <c r="C127" s="2"/>
      <c r="D127" s="2"/>
      <c r="E127" s="2"/>
      <c r="F127" s="2"/>
      <c r="G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row>
    <row r="128" spans="2:59" x14ac:dyDescent="0.25">
      <c r="B128" s="2"/>
      <c r="C128" s="2"/>
      <c r="D128" s="2"/>
      <c r="E128" s="2"/>
      <c r="F128" s="2"/>
      <c r="G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row>
    <row r="129" spans="2:59" x14ac:dyDescent="0.25">
      <c r="B129" s="2"/>
      <c r="C129" s="2"/>
      <c r="D129" s="2"/>
      <c r="E129" s="2"/>
      <c r="F129" s="2"/>
      <c r="G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row>
    <row r="130" spans="2:59" x14ac:dyDescent="0.25">
      <c r="B130" s="2"/>
      <c r="C130" s="2"/>
      <c r="D130" s="2"/>
      <c r="E130" s="2"/>
      <c r="F130" s="2"/>
      <c r="G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row>
    <row r="131" spans="2:59" x14ac:dyDescent="0.25">
      <c r="B131" s="2"/>
      <c r="C131" s="2"/>
      <c r="D131" s="2"/>
      <c r="E131" s="2"/>
      <c r="F131" s="2"/>
      <c r="G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row>
    <row r="132" spans="2:59" x14ac:dyDescent="0.25">
      <c r="B132" s="2"/>
      <c r="C132" s="2"/>
      <c r="D132" s="2"/>
      <c r="E132" s="2"/>
      <c r="F132" s="2"/>
      <c r="G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row>
    <row r="133" spans="2:59" x14ac:dyDescent="0.25">
      <c r="B133" s="2"/>
      <c r="C133" s="2"/>
      <c r="D133" s="2"/>
      <c r="E133" s="2"/>
      <c r="F133" s="2"/>
      <c r="G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row>
    <row r="134" spans="2:59" x14ac:dyDescent="0.25">
      <c r="B134" s="2"/>
      <c r="C134" s="2"/>
      <c r="D134" s="2"/>
      <c r="E134" s="2"/>
      <c r="F134" s="2"/>
      <c r="G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row>
    <row r="135" spans="2:59" x14ac:dyDescent="0.25">
      <c r="B135" s="2"/>
      <c r="C135" s="2"/>
      <c r="D135" s="2"/>
      <c r="E135" s="2"/>
      <c r="F135" s="2"/>
      <c r="G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row>
    <row r="136" spans="2:59" x14ac:dyDescent="0.25">
      <c r="B136" s="2"/>
      <c r="C136" s="2"/>
      <c r="D136" s="2"/>
      <c r="E136" s="2"/>
      <c r="F136" s="2"/>
      <c r="G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row>
    <row r="137" spans="2:59" x14ac:dyDescent="0.25">
      <c r="B137" s="2"/>
      <c r="C137" s="2"/>
      <c r="D137" s="2"/>
      <c r="E137" s="2"/>
      <c r="F137" s="2"/>
      <c r="G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row>
    <row r="138" spans="2:59" x14ac:dyDescent="0.25">
      <c r="B138" s="2"/>
      <c r="C138" s="2"/>
      <c r="D138" s="2"/>
      <c r="E138" s="2"/>
      <c r="F138" s="2"/>
      <c r="G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row>
    <row r="139" spans="2:59" x14ac:dyDescent="0.25">
      <c r="B139" s="2"/>
      <c r="C139" s="2"/>
      <c r="D139" s="2"/>
      <c r="E139" s="2"/>
      <c r="F139" s="2"/>
      <c r="G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row>
    <row r="140" spans="2:59" x14ac:dyDescent="0.25">
      <c r="B140" s="2"/>
      <c r="C140" s="2"/>
      <c r="D140" s="2"/>
      <c r="E140" s="2"/>
      <c r="F140" s="2"/>
      <c r="G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row>
    <row r="141" spans="2:59" x14ac:dyDescent="0.25">
      <c r="B141" s="2"/>
      <c r="C141" s="2"/>
      <c r="D141" s="2"/>
      <c r="E141" s="2"/>
      <c r="F141" s="2"/>
      <c r="G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row>
    <row r="142" spans="2:59" x14ac:dyDescent="0.25">
      <c r="B142" s="2"/>
      <c r="C142" s="2"/>
      <c r="D142" s="2"/>
      <c r="E142" s="2"/>
      <c r="F142" s="2"/>
      <c r="G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row>
    <row r="143" spans="2:59" x14ac:dyDescent="0.25">
      <c r="B143" s="2"/>
      <c r="C143" s="2"/>
      <c r="D143" s="2"/>
      <c r="E143" s="2"/>
      <c r="F143" s="2"/>
      <c r="G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row>
    <row r="144" spans="2:59" x14ac:dyDescent="0.25">
      <c r="B144" s="2"/>
      <c r="C144" s="2"/>
      <c r="D144" s="2"/>
      <c r="E144" s="2"/>
      <c r="F144" s="2"/>
      <c r="G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row>
    <row r="145" spans="2:59" x14ac:dyDescent="0.25">
      <c r="B145" s="2"/>
      <c r="C145" s="2"/>
      <c r="D145" s="2"/>
      <c r="E145" s="2"/>
      <c r="F145" s="2"/>
      <c r="G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row>
    <row r="146" spans="2:59" x14ac:dyDescent="0.25">
      <c r="B146" s="2"/>
      <c r="C146" s="2"/>
      <c r="D146" s="2"/>
      <c r="E146" s="2"/>
      <c r="F146" s="2"/>
      <c r="G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row>
    <row r="147" spans="2:59" x14ac:dyDescent="0.25">
      <c r="B147" s="2"/>
      <c r="C147" s="2"/>
      <c r="D147" s="2"/>
      <c r="E147" s="2"/>
      <c r="F147" s="2"/>
      <c r="G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row>
    <row r="148" spans="2:59" x14ac:dyDescent="0.25">
      <c r="B148" s="2"/>
      <c r="C148" s="2"/>
      <c r="D148" s="2"/>
      <c r="E148" s="2"/>
      <c r="F148" s="2"/>
      <c r="G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row>
    <row r="149" spans="2:59" x14ac:dyDescent="0.25">
      <c r="B149" s="2"/>
      <c r="C149" s="2"/>
      <c r="D149" s="2"/>
      <c r="E149" s="2"/>
      <c r="F149" s="2"/>
      <c r="G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row>
    <row r="150" spans="2:59" x14ac:dyDescent="0.25">
      <c r="B150" s="2"/>
      <c r="C150" s="2"/>
      <c r="D150" s="2"/>
      <c r="E150" s="2"/>
      <c r="F150" s="2"/>
      <c r="G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row>
    <row r="151" spans="2:59" x14ac:dyDescent="0.25">
      <c r="B151" s="2"/>
      <c r="C151" s="2"/>
      <c r="D151" s="2"/>
      <c r="E151" s="2"/>
      <c r="F151" s="2"/>
      <c r="G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row>
    <row r="152" spans="2:59" x14ac:dyDescent="0.25">
      <c r="B152" s="2"/>
      <c r="C152" s="2"/>
      <c r="D152" s="2"/>
      <c r="E152" s="2"/>
      <c r="F152" s="2"/>
      <c r="G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row>
    <row r="153" spans="2:59" x14ac:dyDescent="0.25">
      <c r="B153" s="2"/>
      <c r="C153" s="2"/>
      <c r="D153" s="2"/>
      <c r="E153" s="2"/>
      <c r="F153" s="2"/>
      <c r="G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row>
    <row r="154" spans="2:59" x14ac:dyDescent="0.25">
      <c r="B154" s="2"/>
      <c r="C154" s="2"/>
      <c r="D154" s="2"/>
      <c r="E154" s="2"/>
      <c r="F154" s="2"/>
      <c r="G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row>
    <row r="155" spans="2:59" x14ac:dyDescent="0.25">
      <c r="B155" s="2"/>
      <c r="C155" s="2"/>
      <c r="D155" s="2"/>
      <c r="E155" s="2"/>
      <c r="F155" s="2"/>
      <c r="G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row>
    <row r="156" spans="2:59" x14ac:dyDescent="0.25">
      <c r="B156" s="2"/>
      <c r="C156" s="2"/>
      <c r="D156" s="2"/>
      <c r="E156" s="2"/>
      <c r="F156" s="2"/>
      <c r="G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row>
    <row r="157" spans="2:59" x14ac:dyDescent="0.25">
      <c r="B157" s="2"/>
      <c r="C157" s="2"/>
      <c r="D157" s="2"/>
      <c r="E157" s="2"/>
      <c r="F157" s="2"/>
      <c r="G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row>
    <row r="158" spans="2:59" x14ac:dyDescent="0.25">
      <c r="B158" s="2"/>
      <c r="C158" s="2"/>
      <c r="D158" s="2"/>
      <c r="E158" s="2"/>
      <c r="F158" s="2"/>
      <c r="G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row>
    <row r="159" spans="2:59" x14ac:dyDescent="0.25">
      <c r="B159" s="2"/>
      <c r="C159" s="2"/>
      <c r="D159" s="2"/>
      <c r="E159" s="2"/>
      <c r="F159" s="2"/>
      <c r="G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row>
    <row r="160" spans="2:59" x14ac:dyDescent="0.25">
      <c r="B160" s="2"/>
      <c r="C160" s="2"/>
      <c r="D160" s="2"/>
      <c r="E160" s="2"/>
      <c r="F160" s="2"/>
      <c r="G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row>
    <row r="161" spans="2:59" x14ac:dyDescent="0.25">
      <c r="B161" s="2"/>
      <c r="C161" s="2"/>
      <c r="D161" s="2"/>
      <c r="E161" s="2"/>
      <c r="F161" s="2"/>
      <c r="G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row>
    <row r="162" spans="2:59" x14ac:dyDescent="0.25">
      <c r="B162" s="2"/>
      <c r="C162" s="2"/>
      <c r="D162" s="2"/>
      <c r="E162" s="2"/>
      <c r="F162" s="2"/>
      <c r="G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row>
    <row r="163" spans="2:59" x14ac:dyDescent="0.25">
      <c r="B163" s="2"/>
      <c r="C163" s="2"/>
      <c r="D163" s="2"/>
      <c r="E163" s="2"/>
      <c r="F163" s="2"/>
      <c r="G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row>
    <row r="164" spans="2:59" x14ac:dyDescent="0.25">
      <c r="B164" s="2"/>
      <c r="C164" s="2"/>
      <c r="D164" s="2"/>
      <c r="E164" s="2"/>
      <c r="F164" s="2"/>
      <c r="G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row>
    <row r="165" spans="2:59" x14ac:dyDescent="0.25">
      <c r="B165" s="2"/>
      <c r="C165" s="2"/>
      <c r="D165" s="2"/>
      <c r="E165" s="2"/>
      <c r="F165" s="2"/>
      <c r="G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row>
    <row r="166" spans="2:59" x14ac:dyDescent="0.25">
      <c r="B166" s="2"/>
      <c r="C166" s="2"/>
      <c r="D166" s="2"/>
      <c r="E166" s="2"/>
      <c r="F166" s="2"/>
      <c r="G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row>
    <row r="167" spans="2:59" x14ac:dyDescent="0.25">
      <c r="B167" s="2"/>
      <c r="C167" s="2"/>
      <c r="D167" s="2"/>
      <c r="E167" s="2"/>
      <c r="F167" s="2"/>
      <c r="G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row>
    <row r="168" spans="2:59" x14ac:dyDescent="0.25">
      <c r="B168" s="2"/>
      <c r="C168" s="2"/>
      <c r="D168" s="2"/>
      <c r="E168" s="2"/>
      <c r="F168" s="2"/>
      <c r="G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row>
    <row r="169" spans="2:59" x14ac:dyDescent="0.25">
      <c r="B169" s="2"/>
      <c r="C169" s="2"/>
      <c r="D169" s="2"/>
      <c r="E169" s="2"/>
      <c r="F169" s="2"/>
      <c r="G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row>
    <row r="170" spans="2:59" x14ac:dyDescent="0.25">
      <c r="B170" s="2"/>
      <c r="C170" s="2"/>
      <c r="D170" s="2"/>
      <c r="E170" s="2"/>
      <c r="F170" s="2"/>
      <c r="G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row>
    <row r="171" spans="2:59" x14ac:dyDescent="0.25">
      <c r="B171" s="2"/>
      <c r="C171" s="2"/>
      <c r="D171" s="2"/>
      <c r="E171" s="2"/>
      <c r="F171" s="2"/>
      <c r="G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row>
    <row r="172" spans="2:59" x14ac:dyDescent="0.25">
      <c r="B172" s="2"/>
      <c r="C172" s="2"/>
      <c r="D172" s="2"/>
      <c r="E172" s="2"/>
      <c r="F172" s="2"/>
      <c r="G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row>
    <row r="173" spans="2:59" x14ac:dyDescent="0.25">
      <c r="B173" s="2"/>
      <c r="C173" s="2"/>
      <c r="D173" s="2"/>
      <c r="E173" s="2"/>
      <c r="F173" s="2"/>
      <c r="G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row>
    <row r="174" spans="2:59" x14ac:dyDescent="0.25">
      <c r="B174" s="2"/>
      <c r="C174" s="2"/>
      <c r="D174" s="2"/>
      <c r="E174" s="2"/>
      <c r="F174" s="2"/>
      <c r="G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row>
    <row r="175" spans="2:59" x14ac:dyDescent="0.25">
      <c r="B175" s="2"/>
      <c r="C175" s="2"/>
      <c r="D175" s="2"/>
      <c r="E175" s="2"/>
      <c r="F175" s="2"/>
      <c r="G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row>
    <row r="176" spans="2:59" x14ac:dyDescent="0.25">
      <c r="B176" s="2"/>
      <c r="C176" s="2"/>
      <c r="D176" s="2"/>
      <c r="E176" s="2"/>
      <c r="F176" s="2"/>
      <c r="G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row>
    <row r="177" spans="2:59" x14ac:dyDescent="0.25">
      <c r="B177" s="2"/>
      <c r="C177" s="2"/>
      <c r="D177" s="2"/>
      <c r="E177" s="2"/>
      <c r="F177" s="2"/>
      <c r="G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row>
    <row r="178" spans="2:59" x14ac:dyDescent="0.25">
      <c r="B178" s="2"/>
      <c r="C178" s="2"/>
      <c r="D178" s="2"/>
      <c r="E178" s="2"/>
      <c r="F178" s="2"/>
      <c r="G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row>
    <row r="179" spans="2:59" x14ac:dyDescent="0.25">
      <c r="B179" s="2"/>
      <c r="C179" s="2"/>
      <c r="D179" s="2"/>
      <c r="E179" s="2"/>
      <c r="F179" s="2"/>
      <c r="G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row>
    <row r="180" spans="2:59" x14ac:dyDescent="0.25">
      <c r="B180" s="2"/>
      <c r="C180" s="2"/>
      <c r="D180" s="2"/>
      <c r="E180" s="2"/>
      <c r="F180" s="2"/>
      <c r="G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row>
    <row r="181" spans="2:59" x14ac:dyDescent="0.25">
      <c r="B181" s="2"/>
      <c r="C181" s="2"/>
      <c r="D181" s="2"/>
      <c r="E181" s="2"/>
      <c r="F181" s="2"/>
      <c r="G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row>
    <row r="182" spans="2:59" x14ac:dyDescent="0.25">
      <c r="B182" s="2"/>
      <c r="C182" s="2"/>
      <c r="D182" s="2"/>
      <c r="E182" s="2"/>
      <c r="F182" s="2"/>
      <c r="G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row>
    <row r="183" spans="2:59" x14ac:dyDescent="0.25">
      <c r="B183" s="2"/>
      <c r="C183" s="2"/>
      <c r="D183" s="2"/>
      <c r="E183" s="2"/>
      <c r="F183" s="2"/>
      <c r="G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row>
    <row r="184" spans="2:59" x14ac:dyDescent="0.25">
      <c r="B184" s="2"/>
      <c r="C184" s="2"/>
      <c r="D184" s="2"/>
      <c r="E184" s="2"/>
      <c r="F184" s="2"/>
      <c r="G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row>
    <row r="185" spans="2:59" x14ac:dyDescent="0.25">
      <c r="B185" s="2"/>
      <c r="C185" s="2"/>
      <c r="D185" s="2"/>
      <c r="E185" s="2"/>
      <c r="F185" s="2"/>
      <c r="G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row>
    <row r="186" spans="2:59" x14ac:dyDescent="0.25">
      <c r="B186" s="2"/>
      <c r="C186" s="2"/>
      <c r="D186" s="2"/>
      <c r="E186" s="2"/>
      <c r="F186" s="2"/>
      <c r="G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row>
    <row r="187" spans="2:59" x14ac:dyDescent="0.25">
      <c r="B187" s="2"/>
      <c r="C187" s="2"/>
      <c r="D187" s="2"/>
      <c r="E187" s="2"/>
      <c r="F187" s="2"/>
      <c r="G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row>
    <row r="188" spans="2:59" x14ac:dyDescent="0.25">
      <c r="B188" s="2"/>
      <c r="C188" s="2"/>
      <c r="D188" s="2"/>
      <c r="E188" s="2"/>
      <c r="F188" s="2"/>
      <c r="G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row>
    <row r="189" spans="2:59" x14ac:dyDescent="0.25">
      <c r="B189" s="2"/>
      <c r="C189" s="2"/>
      <c r="D189" s="2"/>
      <c r="E189" s="2"/>
      <c r="F189" s="2"/>
      <c r="G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row>
    <row r="190" spans="2:59" x14ac:dyDescent="0.25">
      <c r="B190" s="2"/>
      <c r="C190" s="2"/>
      <c r="D190" s="2"/>
      <c r="E190" s="2"/>
      <c r="F190" s="2"/>
      <c r="G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row>
    <row r="191" spans="2:59" x14ac:dyDescent="0.25">
      <c r="B191" s="2"/>
      <c r="C191" s="2"/>
      <c r="D191" s="2"/>
      <c r="E191" s="2"/>
      <c r="F191" s="2"/>
      <c r="G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row>
    <row r="192" spans="2:59" x14ac:dyDescent="0.25">
      <c r="B192" s="2"/>
      <c r="C192" s="2"/>
      <c r="D192" s="2"/>
      <c r="E192" s="2"/>
      <c r="F192" s="2"/>
      <c r="G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row>
    <row r="193" spans="2:59" x14ac:dyDescent="0.25">
      <c r="B193" s="2"/>
      <c r="C193" s="2"/>
      <c r="D193" s="2"/>
      <c r="E193" s="2"/>
      <c r="F193" s="2"/>
      <c r="G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row>
    <row r="194" spans="2:59" x14ac:dyDescent="0.25">
      <c r="B194" s="2"/>
      <c r="C194" s="2"/>
      <c r="D194" s="2"/>
      <c r="E194" s="2"/>
      <c r="F194" s="2"/>
      <c r="G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row>
    <row r="195" spans="2:59" x14ac:dyDescent="0.25">
      <c r="B195" s="2"/>
      <c r="C195" s="2"/>
      <c r="D195" s="2"/>
      <c r="E195" s="2"/>
      <c r="F195" s="2"/>
      <c r="G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row>
    <row r="196" spans="2:59" x14ac:dyDescent="0.25">
      <c r="B196" s="2"/>
      <c r="C196" s="2"/>
      <c r="D196" s="2"/>
      <c r="E196" s="2"/>
      <c r="F196" s="2"/>
      <c r="G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row>
    <row r="197" spans="2:59" x14ac:dyDescent="0.25">
      <c r="B197" s="2"/>
      <c r="C197" s="2"/>
      <c r="D197" s="2"/>
      <c r="E197" s="2"/>
      <c r="F197" s="2"/>
      <c r="G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row>
    <row r="198" spans="2:59" x14ac:dyDescent="0.25">
      <c r="B198" s="2"/>
      <c r="C198" s="2"/>
      <c r="D198" s="2"/>
      <c r="E198" s="2"/>
      <c r="F198" s="2"/>
      <c r="G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row>
    <row r="199" spans="2:59" x14ac:dyDescent="0.25">
      <c r="B199" s="2"/>
      <c r="C199" s="2"/>
      <c r="D199" s="2"/>
      <c r="E199" s="2"/>
      <c r="F199" s="2"/>
      <c r="G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row>
    <row r="200" spans="2:59" x14ac:dyDescent="0.25">
      <c r="B200" s="2"/>
      <c r="C200" s="2"/>
      <c r="D200" s="2"/>
      <c r="E200" s="2"/>
      <c r="F200" s="2"/>
      <c r="G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row>
    <row r="201" spans="2:59" x14ac:dyDescent="0.25">
      <c r="B201" s="2"/>
      <c r="C201" s="2"/>
      <c r="D201" s="2"/>
      <c r="E201" s="2"/>
      <c r="F201" s="2"/>
      <c r="G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row>
    <row r="202" spans="2:59" x14ac:dyDescent="0.25">
      <c r="B202" s="2"/>
      <c r="C202" s="2"/>
      <c r="D202" s="2"/>
      <c r="E202" s="2"/>
      <c r="F202" s="2"/>
      <c r="G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row>
    <row r="203" spans="2:59" x14ac:dyDescent="0.25">
      <c r="B203" s="2"/>
      <c r="C203" s="2"/>
      <c r="D203" s="2"/>
      <c r="E203" s="2"/>
      <c r="F203" s="2"/>
      <c r="G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row>
    <row r="204" spans="2:59" x14ac:dyDescent="0.25">
      <c r="B204" s="2"/>
      <c r="C204" s="2"/>
      <c r="D204" s="2"/>
      <c r="E204" s="2"/>
      <c r="F204" s="2"/>
      <c r="G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row>
    <row r="205" spans="2:59" x14ac:dyDescent="0.25">
      <c r="B205" s="2"/>
      <c r="C205" s="2"/>
      <c r="D205" s="2"/>
      <c r="E205" s="2"/>
      <c r="F205" s="2"/>
      <c r="G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row>
    <row r="206" spans="2:59" x14ac:dyDescent="0.25">
      <c r="B206" s="2"/>
      <c r="C206" s="2"/>
      <c r="D206" s="2"/>
      <c r="E206" s="2"/>
      <c r="F206" s="2"/>
      <c r="G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row>
    <row r="207" spans="2:59" x14ac:dyDescent="0.25">
      <c r="B207" s="2"/>
      <c r="C207" s="2"/>
      <c r="D207" s="2"/>
      <c r="E207" s="2"/>
      <c r="F207" s="2"/>
      <c r="G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row>
    <row r="208" spans="2:59" x14ac:dyDescent="0.25">
      <c r="B208" s="2"/>
      <c r="C208" s="2"/>
      <c r="D208" s="2"/>
      <c r="E208" s="2"/>
      <c r="F208" s="2"/>
      <c r="G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row>
    <row r="209" spans="2:59" x14ac:dyDescent="0.25">
      <c r="B209" s="2"/>
      <c r="C209" s="2"/>
      <c r="D209" s="2"/>
      <c r="E209" s="2"/>
      <c r="F209" s="2"/>
      <c r="G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row>
    <row r="210" spans="2:59" x14ac:dyDescent="0.25">
      <c r="B210" s="2"/>
      <c r="C210" s="2"/>
      <c r="D210" s="2"/>
      <c r="E210" s="2"/>
      <c r="F210" s="2"/>
      <c r="G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row>
    <row r="211" spans="2:59" x14ac:dyDescent="0.25">
      <c r="B211" s="2"/>
      <c r="C211" s="2"/>
      <c r="D211" s="2"/>
      <c r="E211" s="2"/>
      <c r="F211" s="2"/>
      <c r="G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row>
    <row r="212" spans="2:59" x14ac:dyDescent="0.25">
      <c r="B212" s="2"/>
      <c r="C212" s="2"/>
      <c r="D212" s="2"/>
      <c r="E212" s="2"/>
      <c r="F212" s="2"/>
      <c r="G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row>
    <row r="213" spans="2:59" x14ac:dyDescent="0.25">
      <c r="B213" s="2"/>
      <c r="C213" s="2"/>
      <c r="D213" s="2"/>
      <c r="E213" s="2"/>
      <c r="F213" s="2"/>
      <c r="G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row>
    <row r="214" spans="2:59" x14ac:dyDescent="0.25">
      <c r="B214" s="2"/>
      <c r="C214" s="2"/>
      <c r="D214" s="2"/>
      <c r="E214" s="2"/>
      <c r="F214" s="2"/>
      <c r="G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row>
    <row r="215" spans="2:59" x14ac:dyDescent="0.25">
      <c r="B215" s="2"/>
      <c r="C215" s="2"/>
      <c r="D215" s="2"/>
      <c r="E215" s="2"/>
      <c r="F215" s="2"/>
      <c r="G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row>
    <row r="216" spans="2:59" x14ac:dyDescent="0.25">
      <c r="B216" s="2"/>
      <c r="C216" s="2"/>
      <c r="D216" s="2"/>
      <c r="E216" s="2"/>
      <c r="F216" s="2"/>
      <c r="G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row>
    <row r="217" spans="2:59" x14ac:dyDescent="0.25">
      <c r="B217" s="2"/>
      <c r="C217" s="2"/>
      <c r="D217" s="2"/>
      <c r="E217" s="2"/>
      <c r="F217" s="2"/>
      <c r="G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row>
    <row r="218" spans="2:59" x14ac:dyDescent="0.25">
      <c r="B218" s="2"/>
      <c r="C218" s="2"/>
      <c r="D218" s="2"/>
      <c r="E218" s="2"/>
      <c r="F218" s="2"/>
      <c r="G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row>
    <row r="219" spans="2:59" x14ac:dyDescent="0.25">
      <c r="B219" s="2"/>
      <c r="C219" s="2"/>
      <c r="D219" s="2"/>
      <c r="E219" s="2"/>
      <c r="F219" s="2"/>
      <c r="G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row>
    <row r="220" spans="2:59" x14ac:dyDescent="0.25">
      <c r="B220" s="2"/>
      <c r="C220" s="2"/>
      <c r="D220" s="2"/>
      <c r="E220" s="2"/>
      <c r="F220" s="2"/>
      <c r="G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row>
    <row r="221" spans="2:59" x14ac:dyDescent="0.25">
      <c r="B221" s="2"/>
      <c r="C221" s="2"/>
      <c r="D221" s="2"/>
      <c r="E221" s="2"/>
      <c r="F221" s="2"/>
      <c r="G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row>
    <row r="222" spans="2:59" x14ac:dyDescent="0.25">
      <c r="B222" s="2"/>
      <c r="C222" s="2"/>
      <c r="D222" s="2"/>
      <c r="E222" s="2"/>
      <c r="F222" s="2"/>
      <c r="G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row>
    <row r="223" spans="2:59" x14ac:dyDescent="0.25">
      <c r="B223" s="2"/>
      <c r="C223" s="2"/>
      <c r="D223" s="2"/>
      <c r="E223" s="2"/>
      <c r="F223" s="2"/>
      <c r="G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row>
    <row r="224" spans="2:59" x14ac:dyDescent="0.25">
      <c r="B224" s="2"/>
      <c r="C224" s="2"/>
      <c r="D224" s="2"/>
      <c r="E224" s="2"/>
      <c r="F224" s="2"/>
      <c r="G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row>
    <row r="225" spans="2:59" x14ac:dyDescent="0.25">
      <c r="B225" s="2"/>
      <c r="C225" s="2"/>
      <c r="D225" s="2"/>
      <c r="E225" s="2"/>
      <c r="F225" s="2"/>
      <c r="G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row>
    <row r="226" spans="2:59" x14ac:dyDescent="0.25">
      <c r="B226" s="2"/>
      <c r="C226" s="2"/>
      <c r="D226" s="2"/>
      <c r="E226" s="2"/>
      <c r="F226" s="2"/>
      <c r="G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row>
    <row r="227" spans="2:59" x14ac:dyDescent="0.25">
      <c r="B227" s="2"/>
      <c r="C227" s="2"/>
      <c r="D227" s="2"/>
      <c r="E227" s="2"/>
      <c r="F227" s="2"/>
      <c r="G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row>
    <row r="228" spans="2:59" x14ac:dyDescent="0.25">
      <c r="B228" s="2"/>
      <c r="C228" s="2"/>
      <c r="D228" s="2"/>
      <c r="E228" s="2"/>
      <c r="F228" s="2"/>
      <c r="G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row>
    <row r="229" spans="2:59" x14ac:dyDescent="0.25">
      <c r="B229" s="2"/>
      <c r="C229" s="2"/>
      <c r="D229" s="2"/>
      <c r="E229" s="2"/>
      <c r="F229" s="2"/>
      <c r="G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row>
    <row r="230" spans="2:59" x14ac:dyDescent="0.25">
      <c r="B230" s="2"/>
      <c r="C230" s="2"/>
      <c r="D230" s="2"/>
      <c r="E230" s="2"/>
      <c r="F230" s="2"/>
      <c r="G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row>
    <row r="231" spans="2:59" x14ac:dyDescent="0.25">
      <c r="B231" s="2"/>
      <c r="C231" s="2"/>
      <c r="D231" s="2"/>
      <c r="E231" s="2"/>
      <c r="F231" s="2"/>
      <c r="G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row>
    <row r="232" spans="2:59" x14ac:dyDescent="0.25">
      <c r="B232" s="2"/>
      <c r="C232" s="2"/>
      <c r="D232" s="2"/>
      <c r="E232" s="2"/>
      <c r="F232" s="2"/>
      <c r="G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row>
    <row r="233" spans="2:59" x14ac:dyDescent="0.25">
      <c r="B233" s="2"/>
      <c r="C233" s="2"/>
      <c r="D233" s="2"/>
      <c r="E233" s="2"/>
      <c r="F233" s="2"/>
      <c r="G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row>
    <row r="234" spans="2:59" x14ac:dyDescent="0.25">
      <c r="B234" s="2"/>
      <c r="C234" s="2"/>
      <c r="D234" s="2"/>
      <c r="E234" s="2"/>
      <c r="F234" s="2"/>
      <c r="G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row>
    <row r="235" spans="2:59" x14ac:dyDescent="0.25">
      <c r="B235" s="2"/>
      <c r="C235" s="2"/>
      <c r="D235" s="2"/>
      <c r="E235" s="2"/>
      <c r="F235" s="2"/>
      <c r="G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row>
    <row r="236" spans="2:59" x14ac:dyDescent="0.25">
      <c r="B236" s="2"/>
      <c r="C236" s="2"/>
      <c r="D236" s="2"/>
      <c r="E236" s="2"/>
      <c r="F236" s="2"/>
      <c r="G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row>
    <row r="237" spans="2:59" x14ac:dyDescent="0.25">
      <c r="B237" s="2"/>
      <c r="C237" s="2"/>
      <c r="D237" s="2"/>
      <c r="E237" s="2"/>
      <c r="F237" s="2"/>
      <c r="G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row>
    <row r="238" spans="2:59" x14ac:dyDescent="0.25">
      <c r="B238" s="2"/>
      <c r="C238" s="2"/>
      <c r="D238" s="2"/>
      <c r="E238" s="2"/>
      <c r="F238" s="2"/>
      <c r="G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row>
    <row r="239" spans="2:59" x14ac:dyDescent="0.25">
      <c r="B239" s="2"/>
      <c r="C239" s="2"/>
      <c r="D239" s="2"/>
      <c r="E239" s="2"/>
      <c r="F239" s="2"/>
      <c r="G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row>
    <row r="240" spans="2:59" x14ac:dyDescent="0.25">
      <c r="B240" s="2"/>
      <c r="C240" s="2"/>
      <c r="D240" s="2"/>
      <c r="E240" s="2"/>
      <c r="F240" s="2"/>
      <c r="G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row>
    <row r="241" spans="2:59" x14ac:dyDescent="0.25">
      <c r="B241" s="2"/>
      <c r="C241" s="2"/>
      <c r="D241" s="2"/>
      <c r="E241" s="2"/>
      <c r="F241" s="2"/>
      <c r="G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row>
    <row r="242" spans="2:59" x14ac:dyDescent="0.25">
      <c r="B242" s="2"/>
      <c r="C242" s="2"/>
      <c r="D242" s="2"/>
      <c r="E242" s="2"/>
      <c r="F242" s="2"/>
      <c r="G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row>
    <row r="243" spans="2:59" x14ac:dyDescent="0.25">
      <c r="B243" s="2"/>
      <c r="C243" s="2"/>
      <c r="D243" s="2"/>
      <c r="E243" s="2"/>
      <c r="F243" s="2"/>
      <c r="G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row>
    <row r="244" spans="2:59" x14ac:dyDescent="0.25">
      <c r="B244" s="2"/>
      <c r="C244" s="2"/>
      <c r="D244" s="2"/>
      <c r="E244" s="2"/>
      <c r="F244" s="2"/>
      <c r="G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row>
    <row r="245" spans="2:59" x14ac:dyDescent="0.25">
      <c r="B245" s="2"/>
      <c r="C245" s="2"/>
      <c r="D245" s="2"/>
      <c r="E245" s="2"/>
      <c r="F245" s="2"/>
      <c r="G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row>
    <row r="246" spans="2:59" x14ac:dyDescent="0.25">
      <c r="B246" s="2"/>
      <c r="C246" s="2"/>
      <c r="D246" s="2"/>
      <c r="E246" s="2"/>
      <c r="F246" s="2"/>
      <c r="G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row>
    <row r="247" spans="2:59" x14ac:dyDescent="0.25">
      <c r="B247" s="2"/>
      <c r="C247" s="2"/>
      <c r="D247" s="2"/>
      <c r="E247" s="2"/>
      <c r="F247" s="2"/>
      <c r="G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row>
    <row r="248" spans="2:59" x14ac:dyDescent="0.25">
      <c r="B248" s="2"/>
      <c r="C248" s="2"/>
      <c r="D248" s="2"/>
      <c r="E248" s="2"/>
      <c r="F248" s="2"/>
      <c r="G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row>
    <row r="249" spans="2:59" x14ac:dyDescent="0.25">
      <c r="B249" s="2"/>
      <c r="C249" s="2"/>
      <c r="D249" s="2"/>
      <c r="E249" s="2"/>
      <c r="F249" s="2"/>
      <c r="G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row>
    <row r="250" spans="2:59" x14ac:dyDescent="0.25">
      <c r="B250" s="2"/>
      <c r="C250" s="2"/>
      <c r="D250" s="2"/>
      <c r="E250" s="2"/>
      <c r="F250" s="2"/>
      <c r="G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row>
    <row r="251" spans="2:59" x14ac:dyDescent="0.25">
      <c r="B251" s="2"/>
      <c r="C251" s="2"/>
      <c r="D251" s="2"/>
      <c r="E251" s="2"/>
      <c r="F251" s="2"/>
      <c r="G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row>
    <row r="252" spans="2:59" x14ac:dyDescent="0.25">
      <c r="B252" s="2"/>
      <c r="C252" s="2"/>
      <c r="D252" s="2"/>
      <c r="E252" s="2"/>
      <c r="F252" s="2"/>
      <c r="G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row>
    <row r="253" spans="2:59" x14ac:dyDescent="0.25">
      <c r="B253" s="2"/>
      <c r="C253" s="2"/>
      <c r="D253" s="2"/>
      <c r="E253" s="2"/>
      <c r="F253" s="2"/>
      <c r="G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row>
    <row r="254" spans="2:59" x14ac:dyDescent="0.25">
      <c r="B254" s="2"/>
      <c r="C254" s="2"/>
      <c r="D254" s="2"/>
      <c r="E254" s="2"/>
      <c r="F254" s="2"/>
      <c r="G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row>
    <row r="255" spans="2:59" x14ac:dyDescent="0.25">
      <c r="B255" s="2"/>
      <c r="C255" s="2"/>
      <c r="D255" s="2"/>
      <c r="E255" s="2"/>
      <c r="F255" s="2"/>
      <c r="G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row>
    <row r="256" spans="2:59" x14ac:dyDescent="0.25">
      <c r="B256" s="2"/>
      <c r="C256" s="2"/>
      <c r="D256" s="2"/>
      <c r="E256" s="2"/>
      <c r="F256" s="2"/>
      <c r="G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row>
    <row r="257" spans="2:59" x14ac:dyDescent="0.25">
      <c r="B257" s="2"/>
      <c r="C257" s="2"/>
      <c r="D257" s="2"/>
      <c r="E257" s="2"/>
      <c r="F257" s="2"/>
      <c r="G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row>
    <row r="258" spans="2:59" x14ac:dyDescent="0.25">
      <c r="B258" s="2"/>
      <c r="C258" s="2"/>
      <c r="D258" s="2"/>
      <c r="E258" s="2"/>
      <c r="F258" s="2"/>
      <c r="G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row>
    <row r="259" spans="2:59" x14ac:dyDescent="0.25">
      <c r="B259" s="2"/>
      <c r="C259" s="2"/>
      <c r="D259" s="2"/>
      <c r="E259" s="2"/>
      <c r="F259" s="2"/>
      <c r="G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row>
    <row r="260" spans="2:59" x14ac:dyDescent="0.25">
      <c r="B260" s="2"/>
      <c r="C260" s="2"/>
      <c r="D260" s="2"/>
      <c r="E260" s="2"/>
      <c r="F260" s="2"/>
      <c r="G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row>
    <row r="261" spans="2:59" x14ac:dyDescent="0.25">
      <c r="B261" s="2"/>
      <c r="C261" s="2"/>
      <c r="D261" s="2"/>
      <c r="E261" s="2"/>
      <c r="F261" s="2"/>
      <c r="G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row>
    <row r="262" spans="2:59" x14ac:dyDescent="0.25">
      <c r="B262" s="2"/>
      <c r="C262" s="2"/>
      <c r="D262" s="2"/>
      <c r="E262" s="2"/>
      <c r="F262" s="2"/>
      <c r="G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row>
    <row r="263" spans="2:59" x14ac:dyDescent="0.25">
      <c r="B263" s="2"/>
      <c r="C263" s="2"/>
      <c r="D263" s="2"/>
      <c r="E263" s="2"/>
      <c r="F263" s="2"/>
      <c r="G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row>
    <row r="264" spans="2:59" x14ac:dyDescent="0.25">
      <c r="B264" s="2"/>
      <c r="C264" s="2"/>
      <c r="D264" s="2"/>
      <c r="E264" s="2"/>
      <c r="F264" s="2"/>
      <c r="G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row>
    <row r="265" spans="2:59" x14ac:dyDescent="0.25">
      <c r="B265" s="2"/>
      <c r="C265" s="2"/>
      <c r="D265" s="2"/>
      <c r="E265" s="2"/>
      <c r="F265" s="2"/>
      <c r="G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row>
    <row r="266" spans="2:59" x14ac:dyDescent="0.25">
      <c r="B266" s="2"/>
      <c r="C266" s="2"/>
      <c r="D266" s="2"/>
      <c r="E266" s="2"/>
      <c r="F266" s="2"/>
      <c r="G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row>
    <row r="267" spans="2:59" x14ac:dyDescent="0.25">
      <c r="B267" s="2"/>
      <c r="C267" s="2"/>
      <c r="D267" s="2"/>
      <c r="E267" s="2"/>
      <c r="F267" s="2"/>
      <c r="G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row>
    <row r="268" spans="2:59" x14ac:dyDescent="0.25">
      <c r="B268" s="2"/>
      <c r="C268" s="2"/>
      <c r="D268" s="2"/>
      <c r="E268" s="2"/>
      <c r="F268" s="2"/>
      <c r="G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row>
    <row r="269" spans="2:59" x14ac:dyDescent="0.25">
      <c r="B269" s="2"/>
      <c r="C269" s="2"/>
      <c r="D269" s="2"/>
      <c r="E269" s="2"/>
      <c r="F269" s="2"/>
      <c r="G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row>
    <row r="270" spans="2:59" x14ac:dyDescent="0.25">
      <c r="B270" s="2"/>
      <c r="C270" s="2"/>
      <c r="D270" s="2"/>
      <c r="E270" s="2"/>
      <c r="F270" s="2"/>
      <c r="G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row>
    <row r="271" spans="2:59" x14ac:dyDescent="0.25">
      <c r="B271" s="2"/>
      <c r="C271" s="2"/>
      <c r="D271" s="2"/>
      <c r="E271" s="2"/>
      <c r="F271" s="2"/>
      <c r="G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row>
    <row r="272" spans="2:59" x14ac:dyDescent="0.25">
      <c r="B272" s="2"/>
      <c r="C272" s="2"/>
      <c r="D272" s="2"/>
      <c r="E272" s="2"/>
      <c r="F272" s="2"/>
      <c r="G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row>
    <row r="273" spans="2:59" x14ac:dyDescent="0.25">
      <c r="B273" s="2"/>
      <c r="C273" s="2"/>
      <c r="D273" s="2"/>
      <c r="E273" s="2"/>
      <c r="F273" s="2"/>
      <c r="G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row>
    <row r="274" spans="2:59" x14ac:dyDescent="0.25">
      <c r="B274" s="2"/>
      <c r="C274" s="2"/>
      <c r="D274" s="2"/>
      <c r="E274" s="2"/>
      <c r="F274" s="2"/>
      <c r="G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row>
    <row r="275" spans="2:59" x14ac:dyDescent="0.25">
      <c r="B275" s="2"/>
      <c r="C275" s="2"/>
      <c r="D275" s="2"/>
      <c r="E275" s="2"/>
      <c r="F275" s="2"/>
      <c r="G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row>
    <row r="276" spans="2:59" x14ac:dyDescent="0.25">
      <c r="B276" s="2"/>
      <c r="C276" s="2"/>
      <c r="D276" s="2"/>
      <c r="E276" s="2"/>
      <c r="F276" s="2"/>
      <c r="G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row>
    <row r="277" spans="2:59" x14ac:dyDescent="0.25">
      <c r="B277" s="2"/>
      <c r="C277" s="2"/>
      <c r="D277" s="2"/>
      <c r="E277" s="2"/>
      <c r="F277" s="2"/>
      <c r="G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row>
    <row r="278" spans="2:59" x14ac:dyDescent="0.25">
      <c r="B278" s="2"/>
      <c r="C278" s="2"/>
      <c r="D278" s="2"/>
      <c r="E278" s="2"/>
      <c r="F278" s="2"/>
      <c r="G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row>
    <row r="279" spans="2:59" x14ac:dyDescent="0.25">
      <c r="B279" s="2"/>
      <c r="C279" s="2"/>
      <c r="D279" s="2"/>
      <c r="E279" s="2"/>
      <c r="F279" s="2"/>
      <c r="G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row>
    <row r="280" spans="2:59" x14ac:dyDescent="0.25">
      <c r="B280" s="2"/>
      <c r="C280" s="2"/>
      <c r="D280" s="2"/>
      <c r="E280" s="2"/>
      <c r="F280" s="2"/>
      <c r="G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row>
    <row r="281" spans="2:59" x14ac:dyDescent="0.25">
      <c r="B281" s="2"/>
      <c r="C281" s="2"/>
      <c r="D281" s="2"/>
      <c r="E281" s="2"/>
      <c r="F281" s="2"/>
      <c r="G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row>
    <row r="282" spans="2:59" x14ac:dyDescent="0.25">
      <c r="B282" s="2"/>
      <c r="C282" s="2"/>
      <c r="D282" s="2"/>
      <c r="E282" s="2"/>
      <c r="F282" s="2"/>
      <c r="G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row>
    <row r="283" spans="2:59" x14ac:dyDescent="0.25">
      <c r="B283" s="2"/>
      <c r="C283" s="2"/>
      <c r="D283" s="2"/>
      <c r="E283" s="2"/>
      <c r="F283" s="2"/>
      <c r="G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row>
    <row r="284" spans="2:59" x14ac:dyDescent="0.25">
      <c r="B284" s="2"/>
      <c r="C284" s="2"/>
      <c r="D284" s="2"/>
      <c r="E284" s="2"/>
      <c r="F284" s="2"/>
      <c r="G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row>
    <row r="285" spans="2:59" x14ac:dyDescent="0.25">
      <c r="B285" s="2"/>
      <c r="C285" s="2"/>
      <c r="D285" s="2"/>
      <c r="E285" s="2"/>
      <c r="F285" s="2"/>
      <c r="G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row>
    <row r="286" spans="2:59" x14ac:dyDescent="0.25">
      <c r="B286" s="2"/>
      <c r="C286" s="2"/>
      <c r="D286" s="2"/>
      <c r="E286" s="2"/>
      <c r="F286" s="2"/>
      <c r="G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row>
    <row r="287" spans="2:59" x14ac:dyDescent="0.25">
      <c r="B287" s="2"/>
      <c r="C287" s="2"/>
      <c r="D287" s="2"/>
      <c r="E287" s="2"/>
      <c r="F287" s="2"/>
      <c r="G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row>
    <row r="288" spans="2:59" x14ac:dyDescent="0.25">
      <c r="B288" s="2"/>
      <c r="C288" s="2"/>
      <c r="D288" s="2"/>
      <c r="E288" s="2"/>
      <c r="F288" s="2"/>
      <c r="G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row>
    <row r="289" spans="2:59" x14ac:dyDescent="0.25">
      <c r="B289" s="2"/>
      <c r="C289" s="2"/>
      <c r="D289" s="2"/>
      <c r="E289" s="2"/>
      <c r="F289" s="2"/>
      <c r="G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row>
    <row r="290" spans="2:59" x14ac:dyDescent="0.25">
      <c r="B290" s="2"/>
      <c r="C290" s="2"/>
      <c r="D290" s="2"/>
      <c r="E290" s="2"/>
      <c r="F290" s="2"/>
      <c r="G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row>
    <row r="291" spans="2:59" x14ac:dyDescent="0.25">
      <c r="B291" s="2"/>
      <c r="C291" s="2"/>
      <c r="D291" s="2"/>
      <c r="E291" s="2"/>
      <c r="F291" s="2"/>
      <c r="G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row>
    <row r="292" spans="2:59" x14ac:dyDescent="0.25">
      <c r="B292" s="2"/>
      <c r="C292" s="2"/>
      <c r="D292" s="2"/>
      <c r="E292" s="2"/>
      <c r="F292" s="2"/>
      <c r="G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row>
    <row r="293" spans="2:59" x14ac:dyDescent="0.25">
      <c r="B293" s="2"/>
      <c r="C293" s="2"/>
      <c r="D293" s="2"/>
      <c r="E293" s="2"/>
      <c r="F293" s="2"/>
      <c r="G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row>
    <row r="294" spans="2:59" x14ac:dyDescent="0.25">
      <c r="B294" s="2"/>
      <c r="C294" s="2"/>
      <c r="D294" s="2"/>
      <c r="E294" s="2"/>
      <c r="F294" s="2"/>
      <c r="G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row>
    <row r="295" spans="2:59" x14ac:dyDescent="0.25">
      <c r="B295" s="2"/>
      <c r="C295" s="2"/>
      <c r="D295" s="2"/>
      <c r="E295" s="2"/>
      <c r="F295" s="2"/>
      <c r="G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row>
    <row r="296" spans="2:59" x14ac:dyDescent="0.25">
      <c r="B296" s="2"/>
      <c r="C296" s="2"/>
      <c r="D296" s="2"/>
      <c r="E296" s="2"/>
      <c r="F296" s="2"/>
      <c r="G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row>
    <row r="297" spans="2:59" x14ac:dyDescent="0.25">
      <c r="B297" s="2"/>
      <c r="C297" s="2"/>
      <c r="D297" s="2"/>
      <c r="E297" s="2"/>
      <c r="F297" s="2"/>
      <c r="G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row>
    <row r="298" spans="2:59" x14ac:dyDescent="0.25">
      <c r="B298" s="2"/>
      <c r="C298" s="2"/>
      <c r="D298" s="2"/>
      <c r="E298" s="2"/>
      <c r="F298" s="2"/>
      <c r="G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row>
    <row r="299" spans="2:59" x14ac:dyDescent="0.25">
      <c r="B299" s="2"/>
      <c r="C299" s="2"/>
      <c r="D299" s="2"/>
      <c r="E299" s="2"/>
      <c r="F299" s="2"/>
      <c r="G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row>
    <row r="300" spans="2:59" x14ac:dyDescent="0.25">
      <c r="B300" s="2"/>
      <c r="C300" s="2"/>
      <c r="D300" s="2"/>
      <c r="E300" s="2"/>
      <c r="F300" s="2"/>
      <c r="G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row>
    <row r="301" spans="2:59" x14ac:dyDescent="0.25">
      <c r="B301" s="2"/>
      <c r="C301" s="2"/>
      <c r="D301" s="2"/>
      <c r="E301" s="2"/>
      <c r="F301" s="2"/>
      <c r="G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row>
    <row r="302" spans="2:59" x14ac:dyDescent="0.25">
      <c r="B302" s="2"/>
      <c r="C302" s="2"/>
      <c r="D302" s="2"/>
      <c r="E302" s="2"/>
      <c r="F302" s="2"/>
      <c r="G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row>
    <row r="303" spans="2:59" x14ac:dyDescent="0.25">
      <c r="B303" s="2"/>
      <c r="C303" s="2"/>
      <c r="D303" s="2"/>
      <c r="E303" s="2"/>
      <c r="F303" s="2"/>
      <c r="G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row>
    <row r="304" spans="2:59" x14ac:dyDescent="0.25">
      <c r="B304" s="2"/>
      <c r="C304" s="2"/>
      <c r="D304" s="2"/>
      <c r="E304" s="2"/>
      <c r="F304" s="2"/>
      <c r="G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row>
    <row r="305" spans="2:59" x14ac:dyDescent="0.25">
      <c r="B305" s="2"/>
      <c r="C305" s="2"/>
      <c r="D305" s="2"/>
      <c r="E305" s="2"/>
      <c r="F305" s="2"/>
      <c r="G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row>
    <row r="306" spans="2:59" x14ac:dyDescent="0.25">
      <c r="B306" s="2"/>
      <c r="C306" s="2"/>
      <c r="D306" s="2"/>
      <c r="E306" s="2"/>
      <c r="F306" s="2"/>
      <c r="G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row>
    <row r="307" spans="2:59" x14ac:dyDescent="0.25">
      <c r="B307" s="2"/>
      <c r="C307" s="2"/>
      <c r="D307" s="2"/>
      <c r="E307" s="2"/>
      <c r="F307" s="2"/>
      <c r="G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row>
    <row r="308" spans="2:59" x14ac:dyDescent="0.25">
      <c r="B308" s="2"/>
      <c r="C308" s="2"/>
      <c r="D308" s="2"/>
      <c r="E308" s="2"/>
      <c r="F308" s="2"/>
      <c r="G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row>
    <row r="309" spans="2:59" x14ac:dyDescent="0.25">
      <c r="B309" s="2"/>
      <c r="C309" s="2"/>
      <c r="D309" s="2"/>
      <c r="E309" s="2"/>
      <c r="F309" s="2"/>
      <c r="G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row>
    <row r="310" spans="2:59" x14ac:dyDescent="0.25">
      <c r="B310" s="2"/>
      <c r="C310" s="2"/>
      <c r="D310" s="2"/>
      <c r="E310" s="2"/>
      <c r="F310" s="2"/>
      <c r="G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row>
    <row r="311" spans="2:59" x14ac:dyDescent="0.25">
      <c r="B311" s="2"/>
      <c r="C311" s="2"/>
      <c r="D311" s="2"/>
      <c r="E311" s="2"/>
      <c r="F311" s="2"/>
      <c r="G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row>
    <row r="312" spans="2:59" x14ac:dyDescent="0.25">
      <c r="B312" s="2"/>
      <c r="C312" s="2"/>
      <c r="D312" s="2"/>
      <c r="E312" s="2"/>
      <c r="F312" s="2"/>
      <c r="G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row>
    <row r="313" spans="2:59" x14ac:dyDescent="0.25">
      <c r="B313" s="2"/>
      <c r="C313" s="2"/>
      <c r="D313" s="2"/>
      <c r="E313" s="2"/>
      <c r="F313" s="2"/>
      <c r="G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row>
    <row r="314" spans="2:59" x14ac:dyDescent="0.25">
      <c r="B314" s="2"/>
      <c r="C314" s="2"/>
      <c r="D314" s="2"/>
      <c r="E314" s="2"/>
      <c r="F314" s="2"/>
      <c r="G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row>
    <row r="315" spans="2:59" x14ac:dyDescent="0.25">
      <c r="B315" s="2"/>
      <c r="C315" s="2"/>
      <c r="D315" s="2"/>
      <c r="E315" s="2"/>
      <c r="F315" s="2"/>
      <c r="G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row>
    <row r="316" spans="2:59" x14ac:dyDescent="0.25">
      <c r="B316" s="2"/>
      <c r="C316" s="2"/>
      <c r="D316" s="2"/>
      <c r="E316" s="2"/>
      <c r="F316" s="2"/>
      <c r="G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row>
    <row r="317" spans="2:59" x14ac:dyDescent="0.25">
      <c r="B317" s="2"/>
      <c r="C317" s="2"/>
      <c r="D317" s="2"/>
      <c r="E317" s="2"/>
      <c r="F317" s="2"/>
      <c r="G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row>
    <row r="318" spans="2:59" x14ac:dyDescent="0.25">
      <c r="B318" s="2"/>
      <c r="C318" s="2"/>
      <c r="D318" s="2"/>
      <c r="E318" s="2"/>
      <c r="F318" s="2"/>
      <c r="G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row>
    <row r="319" spans="2:59" x14ac:dyDescent="0.25">
      <c r="B319" s="2"/>
      <c r="C319" s="2"/>
      <c r="D319" s="2"/>
      <c r="E319" s="2"/>
      <c r="F319" s="2"/>
      <c r="G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row>
    <row r="320" spans="2:59" x14ac:dyDescent="0.25">
      <c r="B320" s="2"/>
      <c r="C320" s="2"/>
      <c r="D320" s="2"/>
      <c r="E320" s="2"/>
      <c r="F320" s="2"/>
      <c r="G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row>
    <row r="321" spans="2:59" x14ac:dyDescent="0.25">
      <c r="B321" s="2"/>
      <c r="C321" s="2"/>
      <c r="D321" s="2"/>
      <c r="E321" s="2"/>
      <c r="F321" s="2"/>
      <c r="G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row>
    <row r="322" spans="2:59" x14ac:dyDescent="0.25">
      <c r="B322" s="2"/>
      <c r="C322" s="2"/>
      <c r="D322" s="2"/>
      <c r="E322" s="2"/>
      <c r="F322" s="2"/>
      <c r="G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row>
    <row r="323" spans="2:59" x14ac:dyDescent="0.25">
      <c r="B323" s="2"/>
      <c r="C323" s="2"/>
      <c r="D323" s="2"/>
      <c r="E323" s="2"/>
      <c r="F323" s="2"/>
      <c r="G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row>
    <row r="324" spans="2:59" x14ac:dyDescent="0.25">
      <c r="B324" s="2"/>
      <c r="C324" s="2"/>
      <c r="D324" s="2"/>
      <c r="E324" s="2"/>
      <c r="F324" s="2"/>
      <c r="G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row>
    <row r="325" spans="2:59" x14ac:dyDescent="0.25">
      <c r="B325" s="2"/>
      <c r="C325" s="2"/>
      <c r="D325" s="2"/>
      <c r="E325" s="2"/>
      <c r="F325" s="2"/>
      <c r="G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row>
    <row r="326" spans="2:59" x14ac:dyDescent="0.25">
      <c r="B326" s="2"/>
      <c r="C326" s="2"/>
      <c r="D326" s="2"/>
      <c r="E326" s="2"/>
      <c r="F326" s="2"/>
      <c r="G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row>
    <row r="327" spans="2:59" x14ac:dyDescent="0.25">
      <c r="B327" s="2"/>
      <c r="C327" s="2"/>
      <c r="D327" s="2"/>
      <c r="E327" s="2"/>
      <c r="F327" s="2"/>
      <c r="G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row>
    <row r="328" spans="2:59" x14ac:dyDescent="0.25">
      <c r="B328" s="2"/>
      <c r="C328" s="2"/>
      <c r="D328" s="2"/>
      <c r="E328" s="2"/>
      <c r="F328" s="2"/>
      <c r="G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row>
    <row r="329" spans="2:59" x14ac:dyDescent="0.25">
      <c r="B329" s="2"/>
      <c r="C329" s="2"/>
      <c r="D329" s="2"/>
      <c r="E329" s="2"/>
      <c r="F329" s="2"/>
      <c r="G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row>
    <row r="330" spans="2:59" x14ac:dyDescent="0.25">
      <c r="B330" s="2"/>
      <c r="C330" s="2"/>
      <c r="D330" s="2"/>
      <c r="E330" s="2"/>
      <c r="F330" s="2"/>
      <c r="G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row>
    <row r="331" spans="2:59" x14ac:dyDescent="0.25">
      <c r="B331" s="2"/>
      <c r="C331" s="2"/>
      <c r="D331" s="2"/>
      <c r="E331" s="2"/>
      <c r="F331" s="2"/>
      <c r="G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row>
    <row r="332" spans="2:59" x14ac:dyDescent="0.25">
      <c r="B332" s="2"/>
      <c r="C332" s="2"/>
      <c r="D332" s="2"/>
      <c r="E332" s="2"/>
      <c r="F332" s="2"/>
      <c r="G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row>
    <row r="333" spans="2:59" x14ac:dyDescent="0.25">
      <c r="B333" s="2"/>
      <c r="C333" s="2"/>
      <c r="D333" s="2"/>
      <c r="E333" s="2"/>
      <c r="F333" s="2"/>
      <c r="G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row>
    <row r="334" spans="2:59" x14ac:dyDescent="0.25">
      <c r="B334" s="2"/>
      <c r="C334" s="2"/>
      <c r="D334" s="2"/>
      <c r="E334" s="2"/>
      <c r="F334" s="2"/>
      <c r="G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row>
    <row r="335" spans="2:59" x14ac:dyDescent="0.25">
      <c r="B335" s="2"/>
      <c r="C335" s="2"/>
      <c r="D335" s="2"/>
      <c r="E335" s="2"/>
      <c r="F335" s="2"/>
      <c r="G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row>
    <row r="336" spans="2:59" x14ac:dyDescent="0.25">
      <c r="B336" s="2"/>
      <c r="C336" s="2"/>
      <c r="D336" s="2"/>
      <c r="E336" s="2"/>
      <c r="F336" s="2"/>
      <c r="G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row>
    <row r="337" spans="2:59" x14ac:dyDescent="0.25">
      <c r="B337" s="2"/>
      <c r="C337" s="2"/>
      <c r="D337" s="2"/>
      <c r="E337" s="2"/>
      <c r="F337" s="2"/>
      <c r="G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row>
    <row r="338" spans="2:59" x14ac:dyDescent="0.25">
      <c r="B338" s="2"/>
      <c r="C338" s="2"/>
      <c r="D338" s="2"/>
      <c r="E338" s="2"/>
      <c r="F338" s="2"/>
      <c r="G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row>
    <row r="339" spans="2:59" x14ac:dyDescent="0.25">
      <c r="B339" s="2"/>
      <c r="C339" s="2"/>
      <c r="D339" s="2"/>
      <c r="E339" s="2"/>
      <c r="F339" s="2"/>
      <c r="G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row>
    <row r="340" spans="2:59" x14ac:dyDescent="0.25">
      <c r="B340" s="2"/>
      <c r="C340" s="2"/>
      <c r="D340" s="2"/>
      <c r="E340" s="2"/>
      <c r="F340" s="2"/>
      <c r="G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row>
    <row r="341" spans="2:59" x14ac:dyDescent="0.25">
      <c r="B341" s="2"/>
      <c r="C341" s="2"/>
      <c r="D341" s="2"/>
      <c r="E341" s="2"/>
      <c r="F341" s="2"/>
      <c r="G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row>
    <row r="342" spans="2:59" x14ac:dyDescent="0.25">
      <c r="B342" s="2"/>
      <c r="C342" s="2"/>
      <c r="D342" s="2"/>
      <c r="E342" s="2"/>
      <c r="F342" s="2"/>
      <c r="G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row>
    <row r="343" spans="2:59" x14ac:dyDescent="0.25">
      <c r="B343" s="2"/>
      <c r="C343" s="2"/>
      <c r="D343" s="2"/>
      <c r="E343" s="2"/>
      <c r="F343" s="2"/>
      <c r="G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row>
    <row r="344" spans="2:59" x14ac:dyDescent="0.25">
      <c r="B344" s="2"/>
      <c r="C344" s="2"/>
      <c r="D344" s="2"/>
      <c r="E344" s="2"/>
      <c r="F344" s="2"/>
      <c r="G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row>
    <row r="345" spans="2:59" x14ac:dyDescent="0.25">
      <c r="B345" s="2"/>
      <c r="C345" s="2"/>
      <c r="D345" s="2"/>
      <c r="E345" s="2"/>
      <c r="F345" s="2"/>
      <c r="G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row>
    <row r="346" spans="2:59" x14ac:dyDescent="0.25">
      <c r="B346" s="2"/>
      <c r="C346" s="2"/>
      <c r="D346" s="2"/>
      <c r="E346" s="2"/>
      <c r="F346" s="2"/>
      <c r="G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row>
    <row r="347" spans="2:59" x14ac:dyDescent="0.25">
      <c r="B347" s="2"/>
      <c r="C347" s="2"/>
      <c r="D347" s="2"/>
      <c r="E347" s="2"/>
      <c r="F347" s="2"/>
      <c r="G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row>
    <row r="348" spans="2:59" x14ac:dyDescent="0.25">
      <c r="B348" s="2"/>
      <c r="C348" s="2"/>
      <c r="D348" s="2"/>
      <c r="E348" s="2"/>
      <c r="F348" s="2"/>
      <c r="G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row>
    <row r="349" spans="2:59" x14ac:dyDescent="0.25">
      <c r="B349" s="2"/>
      <c r="C349" s="2"/>
      <c r="D349" s="2"/>
      <c r="E349" s="2"/>
      <c r="F349" s="2"/>
      <c r="G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row>
    <row r="350" spans="2:59" x14ac:dyDescent="0.25">
      <c r="B350" s="2"/>
      <c r="C350" s="2"/>
      <c r="D350" s="2"/>
      <c r="E350" s="2"/>
      <c r="F350" s="2"/>
      <c r="G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row>
    <row r="351" spans="2:59" x14ac:dyDescent="0.25">
      <c r="B351" s="2"/>
      <c r="C351" s="2"/>
      <c r="D351" s="2"/>
      <c r="E351" s="2"/>
      <c r="F351" s="2"/>
      <c r="G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row>
    <row r="352" spans="2:59" x14ac:dyDescent="0.25">
      <c r="B352" s="2"/>
      <c r="C352" s="2"/>
      <c r="D352" s="2"/>
      <c r="E352" s="2"/>
      <c r="F352" s="2"/>
      <c r="G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row>
    <row r="353" spans="2:59" x14ac:dyDescent="0.25">
      <c r="B353" s="2"/>
      <c r="C353" s="2"/>
      <c r="D353" s="2"/>
      <c r="E353" s="2"/>
      <c r="F353" s="2"/>
      <c r="G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row>
    <row r="354" spans="2:59" x14ac:dyDescent="0.25">
      <c r="B354" s="2"/>
      <c r="C354" s="2"/>
      <c r="D354" s="2"/>
      <c r="E354" s="2"/>
      <c r="F354" s="2"/>
      <c r="G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row>
    <row r="355" spans="2:59" x14ac:dyDescent="0.25">
      <c r="B355" s="2"/>
      <c r="C355" s="2"/>
      <c r="D355" s="2"/>
      <c r="E355" s="2"/>
      <c r="F355" s="2"/>
      <c r="G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row>
    <row r="356" spans="2:59" x14ac:dyDescent="0.25">
      <c r="B356" s="2"/>
      <c r="C356" s="2"/>
      <c r="D356" s="2"/>
      <c r="E356" s="2"/>
      <c r="F356" s="2"/>
      <c r="G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row>
    <row r="357" spans="2:59" x14ac:dyDescent="0.25">
      <c r="B357" s="2"/>
      <c r="C357" s="2"/>
      <c r="D357" s="2"/>
      <c r="E357" s="2"/>
      <c r="F357" s="2"/>
      <c r="G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row>
    <row r="358" spans="2:59" x14ac:dyDescent="0.25">
      <c r="B358" s="2"/>
      <c r="C358" s="2"/>
      <c r="D358" s="2"/>
      <c r="E358" s="2"/>
      <c r="F358" s="2"/>
      <c r="G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row>
    <row r="359" spans="2:59" x14ac:dyDescent="0.25">
      <c r="B359" s="2"/>
      <c r="C359" s="2"/>
      <c r="D359" s="2"/>
      <c r="E359" s="2"/>
      <c r="F359" s="2"/>
      <c r="G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row>
    <row r="360" spans="2:59" x14ac:dyDescent="0.25">
      <c r="B360" s="2"/>
      <c r="C360" s="2"/>
      <c r="D360" s="2"/>
      <c r="E360" s="2"/>
      <c r="F360" s="2"/>
      <c r="G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row>
    <row r="361" spans="2:59" x14ac:dyDescent="0.25">
      <c r="B361" s="2"/>
      <c r="C361" s="2"/>
      <c r="D361" s="2"/>
      <c r="E361" s="2"/>
      <c r="F361" s="2"/>
      <c r="G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row>
    <row r="362" spans="2:59" x14ac:dyDescent="0.25">
      <c r="B362" s="2"/>
      <c r="C362" s="2"/>
      <c r="D362" s="2"/>
      <c r="E362" s="2"/>
      <c r="F362" s="2"/>
      <c r="G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row>
    <row r="363" spans="2:59" x14ac:dyDescent="0.25">
      <c r="B363" s="2"/>
      <c r="C363" s="2"/>
      <c r="D363" s="2"/>
      <c r="E363" s="2"/>
      <c r="F363" s="2"/>
      <c r="G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row>
    <row r="364" spans="2:59" x14ac:dyDescent="0.25">
      <c r="B364" s="2"/>
      <c r="C364" s="2"/>
      <c r="D364" s="2"/>
      <c r="E364" s="2"/>
      <c r="F364" s="2"/>
      <c r="G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row>
    <row r="365" spans="2:59" x14ac:dyDescent="0.25">
      <c r="B365" s="2"/>
      <c r="C365" s="2"/>
      <c r="D365" s="2"/>
      <c r="E365" s="2"/>
      <c r="F365" s="2"/>
      <c r="G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row>
    <row r="366" spans="2:59" x14ac:dyDescent="0.25">
      <c r="B366" s="2"/>
      <c r="C366" s="2"/>
      <c r="D366" s="2"/>
      <c r="E366" s="2"/>
      <c r="F366" s="2"/>
      <c r="G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row>
    <row r="367" spans="2:59" x14ac:dyDescent="0.25">
      <c r="B367" s="2"/>
      <c r="C367" s="2"/>
      <c r="D367" s="2"/>
      <c r="E367" s="2"/>
      <c r="F367" s="2"/>
      <c r="G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row>
    <row r="368" spans="2:59" x14ac:dyDescent="0.25">
      <c r="B368" s="2"/>
      <c r="C368" s="2"/>
      <c r="D368" s="2"/>
      <c r="E368" s="2"/>
      <c r="F368" s="2"/>
      <c r="G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row>
    <row r="369" spans="2:59" x14ac:dyDescent="0.25">
      <c r="B369" s="2"/>
      <c r="C369" s="2"/>
      <c r="D369" s="2"/>
      <c r="E369" s="2"/>
      <c r="F369" s="2"/>
      <c r="G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row>
    <row r="370" spans="2:59" x14ac:dyDescent="0.25">
      <c r="B370" s="2"/>
      <c r="C370" s="2"/>
      <c r="D370" s="2"/>
      <c r="E370" s="2"/>
      <c r="F370" s="2"/>
      <c r="G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row>
    <row r="371" spans="2:59" x14ac:dyDescent="0.25">
      <c r="B371" s="2"/>
      <c r="C371" s="2"/>
      <c r="D371" s="2"/>
      <c r="E371" s="2"/>
      <c r="F371" s="2"/>
      <c r="G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row>
    <row r="372" spans="2:59" x14ac:dyDescent="0.25">
      <c r="B372" s="2"/>
      <c r="C372" s="2"/>
      <c r="D372" s="2"/>
      <c r="E372" s="2"/>
      <c r="F372" s="2"/>
      <c r="G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row>
    <row r="373" spans="2:59" x14ac:dyDescent="0.25">
      <c r="B373" s="2"/>
      <c r="C373" s="2"/>
      <c r="D373" s="2"/>
      <c r="E373" s="2"/>
      <c r="F373" s="2"/>
      <c r="G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row>
    <row r="374" spans="2:59" x14ac:dyDescent="0.25">
      <c r="B374" s="2"/>
      <c r="C374" s="2"/>
      <c r="D374" s="2"/>
      <c r="E374" s="2"/>
      <c r="F374" s="2"/>
      <c r="G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row>
    <row r="375" spans="2:59" x14ac:dyDescent="0.25">
      <c r="B375" s="2"/>
      <c r="C375" s="2"/>
      <c r="D375" s="2"/>
      <c r="E375" s="2"/>
      <c r="F375" s="2"/>
      <c r="G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row>
    <row r="376" spans="2:59" x14ac:dyDescent="0.25">
      <c r="B376" s="2"/>
      <c r="C376" s="2"/>
      <c r="D376" s="2"/>
      <c r="E376" s="2"/>
      <c r="F376" s="2"/>
      <c r="G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row>
    <row r="377" spans="2:59" x14ac:dyDescent="0.25">
      <c r="B377" s="2"/>
      <c r="C377" s="2"/>
      <c r="D377" s="2"/>
      <c r="E377" s="2"/>
      <c r="F377" s="2"/>
      <c r="G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row>
    <row r="378" spans="2:59" x14ac:dyDescent="0.25">
      <c r="B378" s="2"/>
      <c r="C378" s="2"/>
      <c r="D378" s="2"/>
      <c r="E378" s="2"/>
      <c r="F378" s="2"/>
      <c r="G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row>
    <row r="379" spans="2:59" x14ac:dyDescent="0.25">
      <c r="B379" s="2"/>
      <c r="C379" s="2"/>
      <c r="D379" s="2"/>
      <c r="E379" s="2"/>
      <c r="F379" s="2"/>
      <c r="G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row>
    <row r="380" spans="2:59" x14ac:dyDescent="0.25">
      <c r="B380" s="2"/>
      <c r="C380" s="2"/>
      <c r="D380" s="2"/>
      <c r="E380" s="2"/>
      <c r="F380" s="2"/>
      <c r="G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row>
    <row r="381" spans="2:59" x14ac:dyDescent="0.25">
      <c r="B381" s="2"/>
      <c r="C381" s="2"/>
      <c r="D381" s="2"/>
      <c r="E381" s="2"/>
      <c r="F381" s="2"/>
      <c r="G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row>
    <row r="382" spans="2:59" x14ac:dyDescent="0.25">
      <c r="B382" s="2"/>
      <c r="C382" s="2"/>
      <c r="D382" s="2"/>
      <c r="E382" s="2"/>
      <c r="F382" s="2"/>
      <c r="G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row>
    <row r="383" spans="2:59" x14ac:dyDescent="0.25">
      <c r="B383" s="2"/>
      <c r="C383" s="2"/>
      <c r="D383" s="2"/>
      <c r="E383" s="2"/>
      <c r="F383" s="2"/>
      <c r="G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row>
    <row r="384" spans="2:59" x14ac:dyDescent="0.25">
      <c r="B384" s="2"/>
      <c r="C384" s="2"/>
      <c r="D384" s="2"/>
      <c r="E384" s="2"/>
      <c r="F384" s="2"/>
      <c r="G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row>
    <row r="385" spans="2:59" x14ac:dyDescent="0.25">
      <c r="B385" s="2"/>
      <c r="C385" s="2"/>
      <c r="D385" s="2"/>
      <c r="E385" s="2"/>
      <c r="F385" s="2"/>
      <c r="G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row>
    <row r="386" spans="2:59" x14ac:dyDescent="0.25">
      <c r="B386" s="2"/>
      <c r="C386" s="2"/>
      <c r="D386" s="2"/>
      <c r="E386" s="2"/>
      <c r="F386" s="2"/>
      <c r="G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row>
    <row r="387" spans="2:59" x14ac:dyDescent="0.25">
      <c r="B387" s="2"/>
      <c r="C387" s="2"/>
      <c r="D387" s="2"/>
      <c r="E387" s="2"/>
      <c r="F387" s="2"/>
      <c r="G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row>
    <row r="388" spans="2:59" x14ac:dyDescent="0.25">
      <c r="B388" s="2"/>
      <c r="C388" s="2"/>
      <c r="D388" s="2"/>
      <c r="E388" s="2"/>
      <c r="F388" s="2"/>
      <c r="G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row>
    <row r="389" spans="2:59" x14ac:dyDescent="0.25">
      <c r="B389" s="2"/>
      <c r="C389" s="2"/>
      <c r="D389" s="2"/>
      <c r="E389" s="2"/>
      <c r="F389" s="2"/>
      <c r="G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row>
    <row r="390" spans="2:59" x14ac:dyDescent="0.25">
      <c r="B390" s="2"/>
      <c r="C390" s="2"/>
      <c r="D390" s="2"/>
      <c r="E390" s="2"/>
      <c r="F390" s="2"/>
      <c r="G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row>
    <row r="391" spans="2:59" x14ac:dyDescent="0.25">
      <c r="B391" s="2"/>
      <c r="C391" s="2"/>
      <c r="D391" s="2"/>
      <c r="E391" s="2"/>
      <c r="F391" s="2"/>
      <c r="G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row>
    <row r="392" spans="2:59" x14ac:dyDescent="0.25">
      <c r="B392" s="2"/>
      <c r="C392" s="2"/>
      <c r="D392" s="2"/>
      <c r="E392" s="2"/>
      <c r="F392" s="2"/>
      <c r="G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row>
    <row r="393" spans="2:59" x14ac:dyDescent="0.25">
      <c r="B393" s="2"/>
      <c r="C393" s="2"/>
      <c r="D393" s="2"/>
      <c r="E393" s="2"/>
      <c r="F393" s="2"/>
      <c r="G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row>
    <row r="394" spans="2:59" x14ac:dyDescent="0.25">
      <c r="B394" s="2"/>
      <c r="C394" s="2"/>
      <c r="D394" s="2"/>
      <c r="E394" s="2"/>
      <c r="F394" s="2"/>
      <c r="G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row>
    <row r="395" spans="2:59" x14ac:dyDescent="0.25">
      <c r="B395" s="2"/>
      <c r="C395" s="2"/>
      <c r="D395" s="2"/>
      <c r="E395" s="2"/>
      <c r="F395" s="2"/>
      <c r="G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row>
    <row r="396" spans="2:59" x14ac:dyDescent="0.25">
      <c r="B396" s="2"/>
      <c r="C396" s="2"/>
      <c r="D396" s="2"/>
      <c r="E396" s="2"/>
      <c r="F396" s="2"/>
      <c r="G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row>
    <row r="397" spans="2:59" x14ac:dyDescent="0.25">
      <c r="B397" s="2"/>
      <c r="C397" s="2"/>
      <c r="D397" s="2"/>
      <c r="E397" s="2"/>
      <c r="F397" s="2"/>
      <c r="G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row>
    <row r="398" spans="2:59" x14ac:dyDescent="0.25">
      <c r="B398" s="2"/>
      <c r="C398" s="2"/>
      <c r="D398" s="2"/>
      <c r="E398" s="2"/>
      <c r="F398" s="2"/>
      <c r="G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row>
    <row r="399" spans="2:59" x14ac:dyDescent="0.25">
      <c r="B399" s="2"/>
      <c r="C399" s="2"/>
      <c r="D399" s="2"/>
      <c r="E399" s="2"/>
      <c r="F399" s="2"/>
      <c r="G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row>
    <row r="400" spans="2:59" x14ac:dyDescent="0.25">
      <c r="B400" s="2"/>
      <c r="C400" s="2"/>
      <c r="D400" s="2"/>
      <c r="E400" s="2"/>
      <c r="F400" s="2"/>
      <c r="G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row>
    <row r="401" spans="2:59" x14ac:dyDescent="0.25">
      <c r="B401" s="2"/>
      <c r="C401" s="2"/>
      <c r="D401" s="2"/>
      <c r="E401" s="2"/>
      <c r="F401" s="2"/>
      <c r="G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row>
    <row r="402" spans="2:59" x14ac:dyDescent="0.25">
      <c r="B402" s="2"/>
      <c r="C402" s="2"/>
      <c r="D402" s="2"/>
      <c r="E402" s="2"/>
      <c r="F402" s="2"/>
      <c r="G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row>
    <row r="403" spans="2:59" x14ac:dyDescent="0.25">
      <c r="B403" s="2"/>
      <c r="C403" s="2"/>
      <c r="D403" s="2"/>
      <c r="E403" s="2"/>
      <c r="F403" s="2"/>
      <c r="G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row>
    <row r="404" spans="2:59" x14ac:dyDescent="0.25">
      <c r="B404" s="2"/>
      <c r="C404" s="2"/>
      <c r="D404" s="2"/>
      <c r="E404" s="2"/>
      <c r="F404" s="2"/>
      <c r="G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row>
    <row r="405" spans="2:59" x14ac:dyDescent="0.25">
      <c r="B405" s="2"/>
      <c r="C405" s="2"/>
      <c r="D405" s="2"/>
      <c r="E405" s="2"/>
      <c r="F405" s="2"/>
      <c r="G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row>
    <row r="406" spans="2:59" x14ac:dyDescent="0.25">
      <c r="B406" s="2"/>
      <c r="C406" s="2"/>
      <c r="D406" s="2"/>
      <c r="E406" s="2"/>
      <c r="F406" s="2"/>
      <c r="G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row>
    <row r="407" spans="2:59" x14ac:dyDescent="0.25">
      <c r="B407" s="2"/>
      <c r="C407" s="2"/>
      <c r="D407" s="2"/>
      <c r="E407" s="2"/>
      <c r="F407" s="2"/>
      <c r="G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row>
    <row r="408" spans="2:59" x14ac:dyDescent="0.25">
      <c r="B408" s="2"/>
      <c r="C408" s="2"/>
      <c r="D408" s="2"/>
      <c r="E408" s="2"/>
      <c r="F408" s="2"/>
      <c r="G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row>
    <row r="409" spans="2:59" x14ac:dyDescent="0.25">
      <c r="B409" s="2"/>
      <c r="C409" s="2"/>
      <c r="D409" s="2"/>
      <c r="E409" s="2"/>
      <c r="F409" s="2"/>
      <c r="G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row>
    <row r="410" spans="2:59" x14ac:dyDescent="0.25">
      <c r="B410" s="2"/>
      <c r="C410" s="2"/>
      <c r="D410" s="2"/>
      <c r="E410" s="2"/>
      <c r="F410" s="2"/>
      <c r="G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row>
    <row r="411" spans="2:59" x14ac:dyDescent="0.25">
      <c r="B411" s="2"/>
      <c r="C411" s="2"/>
      <c r="D411" s="2"/>
      <c r="E411" s="2"/>
      <c r="F411" s="2"/>
      <c r="G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row>
    <row r="412" spans="2:59" x14ac:dyDescent="0.25">
      <c r="B412" s="2"/>
      <c r="C412" s="2"/>
      <c r="D412" s="2"/>
      <c r="E412" s="2"/>
      <c r="F412" s="2"/>
      <c r="G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row>
    <row r="413" spans="2:59" x14ac:dyDescent="0.25">
      <c r="B413" s="2"/>
      <c r="C413" s="2"/>
      <c r="D413" s="2"/>
      <c r="E413" s="2"/>
      <c r="F413" s="2"/>
      <c r="G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row>
    <row r="414" spans="2:59" x14ac:dyDescent="0.25">
      <c r="B414" s="2"/>
      <c r="C414" s="2"/>
      <c r="D414" s="2"/>
      <c r="E414" s="2"/>
      <c r="F414" s="2"/>
      <c r="G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row>
    <row r="415" spans="2:59" x14ac:dyDescent="0.25">
      <c r="B415" s="2"/>
      <c r="C415" s="2"/>
      <c r="D415" s="2"/>
      <c r="E415" s="2"/>
      <c r="F415" s="2"/>
      <c r="G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row>
    <row r="416" spans="2:59" x14ac:dyDescent="0.25">
      <c r="B416" s="2"/>
      <c r="C416" s="2"/>
      <c r="D416" s="2"/>
      <c r="E416" s="2"/>
      <c r="F416" s="2"/>
      <c r="G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row>
    <row r="417" spans="2:59" x14ac:dyDescent="0.25">
      <c r="B417" s="2"/>
      <c r="C417" s="2"/>
      <c r="D417" s="2"/>
      <c r="E417" s="2"/>
      <c r="F417" s="2"/>
      <c r="G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row>
    <row r="418" spans="2:59" x14ac:dyDescent="0.25">
      <c r="B418" s="2"/>
      <c r="C418" s="2"/>
      <c r="D418" s="2"/>
      <c r="E418" s="2"/>
      <c r="F418" s="2"/>
      <c r="G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row>
    <row r="419" spans="2:59" x14ac:dyDescent="0.25">
      <c r="B419" s="2"/>
      <c r="C419" s="2"/>
      <c r="D419" s="2"/>
      <c r="E419" s="2"/>
      <c r="F419" s="2"/>
      <c r="G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row>
    <row r="420" spans="2:59" x14ac:dyDescent="0.25">
      <c r="B420" s="2"/>
      <c r="C420" s="2"/>
      <c r="D420" s="2"/>
      <c r="E420" s="2"/>
      <c r="F420" s="2"/>
      <c r="G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row>
    <row r="421" spans="2:59" x14ac:dyDescent="0.25">
      <c r="B421" s="2"/>
      <c r="C421" s="2"/>
      <c r="D421" s="2"/>
      <c r="E421" s="2"/>
      <c r="F421" s="2"/>
      <c r="G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row>
    <row r="422" spans="2:59" x14ac:dyDescent="0.25">
      <c r="B422" s="2"/>
      <c r="C422" s="2"/>
      <c r="D422" s="2"/>
      <c r="E422" s="2"/>
      <c r="F422" s="2"/>
      <c r="G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row>
    <row r="423" spans="2:59" x14ac:dyDescent="0.25">
      <c r="B423" s="2"/>
      <c r="C423" s="2"/>
      <c r="D423" s="2"/>
      <c r="E423" s="2"/>
      <c r="F423" s="2"/>
      <c r="G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row>
    <row r="424" spans="2:59" x14ac:dyDescent="0.25">
      <c r="B424" s="2"/>
      <c r="C424" s="2"/>
      <c r="D424" s="2"/>
      <c r="E424" s="2"/>
      <c r="F424" s="2"/>
      <c r="G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row>
    <row r="425" spans="2:59" x14ac:dyDescent="0.25">
      <c r="B425" s="2"/>
      <c r="C425" s="2"/>
      <c r="D425" s="2"/>
      <c r="E425" s="2"/>
      <c r="F425" s="2"/>
      <c r="G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row>
    <row r="426" spans="2:59" x14ac:dyDescent="0.25">
      <c r="B426" s="2"/>
      <c r="C426" s="2"/>
      <c r="D426" s="2"/>
      <c r="E426" s="2"/>
      <c r="F426" s="2"/>
      <c r="G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row>
    <row r="427" spans="2:59" x14ac:dyDescent="0.25">
      <c r="B427" s="2"/>
      <c r="C427" s="2"/>
      <c r="D427" s="2"/>
      <c r="E427" s="2"/>
      <c r="F427" s="2"/>
      <c r="G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row>
    <row r="428" spans="2:59" x14ac:dyDescent="0.25">
      <c r="B428" s="2"/>
      <c r="C428" s="2"/>
      <c r="D428" s="2"/>
      <c r="E428" s="2"/>
      <c r="F428" s="2"/>
      <c r="G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row>
    <row r="429" spans="2:59" x14ac:dyDescent="0.25">
      <c r="B429" s="2"/>
      <c r="C429" s="2"/>
      <c r="D429" s="2"/>
      <c r="E429" s="2"/>
      <c r="F429" s="2"/>
      <c r="G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row>
    <row r="430" spans="2:59" x14ac:dyDescent="0.25">
      <c r="B430" s="2"/>
      <c r="C430" s="2"/>
      <c r="D430" s="2"/>
      <c r="E430" s="2"/>
      <c r="F430" s="2"/>
      <c r="G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row>
    <row r="431" spans="2:59" x14ac:dyDescent="0.25">
      <c r="B431" s="2"/>
      <c r="C431" s="2"/>
      <c r="D431" s="2"/>
      <c r="E431" s="2"/>
      <c r="F431" s="2"/>
      <c r="G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row>
    <row r="432" spans="2:59" x14ac:dyDescent="0.25">
      <c r="B432" s="2"/>
      <c r="C432" s="2"/>
      <c r="D432" s="2"/>
      <c r="E432" s="2"/>
      <c r="F432" s="2"/>
      <c r="G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row>
    <row r="433" spans="2:59" x14ac:dyDescent="0.25">
      <c r="B433" s="2"/>
      <c r="C433" s="2"/>
      <c r="D433" s="2"/>
      <c r="E433" s="2"/>
      <c r="F433" s="2"/>
      <c r="G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row>
    <row r="434" spans="2:59" x14ac:dyDescent="0.25">
      <c r="B434" s="2"/>
      <c r="C434" s="2"/>
      <c r="D434" s="2"/>
      <c r="E434" s="2"/>
      <c r="F434" s="2"/>
      <c r="G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row>
    <row r="435" spans="2:59" x14ac:dyDescent="0.25">
      <c r="B435" s="2"/>
      <c r="C435" s="2"/>
      <c r="D435" s="2"/>
      <c r="E435" s="2"/>
      <c r="F435" s="2"/>
      <c r="G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row>
    <row r="436" spans="2:59" x14ac:dyDescent="0.25">
      <c r="B436" s="2"/>
      <c r="C436" s="2"/>
      <c r="D436" s="2"/>
      <c r="E436" s="2"/>
      <c r="F436" s="2"/>
      <c r="G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row>
    <row r="437" spans="2:59" x14ac:dyDescent="0.25">
      <c r="B437" s="2"/>
      <c r="C437" s="2"/>
      <c r="D437" s="2"/>
      <c r="E437" s="2"/>
      <c r="F437" s="2"/>
      <c r="G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row>
    <row r="438" spans="2:59" x14ac:dyDescent="0.25">
      <c r="B438" s="2"/>
      <c r="C438" s="2"/>
      <c r="D438" s="2"/>
      <c r="E438" s="2"/>
      <c r="F438" s="2"/>
      <c r="G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row>
    <row r="439" spans="2:59" x14ac:dyDescent="0.25">
      <c r="B439" s="2"/>
      <c r="C439" s="2"/>
      <c r="D439" s="2"/>
      <c r="E439" s="2"/>
      <c r="F439" s="2"/>
      <c r="G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row>
    <row r="440" spans="2:59" x14ac:dyDescent="0.25">
      <c r="B440" s="2"/>
      <c r="C440" s="2"/>
      <c r="D440" s="2"/>
      <c r="E440" s="2"/>
      <c r="F440" s="2"/>
      <c r="G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row>
    <row r="441" spans="2:59" x14ac:dyDescent="0.25">
      <c r="B441" s="2"/>
      <c r="C441" s="2"/>
      <c r="D441" s="2"/>
      <c r="E441" s="2"/>
      <c r="F441" s="2"/>
      <c r="G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row>
    <row r="442" spans="2:59" x14ac:dyDescent="0.25">
      <c r="B442" s="2"/>
      <c r="C442" s="2"/>
      <c r="D442" s="2"/>
      <c r="E442" s="2"/>
      <c r="F442" s="2"/>
      <c r="G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row>
    <row r="443" spans="2:59" x14ac:dyDescent="0.25">
      <c r="B443" s="2"/>
      <c r="C443" s="2"/>
      <c r="D443" s="2"/>
      <c r="E443" s="2"/>
      <c r="F443" s="2"/>
      <c r="G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row>
    <row r="444" spans="2:59" x14ac:dyDescent="0.25">
      <c r="B444" s="2"/>
      <c r="C444" s="2"/>
      <c r="D444" s="2"/>
      <c r="E444" s="2"/>
      <c r="F444" s="2"/>
      <c r="G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row>
    <row r="445" spans="2:59" x14ac:dyDescent="0.25">
      <c r="B445" s="2"/>
      <c r="C445" s="2"/>
      <c r="D445" s="2"/>
      <c r="E445" s="2"/>
      <c r="F445" s="2"/>
      <c r="G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row>
    <row r="446" spans="2:59" x14ac:dyDescent="0.25">
      <c r="B446" s="2"/>
      <c r="C446" s="2"/>
      <c r="D446" s="2"/>
      <c r="E446" s="2"/>
      <c r="F446" s="2"/>
      <c r="G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row>
    <row r="447" spans="2:59" x14ac:dyDescent="0.25">
      <c r="B447" s="2"/>
      <c r="C447" s="2"/>
      <c r="D447" s="2"/>
      <c r="E447" s="2"/>
      <c r="F447" s="2"/>
      <c r="G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row>
    <row r="448" spans="2:59" x14ac:dyDescent="0.25">
      <c r="B448" s="2"/>
      <c r="C448" s="2"/>
      <c r="D448" s="2"/>
      <c r="E448" s="2"/>
      <c r="F448" s="2"/>
      <c r="G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row>
    <row r="449" spans="2:59" x14ac:dyDescent="0.25">
      <c r="B449" s="2"/>
      <c r="C449" s="2"/>
      <c r="D449" s="2"/>
      <c r="E449" s="2"/>
      <c r="F449" s="2"/>
      <c r="G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row>
    <row r="450" spans="2:59" x14ac:dyDescent="0.25">
      <c r="B450" s="2"/>
      <c r="C450" s="2"/>
      <c r="D450" s="2"/>
      <c r="E450" s="2"/>
      <c r="F450" s="2"/>
      <c r="G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row>
    <row r="451" spans="2:59" x14ac:dyDescent="0.25">
      <c r="B451" s="2"/>
      <c r="C451" s="2"/>
      <c r="D451" s="2"/>
      <c r="E451" s="2"/>
      <c r="F451" s="2"/>
      <c r="G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row>
    <row r="452" spans="2:59" x14ac:dyDescent="0.25">
      <c r="B452" s="2"/>
      <c r="C452" s="2"/>
      <c r="D452" s="2"/>
      <c r="E452" s="2"/>
      <c r="F452" s="2"/>
      <c r="G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row>
    <row r="453" spans="2:59" x14ac:dyDescent="0.25">
      <c r="B453" s="2"/>
      <c r="C453" s="2"/>
      <c r="D453" s="2"/>
      <c r="E453" s="2"/>
      <c r="F453" s="2"/>
      <c r="G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row>
    <row r="454" spans="2:59" x14ac:dyDescent="0.25">
      <c r="B454" s="2"/>
      <c r="C454" s="2"/>
      <c r="D454" s="2"/>
      <c r="E454" s="2"/>
      <c r="F454" s="2"/>
      <c r="G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row>
    <row r="455" spans="2:59" x14ac:dyDescent="0.25">
      <c r="B455" s="2"/>
      <c r="C455" s="2"/>
      <c r="D455" s="2"/>
      <c r="E455" s="2"/>
      <c r="F455" s="2"/>
      <c r="G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row>
    <row r="456" spans="2:59" x14ac:dyDescent="0.25">
      <c r="B456" s="2"/>
      <c r="C456" s="2"/>
      <c r="D456" s="2"/>
      <c r="E456" s="2"/>
      <c r="F456" s="2"/>
      <c r="G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row>
    <row r="457" spans="2:59" x14ac:dyDescent="0.25">
      <c r="B457" s="2"/>
      <c r="C457" s="2"/>
      <c r="D457" s="2"/>
      <c r="E457" s="2"/>
      <c r="F457" s="2"/>
      <c r="G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row>
    <row r="458" spans="2:59" x14ac:dyDescent="0.25">
      <c r="B458" s="2"/>
      <c r="C458" s="2"/>
      <c r="D458" s="2"/>
      <c r="E458" s="2"/>
      <c r="F458" s="2"/>
      <c r="G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row>
    <row r="459" spans="2:59" x14ac:dyDescent="0.25">
      <c r="B459" s="2"/>
      <c r="C459" s="2"/>
      <c r="D459" s="2"/>
      <c r="E459" s="2"/>
      <c r="F459" s="2"/>
      <c r="G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row>
    <row r="460" spans="2:59" x14ac:dyDescent="0.25">
      <c r="B460" s="2"/>
      <c r="C460" s="2"/>
      <c r="D460" s="2"/>
      <c r="E460" s="2"/>
      <c r="F460" s="2"/>
      <c r="G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row>
    <row r="461" spans="2:59" x14ac:dyDescent="0.25">
      <c r="B461" s="2"/>
      <c r="C461" s="2"/>
      <c r="D461" s="2"/>
      <c r="E461" s="2"/>
      <c r="F461" s="2"/>
      <c r="G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row>
    <row r="462" spans="2:59" x14ac:dyDescent="0.25">
      <c r="B462" s="2"/>
      <c r="C462" s="2"/>
      <c r="D462" s="2"/>
      <c r="E462" s="2"/>
      <c r="F462" s="2"/>
      <c r="G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row>
    <row r="463" spans="2:59" x14ac:dyDescent="0.25">
      <c r="B463" s="2"/>
      <c r="C463" s="2"/>
      <c r="D463" s="2"/>
      <c r="E463" s="2"/>
      <c r="F463" s="2"/>
      <c r="G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row>
    <row r="464" spans="2:59" x14ac:dyDescent="0.25">
      <c r="B464" s="2"/>
      <c r="C464" s="2"/>
      <c r="D464" s="2"/>
      <c r="E464" s="2"/>
      <c r="F464" s="2"/>
      <c r="G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row>
    <row r="465" spans="2:59" x14ac:dyDescent="0.25">
      <c r="B465" s="2"/>
      <c r="C465" s="2"/>
      <c r="D465" s="2"/>
      <c r="E465" s="2"/>
      <c r="F465" s="2"/>
      <c r="G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row>
    <row r="466" spans="2:59" x14ac:dyDescent="0.25">
      <c r="B466" s="2"/>
      <c r="C466" s="2"/>
      <c r="D466" s="2"/>
      <c r="E466" s="2"/>
      <c r="F466" s="2"/>
      <c r="G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row>
    <row r="467" spans="2:59" x14ac:dyDescent="0.25">
      <c r="B467" s="2"/>
      <c r="C467" s="2"/>
      <c r="D467" s="2"/>
      <c r="E467" s="2"/>
      <c r="F467" s="2"/>
      <c r="G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row>
    <row r="468" spans="2:59" x14ac:dyDescent="0.25">
      <c r="B468" s="2"/>
      <c r="C468" s="2"/>
      <c r="D468" s="2"/>
      <c r="E468" s="2"/>
      <c r="F468" s="2"/>
      <c r="G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row>
    <row r="469" spans="2:59" x14ac:dyDescent="0.25">
      <c r="B469" s="2"/>
      <c r="C469" s="2"/>
      <c r="D469" s="2"/>
      <c r="E469" s="2"/>
      <c r="F469" s="2"/>
      <c r="G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row>
    <row r="470" spans="2:59" x14ac:dyDescent="0.25">
      <c r="B470" s="2"/>
      <c r="C470" s="2"/>
      <c r="D470" s="2"/>
      <c r="E470" s="2"/>
      <c r="F470" s="2"/>
      <c r="G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row>
    <row r="471" spans="2:59" x14ac:dyDescent="0.25">
      <c r="B471" s="2"/>
      <c r="C471" s="2"/>
      <c r="D471" s="2"/>
      <c r="E471" s="2"/>
      <c r="F471" s="2"/>
      <c r="G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row>
    <row r="472" spans="2:59" x14ac:dyDescent="0.25">
      <c r="B472" s="2"/>
      <c r="C472" s="2"/>
      <c r="D472" s="2"/>
      <c r="E472" s="2"/>
      <c r="F472" s="2"/>
      <c r="G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row>
    <row r="473" spans="2:59" x14ac:dyDescent="0.25">
      <c r="B473" s="2"/>
      <c r="C473" s="2"/>
      <c r="D473" s="2"/>
      <c r="E473" s="2"/>
      <c r="F473" s="2"/>
      <c r="G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row>
    <row r="474" spans="2:59" x14ac:dyDescent="0.25">
      <c r="B474" s="2"/>
      <c r="C474" s="2"/>
      <c r="D474" s="2"/>
      <c r="E474" s="2"/>
      <c r="F474" s="2"/>
      <c r="G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row>
    <row r="475" spans="2:59" x14ac:dyDescent="0.25">
      <c r="B475" s="2"/>
      <c r="C475" s="2"/>
      <c r="D475" s="2"/>
      <c r="E475" s="2"/>
      <c r="F475" s="2"/>
      <c r="G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row>
    <row r="476" spans="2:59" x14ac:dyDescent="0.25">
      <c r="B476" s="2"/>
      <c r="C476" s="2"/>
      <c r="D476" s="2"/>
      <c r="E476" s="2"/>
      <c r="F476" s="2"/>
      <c r="G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row>
    <row r="477" spans="2:59" x14ac:dyDescent="0.25">
      <c r="B477" s="2"/>
      <c r="C477" s="2"/>
      <c r="D477" s="2"/>
      <c r="E477" s="2"/>
      <c r="F477" s="2"/>
      <c r="G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row>
    <row r="478" spans="2:59" x14ac:dyDescent="0.25">
      <c r="B478" s="2"/>
      <c r="C478" s="2"/>
      <c r="D478" s="2"/>
      <c r="E478" s="2"/>
      <c r="F478" s="2"/>
      <c r="G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row>
    <row r="479" spans="2:59" x14ac:dyDescent="0.25">
      <c r="B479" s="2"/>
      <c r="C479" s="2"/>
      <c r="D479" s="2"/>
      <c r="E479" s="2"/>
      <c r="F479" s="2"/>
      <c r="G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row>
    <row r="480" spans="2:59" x14ac:dyDescent="0.25">
      <c r="B480" s="2"/>
      <c r="C480" s="2"/>
      <c r="D480" s="2"/>
      <c r="E480" s="2"/>
      <c r="F480" s="2"/>
      <c r="G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row>
    <row r="481" spans="2:59" x14ac:dyDescent="0.25">
      <c r="B481" s="2"/>
      <c r="C481" s="2"/>
      <c r="D481" s="2"/>
      <c r="E481" s="2"/>
      <c r="F481" s="2"/>
      <c r="G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row>
    <row r="482" spans="2:59" x14ac:dyDescent="0.25">
      <c r="B482" s="2"/>
      <c r="C482" s="2"/>
      <c r="D482" s="2"/>
      <c r="E482" s="2"/>
      <c r="F482" s="2"/>
      <c r="G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row>
    <row r="483" spans="2:59" x14ac:dyDescent="0.25">
      <c r="B483" s="2"/>
      <c r="C483" s="2"/>
      <c r="D483" s="2"/>
      <c r="E483" s="2"/>
      <c r="F483" s="2"/>
      <c r="G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row>
    <row r="484" spans="2:59" x14ac:dyDescent="0.25">
      <c r="B484" s="2"/>
      <c r="C484" s="2"/>
      <c r="D484" s="2"/>
      <c r="E484" s="2"/>
      <c r="F484" s="2"/>
      <c r="G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row>
    <row r="485" spans="2:59" x14ac:dyDescent="0.25">
      <c r="B485" s="2"/>
      <c r="C485" s="2"/>
      <c r="D485" s="2"/>
      <c r="E485" s="2"/>
      <c r="F485" s="2"/>
      <c r="G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row>
    <row r="486" spans="2:59" x14ac:dyDescent="0.25">
      <c r="B486" s="2"/>
      <c r="C486" s="2"/>
      <c r="D486" s="2"/>
      <c r="E486" s="2"/>
      <c r="F486" s="2"/>
      <c r="G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row>
    <row r="487" spans="2:59" x14ac:dyDescent="0.25">
      <c r="B487" s="2"/>
      <c r="C487" s="2"/>
      <c r="D487" s="2"/>
      <c r="E487" s="2"/>
      <c r="F487" s="2"/>
      <c r="G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row>
    <row r="488" spans="2:59" x14ac:dyDescent="0.25">
      <c r="B488" s="2"/>
      <c r="C488" s="2"/>
      <c r="D488" s="2"/>
      <c r="E488" s="2"/>
      <c r="F488" s="2"/>
      <c r="G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row>
    <row r="489" spans="2:59" x14ac:dyDescent="0.25">
      <c r="B489" s="2"/>
      <c r="C489" s="2"/>
      <c r="D489" s="2"/>
      <c r="E489" s="2"/>
      <c r="F489" s="2"/>
      <c r="G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row>
    <row r="490" spans="2:59" x14ac:dyDescent="0.25">
      <c r="B490" s="2"/>
      <c r="C490" s="2"/>
      <c r="D490" s="2"/>
      <c r="E490" s="2"/>
      <c r="F490" s="2"/>
      <c r="G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row>
    <row r="491" spans="2:59" x14ac:dyDescent="0.25">
      <c r="B491" s="2"/>
      <c r="C491" s="2"/>
      <c r="D491" s="2"/>
      <c r="E491" s="2"/>
      <c r="F491" s="2"/>
      <c r="G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row>
    <row r="492" spans="2:59" x14ac:dyDescent="0.25">
      <c r="B492" s="2"/>
      <c r="C492" s="2"/>
      <c r="D492" s="2"/>
      <c r="E492" s="2"/>
      <c r="F492" s="2"/>
      <c r="G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row>
    <row r="493" spans="2:59" x14ac:dyDescent="0.25">
      <c r="B493" s="2"/>
      <c r="C493" s="2"/>
      <c r="D493" s="2"/>
      <c r="E493" s="2"/>
      <c r="F493" s="2"/>
      <c r="G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row>
    <row r="494" spans="2:59" x14ac:dyDescent="0.25">
      <c r="B494" s="2"/>
      <c r="C494" s="2"/>
      <c r="D494" s="2"/>
      <c r="E494" s="2"/>
      <c r="F494" s="2"/>
      <c r="G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row>
    <row r="495" spans="2:59" x14ac:dyDescent="0.25">
      <c r="B495" s="2"/>
      <c r="C495" s="2"/>
      <c r="D495" s="2"/>
      <c r="E495" s="2"/>
      <c r="F495" s="2"/>
      <c r="G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row>
    <row r="496" spans="2:59" x14ac:dyDescent="0.25">
      <c r="B496" s="2"/>
      <c r="C496" s="2"/>
      <c r="D496" s="2"/>
      <c r="E496" s="2"/>
      <c r="F496" s="2"/>
      <c r="G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row>
    <row r="497" spans="2:59" x14ac:dyDescent="0.25">
      <c r="B497" s="2"/>
      <c r="C497" s="2"/>
      <c r="D497" s="2"/>
      <c r="E497" s="2"/>
      <c r="F497" s="2"/>
      <c r="G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row>
    <row r="498" spans="2:59" x14ac:dyDescent="0.25">
      <c r="B498" s="2"/>
      <c r="C498" s="2"/>
      <c r="D498" s="2"/>
      <c r="E498" s="2"/>
      <c r="F498" s="2"/>
      <c r="G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row>
    <row r="499" spans="2:59" x14ac:dyDescent="0.25">
      <c r="B499" s="2"/>
      <c r="C499" s="2"/>
      <c r="D499" s="2"/>
      <c r="E499" s="2"/>
      <c r="F499" s="2"/>
      <c r="G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row>
    <row r="500" spans="2:59" x14ac:dyDescent="0.25">
      <c r="B500" s="2"/>
      <c r="C500" s="2"/>
      <c r="D500" s="2"/>
      <c r="E500" s="2"/>
      <c r="F500" s="2"/>
      <c r="G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row>
    <row r="501" spans="2:59" x14ac:dyDescent="0.25">
      <c r="B501" s="2"/>
      <c r="C501" s="2"/>
      <c r="D501" s="2"/>
      <c r="E501" s="2"/>
      <c r="F501" s="2"/>
      <c r="G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row>
    <row r="502" spans="2:59" x14ac:dyDescent="0.25">
      <c r="B502" s="2"/>
      <c r="C502" s="2"/>
      <c r="D502" s="2"/>
      <c r="E502" s="2"/>
      <c r="F502" s="2"/>
      <c r="G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row>
    <row r="503" spans="2:59" x14ac:dyDescent="0.25">
      <c r="B503" s="2"/>
      <c r="C503" s="2"/>
      <c r="D503" s="2"/>
      <c r="E503" s="2"/>
      <c r="F503" s="2"/>
      <c r="G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row>
    <row r="504" spans="2:59" x14ac:dyDescent="0.25">
      <c r="B504" s="2"/>
      <c r="C504" s="2"/>
      <c r="D504" s="2"/>
      <c r="E504" s="2"/>
      <c r="F504" s="2"/>
      <c r="G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row>
    <row r="505" spans="2:59" x14ac:dyDescent="0.25">
      <c r="B505" s="2"/>
      <c r="C505" s="2"/>
      <c r="D505" s="2"/>
      <c r="E505" s="2"/>
      <c r="F505" s="2"/>
      <c r="G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row>
    <row r="506" spans="2:59" x14ac:dyDescent="0.25">
      <c r="B506" s="2"/>
      <c r="C506" s="2"/>
      <c r="D506" s="2"/>
      <c r="E506" s="2"/>
      <c r="F506" s="2"/>
      <c r="G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row>
    <row r="507" spans="2:59" x14ac:dyDescent="0.25">
      <c r="B507" s="2"/>
      <c r="C507" s="2"/>
      <c r="D507" s="2"/>
      <c r="E507" s="2"/>
      <c r="F507" s="2"/>
      <c r="G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row>
    <row r="508" spans="2:59" x14ac:dyDescent="0.25">
      <c r="B508" s="2"/>
      <c r="C508" s="2"/>
      <c r="D508" s="2"/>
      <c r="E508" s="2"/>
      <c r="F508" s="2"/>
      <c r="G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row>
    <row r="509" spans="2:59" x14ac:dyDescent="0.25">
      <c r="B509" s="2"/>
      <c r="C509" s="2"/>
      <c r="D509" s="2"/>
      <c r="E509" s="2"/>
      <c r="F509" s="2"/>
      <c r="G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row>
    <row r="510" spans="2:59" x14ac:dyDescent="0.25">
      <c r="B510" s="2"/>
      <c r="C510" s="2"/>
      <c r="D510" s="2"/>
      <c r="E510" s="2"/>
      <c r="F510" s="2"/>
      <c r="G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row>
    <row r="511" spans="2:59" x14ac:dyDescent="0.25">
      <c r="B511" s="2"/>
      <c r="C511" s="2"/>
      <c r="D511" s="2"/>
      <c r="E511" s="2"/>
      <c r="F511" s="2"/>
      <c r="G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row>
    <row r="512" spans="2:59" x14ac:dyDescent="0.25">
      <c r="B512" s="2"/>
      <c r="C512" s="2"/>
      <c r="D512" s="2"/>
      <c r="E512" s="2"/>
      <c r="F512" s="2"/>
      <c r="G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row>
    <row r="513" spans="2:59" x14ac:dyDescent="0.25">
      <c r="B513" s="2"/>
      <c r="C513" s="2"/>
      <c r="D513" s="2"/>
      <c r="E513" s="2"/>
      <c r="F513" s="2"/>
      <c r="G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row>
    <row r="514" spans="2:59" x14ac:dyDescent="0.25">
      <c r="B514" s="2"/>
      <c r="C514" s="2"/>
      <c r="D514" s="2"/>
      <c r="E514" s="2"/>
      <c r="F514" s="2"/>
      <c r="G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row>
    <row r="515" spans="2:59" x14ac:dyDescent="0.25">
      <c r="B515" s="2"/>
      <c r="C515" s="2"/>
      <c r="D515" s="2"/>
      <c r="E515" s="2"/>
      <c r="F515" s="2"/>
      <c r="G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row>
    <row r="516" spans="2:59" x14ac:dyDescent="0.25">
      <c r="B516" s="2"/>
      <c r="C516" s="2"/>
      <c r="D516" s="2"/>
      <c r="E516" s="2"/>
      <c r="F516" s="2"/>
      <c r="G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row>
    <row r="517" spans="2:59" x14ac:dyDescent="0.25">
      <c r="B517" s="2"/>
      <c r="C517" s="2"/>
      <c r="D517" s="2"/>
      <c r="E517" s="2"/>
      <c r="F517" s="2"/>
      <c r="G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row>
    <row r="518" spans="2:59" x14ac:dyDescent="0.25">
      <c r="B518" s="2"/>
      <c r="C518" s="2"/>
      <c r="D518" s="2"/>
      <c r="E518" s="2"/>
      <c r="F518" s="2"/>
      <c r="G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row>
    <row r="519" spans="2:59" x14ac:dyDescent="0.25">
      <c r="B519" s="2"/>
      <c r="C519" s="2"/>
      <c r="D519" s="2"/>
      <c r="E519" s="2"/>
      <c r="F519" s="2"/>
      <c r="G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row>
    <row r="520" spans="2:59" x14ac:dyDescent="0.25">
      <c r="B520" s="2"/>
      <c r="C520" s="2"/>
      <c r="D520" s="2"/>
      <c r="E520" s="2"/>
      <c r="F520" s="2"/>
      <c r="G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row>
    <row r="521" spans="2:59" x14ac:dyDescent="0.25">
      <c r="B521" s="2"/>
      <c r="C521" s="2"/>
      <c r="D521" s="2"/>
      <c r="E521" s="2"/>
      <c r="F521" s="2"/>
      <c r="G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row>
    <row r="522" spans="2:59" x14ac:dyDescent="0.25">
      <c r="B522" s="2"/>
      <c r="C522" s="2"/>
      <c r="D522" s="2"/>
      <c r="E522" s="2"/>
      <c r="F522" s="2"/>
      <c r="G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row>
    <row r="523" spans="2:59" x14ac:dyDescent="0.25">
      <c r="B523" s="2"/>
      <c r="C523" s="2"/>
      <c r="D523" s="2"/>
      <c r="E523" s="2"/>
      <c r="F523" s="2"/>
      <c r="G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row>
    <row r="524" spans="2:59" x14ac:dyDescent="0.25">
      <c r="B524" s="2"/>
      <c r="C524" s="2"/>
      <c r="D524" s="2"/>
      <c r="E524" s="2"/>
      <c r="F524" s="2"/>
      <c r="G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row>
    <row r="525" spans="2:59" x14ac:dyDescent="0.25">
      <c r="B525" s="2"/>
      <c r="C525" s="2"/>
      <c r="D525" s="2"/>
      <c r="E525" s="2"/>
      <c r="F525" s="2"/>
      <c r="G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row>
    <row r="526" spans="2:59" x14ac:dyDescent="0.25">
      <c r="B526" s="2"/>
      <c r="C526" s="2"/>
      <c r="D526" s="2"/>
      <c r="E526" s="2"/>
      <c r="F526" s="2"/>
      <c r="G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row>
    <row r="527" spans="2:59" x14ac:dyDescent="0.25">
      <c r="B527" s="2"/>
      <c r="C527" s="2"/>
      <c r="D527" s="2"/>
      <c r="E527" s="2"/>
      <c r="F527" s="2"/>
      <c r="G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row>
    <row r="528" spans="2:59" x14ac:dyDescent="0.25">
      <c r="B528" s="2"/>
      <c r="C528" s="2"/>
      <c r="D528" s="2"/>
      <c r="E528" s="2"/>
      <c r="F528" s="2"/>
      <c r="G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row>
    <row r="529" spans="2:59" x14ac:dyDescent="0.25">
      <c r="B529" s="2"/>
      <c r="C529" s="2"/>
      <c r="D529" s="2"/>
      <c r="E529" s="2"/>
      <c r="F529" s="2"/>
      <c r="G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row>
    <row r="530" spans="2:59" x14ac:dyDescent="0.25">
      <c r="B530" s="2"/>
      <c r="C530" s="2"/>
      <c r="D530" s="2"/>
      <c r="E530" s="2"/>
      <c r="F530" s="2"/>
      <c r="G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row>
    <row r="531" spans="2:59" x14ac:dyDescent="0.25">
      <c r="B531" s="2"/>
      <c r="C531" s="2"/>
      <c r="D531" s="2"/>
      <c r="E531" s="2"/>
      <c r="F531" s="2"/>
      <c r="G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row>
    <row r="532" spans="2:59" x14ac:dyDescent="0.25">
      <c r="B532" s="2"/>
      <c r="C532" s="2"/>
      <c r="D532" s="2"/>
      <c r="E532" s="2"/>
      <c r="F532" s="2"/>
      <c r="G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row>
    <row r="533" spans="2:59" x14ac:dyDescent="0.25">
      <c r="B533" s="2"/>
      <c r="C533" s="2"/>
      <c r="D533" s="2"/>
      <c r="E533" s="2"/>
      <c r="F533" s="2"/>
      <c r="G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row>
    <row r="534" spans="2:59" x14ac:dyDescent="0.25">
      <c r="B534" s="2"/>
      <c r="C534" s="2"/>
      <c r="D534" s="2"/>
      <c r="E534" s="2"/>
      <c r="F534" s="2"/>
      <c r="G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row>
    <row r="535" spans="2:59" x14ac:dyDescent="0.25">
      <c r="B535" s="2"/>
      <c r="C535" s="2"/>
      <c r="D535" s="2"/>
      <c r="E535" s="2"/>
      <c r="F535" s="2"/>
      <c r="G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row>
    <row r="536" spans="2:59" x14ac:dyDescent="0.25">
      <c r="B536" s="2"/>
      <c r="C536" s="2"/>
      <c r="D536" s="2"/>
      <c r="E536" s="2"/>
      <c r="F536" s="2"/>
      <c r="G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row>
    <row r="537" spans="2:59" x14ac:dyDescent="0.25">
      <c r="B537" s="2"/>
      <c r="C537" s="2"/>
      <c r="D537" s="2"/>
      <c r="E537" s="2"/>
      <c r="F537" s="2"/>
      <c r="G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row>
    <row r="538" spans="2:59" x14ac:dyDescent="0.25">
      <c r="B538" s="2"/>
      <c r="C538" s="2"/>
      <c r="D538" s="2"/>
      <c r="E538" s="2"/>
      <c r="F538" s="2"/>
      <c r="G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row>
    <row r="539" spans="2:59" x14ac:dyDescent="0.25">
      <c r="B539" s="2"/>
      <c r="C539" s="2"/>
      <c r="D539" s="2"/>
      <c r="E539" s="2"/>
      <c r="F539" s="2"/>
      <c r="G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row>
    <row r="540" spans="2:59" x14ac:dyDescent="0.25">
      <c r="B540" s="2"/>
      <c r="C540" s="2"/>
      <c r="D540" s="2"/>
      <c r="E540" s="2"/>
      <c r="F540" s="2"/>
      <c r="G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row>
    <row r="541" spans="2:59" x14ac:dyDescent="0.25">
      <c r="B541" s="2"/>
      <c r="C541" s="2"/>
      <c r="D541" s="2"/>
      <c r="E541" s="2"/>
      <c r="F541" s="2"/>
      <c r="G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row>
    <row r="542" spans="2:59" x14ac:dyDescent="0.25">
      <c r="B542" s="2"/>
      <c r="C542" s="2"/>
      <c r="D542" s="2"/>
      <c r="E542" s="2"/>
      <c r="F542" s="2"/>
      <c r="G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row>
    <row r="543" spans="2:59" x14ac:dyDescent="0.25">
      <c r="B543" s="2"/>
      <c r="C543" s="2"/>
      <c r="D543" s="2"/>
      <c r="E543" s="2"/>
      <c r="F543" s="2"/>
      <c r="G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row>
    <row r="544" spans="2:59" x14ac:dyDescent="0.25">
      <c r="B544" s="2"/>
      <c r="C544" s="2"/>
      <c r="D544" s="2"/>
      <c r="E544" s="2"/>
      <c r="F544" s="2"/>
      <c r="G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row>
    <row r="545" spans="2:59" x14ac:dyDescent="0.25">
      <c r="B545" s="2"/>
      <c r="C545" s="2"/>
      <c r="D545" s="2"/>
      <c r="E545" s="2"/>
      <c r="F545" s="2"/>
      <c r="G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row>
    <row r="546" spans="2:59" x14ac:dyDescent="0.25">
      <c r="B546" s="2"/>
      <c r="C546" s="2"/>
      <c r="D546" s="2"/>
      <c r="E546" s="2"/>
      <c r="F546" s="2"/>
      <c r="G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row>
    <row r="547" spans="2:59" x14ac:dyDescent="0.25">
      <c r="B547" s="2"/>
      <c r="C547" s="2"/>
      <c r="D547" s="2"/>
      <c r="E547" s="2"/>
      <c r="F547" s="2"/>
      <c r="G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row>
    <row r="548" spans="2:59" x14ac:dyDescent="0.25">
      <c r="B548" s="2"/>
      <c r="C548" s="2"/>
      <c r="D548" s="2"/>
      <c r="E548" s="2"/>
      <c r="F548" s="2"/>
      <c r="G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row>
    <row r="549" spans="2:59" x14ac:dyDescent="0.25">
      <c r="B549" s="2"/>
      <c r="C549" s="2"/>
      <c r="D549" s="2"/>
      <c r="E549" s="2"/>
      <c r="F549" s="2"/>
      <c r="G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row>
    <row r="550" spans="2:59" x14ac:dyDescent="0.25">
      <c r="B550" s="2"/>
      <c r="C550" s="2"/>
      <c r="D550" s="2"/>
      <c r="E550" s="2"/>
      <c r="F550" s="2"/>
      <c r="G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row>
    <row r="551" spans="2:59" x14ac:dyDescent="0.25">
      <c r="B551" s="2"/>
      <c r="C551" s="2"/>
      <c r="D551" s="2"/>
      <c r="E551" s="2"/>
      <c r="F551" s="2"/>
      <c r="G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row>
    <row r="552" spans="2:59" x14ac:dyDescent="0.25">
      <c r="B552" s="2"/>
      <c r="C552" s="2"/>
      <c r="D552" s="2"/>
      <c r="E552" s="2"/>
      <c r="F552" s="2"/>
      <c r="G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row>
    <row r="553" spans="2:59" x14ac:dyDescent="0.25">
      <c r="B553" s="2"/>
      <c r="C553" s="2"/>
      <c r="D553" s="2"/>
      <c r="E553" s="2"/>
      <c r="F553" s="2"/>
      <c r="G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row>
    <row r="554" spans="2:59" x14ac:dyDescent="0.25">
      <c r="B554" s="2"/>
      <c r="C554" s="2"/>
      <c r="D554" s="2"/>
      <c r="E554" s="2"/>
      <c r="F554" s="2"/>
      <c r="G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row>
    <row r="555" spans="2:59" x14ac:dyDescent="0.25">
      <c r="B555" s="2"/>
      <c r="C555" s="2"/>
      <c r="D555" s="2"/>
      <c r="E555" s="2"/>
      <c r="F555" s="2"/>
      <c r="G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row>
    <row r="556" spans="2:59" x14ac:dyDescent="0.25">
      <c r="B556" s="2"/>
      <c r="C556" s="2"/>
      <c r="D556" s="2"/>
      <c r="E556" s="2"/>
      <c r="F556" s="2"/>
      <c r="G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row>
    <row r="557" spans="2:59" x14ac:dyDescent="0.25">
      <c r="B557" s="2"/>
      <c r="C557" s="2"/>
      <c r="D557" s="2"/>
      <c r="E557" s="2"/>
      <c r="F557" s="2"/>
      <c r="G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row>
    <row r="558" spans="2:59" x14ac:dyDescent="0.25">
      <c r="B558" s="2"/>
      <c r="C558" s="2"/>
      <c r="D558" s="2"/>
      <c r="E558" s="2"/>
      <c r="F558" s="2"/>
      <c r="G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row>
    <row r="559" spans="2:59" x14ac:dyDescent="0.25">
      <c r="B559" s="2"/>
      <c r="C559" s="2"/>
      <c r="D559" s="2"/>
      <c r="E559" s="2"/>
      <c r="F559" s="2"/>
      <c r="G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row>
    <row r="560" spans="2:59" x14ac:dyDescent="0.25">
      <c r="B560" s="2"/>
      <c r="C560" s="2"/>
      <c r="D560" s="2"/>
      <c r="E560" s="2"/>
      <c r="F560" s="2"/>
      <c r="G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row>
    <row r="561" spans="2:59" x14ac:dyDescent="0.25">
      <c r="B561" s="2"/>
      <c r="C561" s="2"/>
      <c r="D561" s="2"/>
      <c r="E561" s="2"/>
      <c r="F561" s="2"/>
      <c r="G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row>
    <row r="562" spans="2:59" x14ac:dyDescent="0.25">
      <c r="B562" s="2"/>
      <c r="C562" s="2"/>
      <c r="D562" s="2"/>
      <c r="E562" s="2"/>
      <c r="F562" s="2"/>
      <c r="G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row>
    <row r="563" spans="2:59" x14ac:dyDescent="0.25">
      <c r="B563" s="2"/>
      <c r="C563" s="2"/>
      <c r="D563" s="2"/>
      <c r="E563" s="2"/>
      <c r="F563" s="2"/>
      <c r="G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row>
    <row r="564" spans="2:59" x14ac:dyDescent="0.25">
      <c r="B564" s="2"/>
      <c r="C564" s="2"/>
      <c r="D564" s="2"/>
      <c r="E564" s="2"/>
      <c r="F564" s="2"/>
      <c r="G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row>
    <row r="565" spans="2:59" x14ac:dyDescent="0.25">
      <c r="B565" s="2"/>
      <c r="C565" s="2"/>
      <c r="D565" s="2"/>
      <c r="E565" s="2"/>
      <c r="F565" s="2"/>
      <c r="G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row>
    <row r="566" spans="2:59" x14ac:dyDescent="0.25">
      <c r="B566" s="2"/>
      <c r="C566" s="2"/>
      <c r="D566" s="2"/>
      <c r="E566" s="2"/>
      <c r="F566" s="2"/>
      <c r="G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row>
    <row r="567" spans="2:59" x14ac:dyDescent="0.25">
      <c r="B567" s="2"/>
      <c r="C567" s="2"/>
      <c r="D567" s="2"/>
      <c r="E567" s="2"/>
      <c r="F567" s="2"/>
      <c r="G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row>
    <row r="568" spans="2:59" x14ac:dyDescent="0.25">
      <c r="B568" s="2"/>
      <c r="C568" s="2"/>
      <c r="D568" s="2"/>
      <c r="E568" s="2"/>
      <c r="F568" s="2"/>
      <c r="G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row>
    <row r="569" spans="2:59" x14ac:dyDescent="0.25">
      <c r="B569" s="2"/>
      <c r="C569" s="2"/>
      <c r="D569" s="2"/>
      <c r="E569" s="2"/>
      <c r="F569" s="2"/>
      <c r="G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row>
    <row r="570" spans="2:59" x14ac:dyDescent="0.25">
      <c r="B570" s="2"/>
      <c r="C570" s="2"/>
      <c r="D570" s="2"/>
      <c r="E570" s="2"/>
      <c r="F570" s="2"/>
      <c r="G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row>
    <row r="571" spans="2:59" x14ac:dyDescent="0.25">
      <c r="B571" s="2"/>
      <c r="C571" s="2"/>
      <c r="D571" s="2"/>
      <c r="E571" s="2"/>
      <c r="F571" s="2"/>
      <c r="G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row>
    <row r="572" spans="2:59" x14ac:dyDescent="0.25">
      <c r="B572" s="2"/>
      <c r="C572" s="2"/>
      <c r="D572" s="2"/>
      <c r="E572" s="2"/>
      <c r="F572" s="2"/>
      <c r="G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row>
    <row r="573" spans="2:59" x14ac:dyDescent="0.25">
      <c r="B573" s="2"/>
      <c r="C573" s="2"/>
      <c r="D573" s="2"/>
      <c r="E573" s="2"/>
      <c r="F573" s="2"/>
      <c r="G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row>
    <row r="574" spans="2:59" x14ac:dyDescent="0.25">
      <c r="B574" s="2"/>
      <c r="C574" s="2"/>
      <c r="D574" s="2"/>
      <c r="E574" s="2"/>
      <c r="F574" s="2"/>
      <c r="G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row>
    <row r="575" spans="2:59" x14ac:dyDescent="0.25">
      <c r="B575" s="2"/>
      <c r="C575" s="2"/>
      <c r="D575" s="2"/>
      <c r="E575" s="2"/>
      <c r="F575" s="2"/>
      <c r="G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row>
    <row r="576" spans="2:59" x14ac:dyDescent="0.25">
      <c r="B576" s="2"/>
      <c r="C576" s="2"/>
      <c r="D576" s="2"/>
      <c r="E576" s="2"/>
      <c r="F576" s="2"/>
      <c r="G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row>
    <row r="577" spans="2:59" x14ac:dyDescent="0.25">
      <c r="B577" s="2"/>
      <c r="C577" s="2"/>
      <c r="D577" s="2"/>
      <c r="E577" s="2"/>
      <c r="F577" s="2"/>
      <c r="G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row>
    <row r="578" spans="2:59" x14ac:dyDescent="0.25">
      <c r="B578" s="2"/>
      <c r="C578" s="2"/>
      <c r="D578" s="2"/>
      <c r="E578" s="2"/>
      <c r="F578" s="2"/>
      <c r="G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row>
    <row r="579" spans="2:59" x14ac:dyDescent="0.25">
      <c r="B579" s="2"/>
      <c r="C579" s="2"/>
      <c r="D579" s="2"/>
      <c r="E579" s="2"/>
      <c r="F579" s="2"/>
      <c r="G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row>
    <row r="580" spans="2:59" x14ac:dyDescent="0.25">
      <c r="B580" s="2"/>
      <c r="C580" s="2"/>
      <c r="D580" s="2"/>
      <c r="E580" s="2"/>
      <c r="F580" s="2"/>
      <c r="G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row>
    <row r="581" spans="2:59" x14ac:dyDescent="0.25">
      <c r="B581" s="2"/>
      <c r="C581" s="2"/>
      <c r="D581" s="2"/>
      <c r="E581" s="2"/>
      <c r="F581" s="2"/>
      <c r="G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row>
    <row r="582" spans="2:59" x14ac:dyDescent="0.25">
      <c r="B582" s="2"/>
      <c r="C582" s="2"/>
      <c r="D582" s="2"/>
      <c r="E582" s="2"/>
      <c r="F582" s="2"/>
      <c r="G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row>
    <row r="583" spans="2:59" x14ac:dyDescent="0.25">
      <c r="B583" s="2"/>
      <c r="C583" s="2"/>
      <c r="D583" s="2"/>
      <c r="E583" s="2"/>
      <c r="F583" s="2"/>
      <c r="G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row>
    <row r="584" spans="2:59" x14ac:dyDescent="0.25">
      <c r="B584" s="2"/>
      <c r="C584" s="2"/>
      <c r="D584" s="2"/>
      <c r="E584" s="2"/>
      <c r="F584" s="2"/>
      <c r="G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row>
    <row r="585" spans="2:59" x14ac:dyDescent="0.25">
      <c r="B585" s="2"/>
      <c r="C585" s="2"/>
      <c r="D585" s="2"/>
      <c r="E585" s="2"/>
      <c r="F585" s="2"/>
      <c r="G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row>
    <row r="586" spans="2:59" x14ac:dyDescent="0.25">
      <c r="B586" s="2"/>
      <c r="C586" s="2"/>
      <c r="D586" s="2"/>
      <c r="E586" s="2"/>
      <c r="F586" s="2"/>
      <c r="G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row>
    <row r="587" spans="2:59" x14ac:dyDescent="0.25">
      <c r="B587" s="2"/>
      <c r="C587" s="2"/>
      <c r="D587" s="2"/>
      <c r="E587" s="2"/>
      <c r="F587" s="2"/>
      <c r="G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row>
    <row r="588" spans="2:59" x14ac:dyDescent="0.25">
      <c r="B588" s="2"/>
      <c r="C588" s="2"/>
      <c r="D588" s="2"/>
      <c r="E588" s="2"/>
      <c r="F588" s="2"/>
      <c r="G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row>
    <row r="589" spans="2:59" x14ac:dyDescent="0.25">
      <c r="B589" s="2"/>
      <c r="C589" s="2"/>
      <c r="D589" s="2"/>
      <c r="E589" s="2"/>
      <c r="F589" s="2"/>
      <c r="G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row>
    <row r="590" spans="2:59" x14ac:dyDescent="0.25">
      <c r="B590" s="2"/>
      <c r="C590" s="2"/>
      <c r="D590" s="2"/>
      <c r="E590" s="2"/>
      <c r="F590" s="2"/>
      <c r="G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row>
    <row r="591" spans="2:59" x14ac:dyDescent="0.25">
      <c r="B591" s="2"/>
      <c r="C591" s="2"/>
      <c r="D591" s="2"/>
      <c r="E591" s="2"/>
      <c r="F591" s="2"/>
      <c r="G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row>
    <row r="592" spans="2:59" x14ac:dyDescent="0.25">
      <c r="B592" s="2"/>
      <c r="C592" s="2"/>
      <c r="D592" s="2"/>
      <c r="E592" s="2"/>
      <c r="F592" s="2"/>
      <c r="G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row>
    <row r="593" spans="2:59" x14ac:dyDescent="0.25">
      <c r="B593" s="2"/>
      <c r="C593" s="2"/>
      <c r="D593" s="2"/>
      <c r="E593" s="2"/>
      <c r="F593" s="2"/>
      <c r="G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row>
    <row r="594" spans="2:59" x14ac:dyDescent="0.25">
      <c r="B594" s="2"/>
      <c r="C594" s="2"/>
      <c r="D594" s="2"/>
      <c r="E594" s="2"/>
      <c r="F594" s="2"/>
      <c r="G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row>
    <row r="595" spans="2:59" x14ac:dyDescent="0.25">
      <c r="B595" s="2"/>
      <c r="C595" s="2"/>
      <c r="D595" s="2"/>
      <c r="E595" s="2"/>
      <c r="F595" s="2"/>
      <c r="G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row>
    <row r="596" spans="2:59" x14ac:dyDescent="0.25">
      <c r="B596" s="2"/>
      <c r="C596" s="2"/>
      <c r="D596" s="2"/>
      <c r="E596" s="2"/>
      <c r="F596" s="2"/>
      <c r="G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row>
    <row r="597" spans="2:59" x14ac:dyDescent="0.25">
      <c r="B597" s="2"/>
      <c r="C597" s="2"/>
      <c r="D597" s="2"/>
      <c r="E597" s="2"/>
      <c r="F597" s="2"/>
      <c r="G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row>
    <row r="598" spans="2:59" x14ac:dyDescent="0.25">
      <c r="B598" s="2"/>
      <c r="C598" s="2"/>
      <c r="D598" s="2"/>
      <c r="E598" s="2"/>
      <c r="F598" s="2"/>
      <c r="G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row>
    <row r="599" spans="2:59" x14ac:dyDescent="0.25">
      <c r="B599" s="2"/>
      <c r="C599" s="2"/>
      <c r="D599" s="2"/>
      <c r="E599" s="2"/>
      <c r="F599" s="2"/>
      <c r="G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row>
    <row r="600" spans="2:59" x14ac:dyDescent="0.25">
      <c r="B600" s="2"/>
      <c r="C600" s="2"/>
      <c r="D600" s="2"/>
      <c r="E600" s="2"/>
      <c r="F600" s="2"/>
      <c r="G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row>
    <row r="601" spans="2:59" x14ac:dyDescent="0.25">
      <c r="B601" s="2"/>
      <c r="C601" s="2"/>
      <c r="D601" s="2"/>
      <c r="E601" s="2"/>
      <c r="F601" s="2"/>
      <c r="G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row>
    <row r="602" spans="2:59" x14ac:dyDescent="0.25">
      <c r="B602" s="2"/>
      <c r="C602" s="2"/>
      <c r="D602" s="2"/>
      <c r="E602" s="2"/>
      <c r="F602" s="2"/>
      <c r="G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row>
    <row r="603" spans="2:59" x14ac:dyDescent="0.25">
      <c r="B603" s="2"/>
      <c r="C603" s="2"/>
      <c r="D603" s="2"/>
      <c r="E603" s="2"/>
      <c r="F603" s="2"/>
      <c r="G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row>
    <row r="604" spans="2:59" x14ac:dyDescent="0.25">
      <c r="B604" s="2"/>
      <c r="C604" s="2"/>
      <c r="D604" s="2"/>
      <c r="E604" s="2"/>
      <c r="F604" s="2"/>
      <c r="G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row>
    <row r="605" spans="2:59" x14ac:dyDescent="0.25">
      <c r="B605" s="2"/>
      <c r="C605" s="2"/>
      <c r="D605" s="2"/>
      <c r="E605" s="2"/>
      <c r="F605" s="2"/>
      <c r="G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row>
    <row r="606" spans="2:59" x14ac:dyDescent="0.25">
      <c r="B606" s="2"/>
      <c r="C606" s="2"/>
      <c r="D606" s="2"/>
      <c r="E606" s="2"/>
      <c r="F606" s="2"/>
      <c r="G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row>
    <row r="607" spans="2:59" x14ac:dyDescent="0.25">
      <c r="B607" s="2"/>
      <c r="C607" s="2"/>
      <c r="D607" s="2"/>
      <c r="E607" s="2"/>
      <c r="F607" s="2"/>
      <c r="G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row>
    <row r="608" spans="2:59" x14ac:dyDescent="0.25">
      <c r="B608" s="2"/>
      <c r="C608" s="2"/>
      <c r="D608" s="2"/>
      <c r="E608" s="2"/>
      <c r="F608" s="2"/>
      <c r="G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row>
    <row r="609" spans="2:59" x14ac:dyDescent="0.25">
      <c r="B609" s="2"/>
      <c r="C609" s="2"/>
      <c r="D609" s="2"/>
      <c r="E609" s="2"/>
      <c r="F609" s="2"/>
      <c r="G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row>
    <row r="610" spans="2:59" x14ac:dyDescent="0.25">
      <c r="B610" s="2"/>
      <c r="C610" s="2"/>
      <c r="D610" s="2"/>
      <c r="E610" s="2"/>
      <c r="F610" s="2"/>
      <c r="G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row>
    <row r="611" spans="2:59" x14ac:dyDescent="0.25">
      <c r="B611" s="2"/>
      <c r="C611" s="2"/>
      <c r="D611" s="2"/>
      <c r="E611" s="2"/>
      <c r="F611" s="2"/>
      <c r="G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row>
    <row r="612" spans="2:59" x14ac:dyDescent="0.25">
      <c r="B612" s="2"/>
      <c r="C612" s="2"/>
      <c r="D612" s="2"/>
      <c r="E612" s="2"/>
      <c r="F612" s="2"/>
      <c r="G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row>
    <row r="613" spans="2:59" x14ac:dyDescent="0.25">
      <c r="B613" s="2"/>
      <c r="C613" s="2"/>
      <c r="D613" s="2"/>
      <c r="E613" s="2"/>
      <c r="F613" s="2"/>
      <c r="G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row>
    <row r="614" spans="2:59" x14ac:dyDescent="0.25">
      <c r="B614" s="2"/>
      <c r="C614" s="2"/>
      <c r="D614" s="2"/>
      <c r="E614" s="2"/>
      <c r="F614" s="2"/>
      <c r="G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row>
    <row r="615" spans="2:59" x14ac:dyDescent="0.25">
      <c r="B615" s="2"/>
      <c r="C615" s="2"/>
      <c r="D615" s="2"/>
      <c r="E615" s="2"/>
      <c r="F615" s="2"/>
      <c r="G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row>
    <row r="616" spans="2:59" x14ac:dyDescent="0.25">
      <c r="B616" s="2"/>
      <c r="C616" s="2"/>
      <c r="D616" s="2"/>
      <c r="E616" s="2"/>
      <c r="F616" s="2"/>
      <c r="G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row>
    <row r="617" spans="2:59" x14ac:dyDescent="0.25">
      <c r="B617" s="2"/>
      <c r="C617" s="2"/>
      <c r="D617" s="2"/>
      <c r="E617" s="2"/>
      <c r="F617" s="2"/>
      <c r="G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row>
    <row r="618" spans="2:59" x14ac:dyDescent="0.25">
      <c r="B618" s="2"/>
      <c r="C618" s="2"/>
      <c r="D618" s="2"/>
      <c r="E618" s="2"/>
      <c r="F618" s="2"/>
      <c r="G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row>
    <row r="619" spans="2:59" x14ac:dyDescent="0.25">
      <c r="B619" s="2"/>
      <c r="C619" s="2"/>
      <c r="D619" s="2"/>
      <c r="E619" s="2"/>
      <c r="F619" s="2"/>
      <c r="G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row>
    <row r="620" spans="2:59" x14ac:dyDescent="0.25">
      <c r="B620" s="2"/>
      <c r="C620" s="2"/>
      <c r="D620" s="2"/>
      <c r="E620" s="2"/>
      <c r="F620" s="2"/>
      <c r="G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row>
    <row r="621" spans="2:59" x14ac:dyDescent="0.25">
      <c r="B621" s="2"/>
      <c r="C621" s="2"/>
      <c r="D621" s="2"/>
      <c r="E621" s="2"/>
      <c r="F621" s="2"/>
      <c r="G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row>
    <row r="622" spans="2:59" x14ac:dyDescent="0.25">
      <c r="B622" s="2"/>
      <c r="C622" s="2"/>
      <c r="D622" s="2"/>
      <c r="E622" s="2"/>
      <c r="F622" s="2"/>
      <c r="G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row>
    <row r="623" spans="2:59" x14ac:dyDescent="0.25">
      <c r="B623" s="2"/>
      <c r="C623" s="2"/>
      <c r="D623" s="2"/>
      <c r="E623" s="2"/>
      <c r="F623" s="2"/>
      <c r="G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row>
    <row r="624" spans="2:59" x14ac:dyDescent="0.25">
      <c r="B624" s="2"/>
      <c r="C624" s="2"/>
      <c r="D624" s="2"/>
      <c r="E624" s="2"/>
      <c r="F624" s="2"/>
      <c r="G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row>
    <row r="625" spans="2:59" x14ac:dyDescent="0.25">
      <c r="B625" s="2"/>
      <c r="C625" s="2"/>
      <c r="D625" s="2"/>
      <c r="E625" s="2"/>
      <c r="F625" s="2"/>
      <c r="G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row>
    <row r="626" spans="2:59" x14ac:dyDescent="0.25">
      <c r="B626" s="2"/>
      <c r="C626" s="2"/>
      <c r="D626" s="2"/>
      <c r="E626" s="2"/>
      <c r="F626" s="2"/>
      <c r="G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row>
    <row r="627" spans="2:59" x14ac:dyDescent="0.25">
      <c r="B627" s="2"/>
      <c r="C627" s="2"/>
      <c r="D627" s="2"/>
      <c r="E627" s="2"/>
      <c r="F627" s="2"/>
      <c r="G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row>
    <row r="628" spans="2:59" x14ac:dyDescent="0.25">
      <c r="B628" s="2"/>
      <c r="C628" s="2"/>
      <c r="D628" s="2"/>
      <c r="E628" s="2"/>
      <c r="F628" s="2"/>
      <c r="G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row>
    <row r="629" spans="2:59" x14ac:dyDescent="0.25">
      <c r="B629" s="2"/>
      <c r="C629" s="2"/>
      <c r="D629" s="2"/>
      <c r="E629" s="2"/>
      <c r="F629" s="2"/>
      <c r="G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row>
    <row r="630" spans="2:59" x14ac:dyDescent="0.25">
      <c r="B630" s="2"/>
      <c r="C630" s="2"/>
      <c r="D630" s="2"/>
      <c r="E630" s="2"/>
      <c r="F630" s="2"/>
      <c r="G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row>
    <row r="631" spans="2:59" x14ac:dyDescent="0.25">
      <c r="B631" s="2"/>
      <c r="C631" s="2"/>
      <c r="D631" s="2"/>
      <c r="E631" s="2"/>
      <c r="F631" s="2"/>
      <c r="G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row>
    <row r="632" spans="2:59" x14ac:dyDescent="0.25">
      <c r="B632" s="2"/>
      <c r="C632" s="2"/>
      <c r="D632" s="2"/>
      <c r="E632" s="2"/>
      <c r="F632" s="2"/>
      <c r="G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row>
    <row r="633" spans="2:59" x14ac:dyDescent="0.25">
      <c r="B633" s="2"/>
      <c r="C633" s="2"/>
      <c r="D633" s="2"/>
      <c r="E633" s="2"/>
      <c r="F633" s="2"/>
      <c r="G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row>
    <row r="634" spans="2:59" x14ac:dyDescent="0.25">
      <c r="B634" s="2"/>
      <c r="C634" s="2"/>
      <c r="D634" s="2"/>
      <c r="E634" s="2"/>
      <c r="F634" s="2"/>
      <c r="G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row>
    <row r="635" spans="2:59" x14ac:dyDescent="0.25">
      <c r="B635" s="2"/>
      <c r="C635" s="2"/>
      <c r="D635" s="2"/>
      <c r="E635" s="2"/>
      <c r="F635" s="2"/>
      <c r="G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row>
    <row r="636" spans="2:59" x14ac:dyDescent="0.25">
      <c r="B636" s="2"/>
      <c r="C636" s="2"/>
      <c r="D636" s="2"/>
      <c r="E636" s="2"/>
      <c r="F636" s="2"/>
      <c r="G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row>
    <row r="637" spans="2:59" x14ac:dyDescent="0.25">
      <c r="B637" s="2"/>
      <c r="C637" s="2"/>
      <c r="D637" s="2"/>
      <c r="E637" s="2"/>
      <c r="F637" s="2"/>
      <c r="G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row>
    <row r="638" spans="2:59" x14ac:dyDescent="0.25">
      <c r="B638" s="2"/>
      <c r="C638" s="2"/>
      <c r="D638" s="2"/>
      <c r="E638" s="2"/>
      <c r="F638" s="2"/>
      <c r="G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row>
    <row r="639" spans="2:59" x14ac:dyDescent="0.25">
      <c r="B639" s="2"/>
      <c r="C639" s="2"/>
      <c r="D639" s="2"/>
      <c r="E639" s="2"/>
      <c r="F639" s="2"/>
      <c r="G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row>
    <row r="640" spans="2:59" x14ac:dyDescent="0.25">
      <c r="B640" s="2"/>
      <c r="C640" s="2"/>
      <c r="D640" s="2"/>
      <c r="E640" s="2"/>
      <c r="F640" s="2"/>
      <c r="G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row>
    <row r="641" spans="2:59" x14ac:dyDescent="0.25">
      <c r="B641" s="2"/>
      <c r="C641" s="2"/>
      <c r="D641" s="2"/>
      <c r="E641" s="2"/>
      <c r="F641" s="2"/>
      <c r="G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row>
    <row r="642" spans="2:59" x14ac:dyDescent="0.25">
      <c r="B642" s="2"/>
      <c r="C642" s="2"/>
      <c r="D642" s="2"/>
      <c r="E642" s="2"/>
      <c r="F642" s="2"/>
      <c r="G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row>
    <row r="643" spans="2:59" x14ac:dyDescent="0.25">
      <c r="B643" s="2"/>
      <c r="C643" s="2"/>
      <c r="D643" s="2"/>
      <c r="E643" s="2"/>
      <c r="F643" s="2"/>
      <c r="G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row>
    <row r="644" spans="2:59" x14ac:dyDescent="0.25">
      <c r="B644" s="2"/>
      <c r="C644" s="2"/>
      <c r="D644" s="2"/>
      <c r="E644" s="2"/>
      <c r="F644" s="2"/>
      <c r="G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row>
    <row r="645" spans="2:59" x14ac:dyDescent="0.25">
      <c r="B645" s="2"/>
      <c r="C645" s="2"/>
      <c r="D645" s="2"/>
      <c r="E645" s="2"/>
      <c r="F645" s="2"/>
      <c r="G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row>
    <row r="646" spans="2:59" x14ac:dyDescent="0.25">
      <c r="B646" s="2"/>
      <c r="C646" s="2"/>
      <c r="D646" s="2"/>
      <c r="E646" s="2"/>
      <c r="F646" s="2"/>
      <c r="G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row>
    <row r="647" spans="2:59" x14ac:dyDescent="0.25">
      <c r="B647" s="2"/>
      <c r="C647" s="2"/>
      <c r="D647" s="2"/>
      <c r="E647" s="2"/>
      <c r="F647" s="2"/>
      <c r="G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row>
    <row r="648" spans="2:59" x14ac:dyDescent="0.25">
      <c r="B648" s="2"/>
      <c r="C648" s="2"/>
      <c r="D648" s="2"/>
      <c r="E648" s="2"/>
      <c r="F648" s="2"/>
      <c r="G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row>
    <row r="649" spans="2:59" x14ac:dyDescent="0.25">
      <c r="B649" s="2"/>
      <c r="C649" s="2"/>
      <c r="D649" s="2"/>
      <c r="E649" s="2"/>
      <c r="F649" s="2"/>
      <c r="G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row>
    <row r="650" spans="2:59" x14ac:dyDescent="0.25">
      <c r="B650" s="2"/>
      <c r="C650" s="2"/>
      <c r="D650" s="2"/>
      <c r="E650" s="2"/>
      <c r="F650" s="2"/>
      <c r="G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row>
    <row r="651" spans="2:59" x14ac:dyDescent="0.25">
      <c r="B651" s="2"/>
      <c r="C651" s="2"/>
      <c r="D651" s="2"/>
      <c r="E651" s="2"/>
      <c r="F651" s="2"/>
      <c r="G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row>
    <row r="652" spans="2:59" x14ac:dyDescent="0.25">
      <c r="B652" s="2"/>
      <c r="C652" s="2"/>
      <c r="D652" s="2"/>
      <c r="E652" s="2"/>
      <c r="F652" s="2"/>
      <c r="G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row>
    <row r="653" spans="2:59" x14ac:dyDescent="0.25">
      <c r="B653" s="2"/>
      <c r="C653" s="2"/>
      <c r="D653" s="2"/>
      <c r="E653" s="2"/>
      <c r="F653" s="2"/>
      <c r="G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row>
    <row r="654" spans="2:59" x14ac:dyDescent="0.25">
      <c r="B654" s="2"/>
      <c r="C654" s="2"/>
      <c r="D654" s="2"/>
      <c r="E654" s="2"/>
      <c r="F654" s="2"/>
      <c r="G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row>
    <row r="655" spans="2:59" x14ac:dyDescent="0.25">
      <c r="B655" s="2"/>
      <c r="C655" s="2"/>
      <c r="D655" s="2"/>
      <c r="E655" s="2"/>
      <c r="F655" s="2"/>
      <c r="G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row>
    <row r="656" spans="2:59" x14ac:dyDescent="0.25">
      <c r="B656" s="2"/>
      <c r="C656" s="2"/>
      <c r="D656" s="2"/>
      <c r="E656" s="2"/>
      <c r="F656" s="2"/>
      <c r="G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row>
    <row r="657" spans="2:59" x14ac:dyDescent="0.25">
      <c r="B657" s="2"/>
      <c r="C657" s="2"/>
      <c r="D657" s="2"/>
      <c r="E657" s="2"/>
      <c r="F657" s="2"/>
      <c r="G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row>
    <row r="658" spans="2:59" x14ac:dyDescent="0.25">
      <c r="B658" s="2"/>
      <c r="C658" s="2"/>
      <c r="D658" s="2"/>
      <c r="E658" s="2"/>
      <c r="F658" s="2"/>
      <c r="G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row>
    <row r="659" spans="2:59" x14ac:dyDescent="0.25">
      <c r="B659" s="2"/>
      <c r="C659" s="2"/>
      <c r="D659" s="2"/>
      <c r="E659" s="2"/>
      <c r="F659" s="2"/>
      <c r="G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row>
    <row r="660" spans="2:59" x14ac:dyDescent="0.25">
      <c r="B660" s="2"/>
      <c r="C660" s="2"/>
      <c r="D660" s="2"/>
      <c r="E660" s="2"/>
      <c r="F660" s="2"/>
      <c r="G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row>
    <row r="661" spans="2:59" x14ac:dyDescent="0.25">
      <c r="B661" s="2"/>
      <c r="C661" s="2"/>
      <c r="D661" s="2"/>
      <c r="E661" s="2"/>
      <c r="F661" s="2"/>
      <c r="G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row>
    <row r="662" spans="2:59" x14ac:dyDescent="0.25">
      <c r="B662" s="2"/>
      <c r="C662" s="2"/>
      <c r="D662" s="2"/>
      <c r="E662" s="2"/>
      <c r="F662" s="2"/>
      <c r="G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row>
    <row r="663" spans="2:59" x14ac:dyDescent="0.25">
      <c r="B663" s="2"/>
      <c r="C663" s="2"/>
      <c r="D663" s="2"/>
      <c r="E663" s="2"/>
      <c r="F663" s="2"/>
      <c r="G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row>
    <row r="664" spans="2:59" x14ac:dyDescent="0.25">
      <c r="B664" s="2"/>
      <c r="C664" s="2"/>
      <c r="D664" s="2"/>
      <c r="E664" s="2"/>
      <c r="F664" s="2"/>
      <c r="G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row>
    <row r="665" spans="2:59" x14ac:dyDescent="0.25">
      <c r="B665" s="2"/>
      <c r="C665" s="2"/>
      <c r="D665" s="2"/>
      <c r="E665" s="2"/>
      <c r="F665" s="2"/>
      <c r="G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row>
    <row r="666" spans="2:59" x14ac:dyDescent="0.25">
      <c r="B666" s="2"/>
      <c r="C666" s="2"/>
      <c r="D666" s="2"/>
      <c r="E666" s="2"/>
      <c r="F666" s="2"/>
      <c r="G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row>
    <row r="667" spans="2:59" x14ac:dyDescent="0.25">
      <c r="B667" s="2"/>
      <c r="C667" s="2"/>
      <c r="D667" s="2"/>
      <c r="E667" s="2"/>
      <c r="F667" s="2"/>
      <c r="G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row>
    <row r="668" spans="2:59" x14ac:dyDescent="0.25">
      <c r="B668" s="2"/>
      <c r="C668" s="2"/>
      <c r="D668" s="2"/>
      <c r="E668" s="2"/>
      <c r="F668" s="2"/>
      <c r="G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row>
    <row r="669" spans="2:59" x14ac:dyDescent="0.25">
      <c r="B669" s="2"/>
      <c r="C669" s="2"/>
      <c r="D669" s="2"/>
      <c r="E669" s="2"/>
      <c r="F669" s="2"/>
      <c r="G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row>
    <row r="670" spans="2:59" x14ac:dyDescent="0.25">
      <c r="B670" s="2"/>
      <c r="C670" s="2"/>
      <c r="D670" s="2"/>
      <c r="E670" s="2"/>
      <c r="F670" s="2"/>
      <c r="G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row>
    <row r="671" spans="2:59" x14ac:dyDescent="0.25">
      <c r="B671" s="2"/>
      <c r="C671" s="2"/>
      <c r="D671" s="2"/>
      <c r="E671" s="2"/>
      <c r="F671" s="2"/>
      <c r="G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row>
    <row r="672" spans="2:59" x14ac:dyDescent="0.25">
      <c r="B672" s="2"/>
      <c r="C672" s="2"/>
      <c r="D672" s="2"/>
      <c r="E672" s="2"/>
      <c r="F672" s="2"/>
      <c r="G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row>
    <row r="673" spans="2:59" x14ac:dyDescent="0.25">
      <c r="B673" s="2"/>
      <c r="C673" s="2"/>
      <c r="D673" s="2"/>
      <c r="E673" s="2"/>
      <c r="F673" s="2"/>
      <c r="G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row>
    <row r="674" spans="2:59" x14ac:dyDescent="0.25">
      <c r="B674" s="2"/>
      <c r="C674" s="2"/>
      <c r="D674" s="2"/>
      <c r="E674" s="2"/>
      <c r="F674" s="2"/>
      <c r="G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row>
    <row r="675" spans="2:59" x14ac:dyDescent="0.25">
      <c r="B675" s="2"/>
      <c r="C675" s="2"/>
      <c r="D675" s="2"/>
      <c r="E675" s="2"/>
      <c r="F675" s="2"/>
      <c r="G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row>
    <row r="676" spans="2:59" x14ac:dyDescent="0.25">
      <c r="B676" s="2"/>
      <c r="C676" s="2"/>
      <c r="D676" s="2"/>
      <c r="E676" s="2"/>
      <c r="F676" s="2"/>
      <c r="G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row>
    <row r="677" spans="2:59" x14ac:dyDescent="0.25">
      <c r="B677" s="2"/>
      <c r="C677" s="2"/>
      <c r="D677" s="2"/>
      <c r="E677" s="2"/>
      <c r="F677" s="2"/>
      <c r="G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row>
    <row r="678" spans="2:59" x14ac:dyDescent="0.25">
      <c r="B678" s="2"/>
      <c r="C678" s="2"/>
      <c r="D678" s="2"/>
      <c r="E678" s="2"/>
      <c r="F678" s="2"/>
      <c r="G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row>
    <row r="679" spans="2:59" x14ac:dyDescent="0.25">
      <c r="B679" s="2"/>
      <c r="C679" s="2"/>
      <c r="D679" s="2"/>
      <c r="E679" s="2"/>
      <c r="F679" s="2"/>
      <c r="G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row>
    <row r="680" spans="2:59" x14ac:dyDescent="0.25">
      <c r="B680" s="2"/>
      <c r="C680" s="2"/>
      <c r="D680" s="2"/>
      <c r="E680" s="2"/>
      <c r="F680" s="2"/>
      <c r="G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row>
    <row r="681" spans="2:59" x14ac:dyDescent="0.25">
      <c r="B681" s="2"/>
      <c r="C681" s="2"/>
      <c r="D681" s="2"/>
      <c r="E681" s="2"/>
      <c r="F681" s="2"/>
      <c r="G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row>
    <row r="682" spans="2:59" x14ac:dyDescent="0.25">
      <c r="B682" s="2"/>
      <c r="C682" s="2"/>
      <c r="D682" s="2"/>
      <c r="E682" s="2"/>
      <c r="F682" s="2"/>
      <c r="G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row>
    <row r="683" spans="2:59" x14ac:dyDescent="0.25">
      <c r="B683" s="2"/>
      <c r="C683" s="2"/>
      <c r="D683" s="2"/>
      <c r="E683" s="2"/>
      <c r="F683" s="2"/>
      <c r="G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row>
    <row r="684" spans="2:59" x14ac:dyDescent="0.25">
      <c r="B684" s="2"/>
      <c r="C684" s="2"/>
      <c r="D684" s="2"/>
      <c r="E684" s="2"/>
      <c r="F684" s="2"/>
      <c r="G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row>
    <row r="685" spans="2:59" x14ac:dyDescent="0.25">
      <c r="B685" s="2"/>
      <c r="C685" s="2"/>
      <c r="D685" s="2"/>
      <c r="E685" s="2"/>
      <c r="F685" s="2"/>
      <c r="G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row>
    <row r="686" spans="2:59" x14ac:dyDescent="0.25">
      <c r="B686" s="2"/>
      <c r="C686" s="2"/>
      <c r="D686" s="2"/>
      <c r="E686" s="2"/>
      <c r="F686" s="2"/>
      <c r="G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row>
    <row r="687" spans="2:59" x14ac:dyDescent="0.25">
      <c r="B687" s="2"/>
      <c r="C687" s="2"/>
      <c r="D687" s="2"/>
      <c r="E687" s="2"/>
      <c r="F687" s="2"/>
      <c r="G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row>
    <row r="688" spans="2:59" x14ac:dyDescent="0.25">
      <c r="B688" s="2"/>
      <c r="C688" s="2"/>
      <c r="D688" s="2"/>
      <c r="E688" s="2"/>
      <c r="F688" s="2"/>
      <c r="G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row>
    <row r="689" spans="2:59" x14ac:dyDescent="0.25">
      <c r="B689" s="2"/>
      <c r="C689" s="2"/>
      <c r="D689" s="2"/>
      <c r="E689" s="2"/>
      <c r="F689" s="2"/>
      <c r="G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row>
    <row r="690" spans="2:59" x14ac:dyDescent="0.25">
      <c r="B690" s="2"/>
      <c r="C690" s="2"/>
      <c r="D690" s="2"/>
      <c r="E690" s="2"/>
      <c r="F690" s="2"/>
      <c r="G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row>
    <row r="691" spans="2:59" x14ac:dyDescent="0.25">
      <c r="B691" s="2"/>
      <c r="C691" s="2"/>
      <c r="D691" s="2"/>
      <c r="E691" s="2"/>
      <c r="F691" s="2"/>
      <c r="G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row>
    <row r="692" spans="2:59" x14ac:dyDescent="0.25">
      <c r="B692" s="2"/>
      <c r="C692" s="2"/>
      <c r="D692" s="2"/>
      <c r="E692" s="2"/>
      <c r="F692" s="2"/>
      <c r="G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row>
    <row r="693" spans="2:59" x14ac:dyDescent="0.25">
      <c r="B693" s="2"/>
      <c r="C693" s="2"/>
      <c r="D693" s="2"/>
      <c r="E693" s="2"/>
      <c r="F693" s="2"/>
      <c r="G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row>
    <row r="694" spans="2:59" x14ac:dyDescent="0.25">
      <c r="B694" s="2"/>
      <c r="C694" s="2"/>
      <c r="D694" s="2"/>
      <c r="E694" s="2"/>
      <c r="F694" s="2"/>
      <c r="G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row>
    <row r="695" spans="2:59" x14ac:dyDescent="0.25">
      <c r="B695" s="2"/>
      <c r="C695" s="2"/>
      <c r="D695" s="2"/>
      <c r="E695" s="2"/>
      <c r="F695" s="2"/>
      <c r="G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row>
    <row r="696" spans="2:59" x14ac:dyDescent="0.25">
      <c r="B696" s="2"/>
      <c r="C696" s="2"/>
      <c r="D696" s="2"/>
      <c r="E696" s="2"/>
      <c r="F696" s="2"/>
      <c r="G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row>
    <row r="697" spans="2:59" x14ac:dyDescent="0.25">
      <c r="B697" s="2"/>
      <c r="C697" s="2"/>
      <c r="D697" s="2"/>
      <c r="E697" s="2"/>
      <c r="F697" s="2"/>
      <c r="G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row>
    <row r="698" spans="2:59" x14ac:dyDescent="0.25">
      <c r="B698" s="2"/>
      <c r="C698" s="2"/>
      <c r="D698" s="2"/>
      <c r="E698" s="2"/>
      <c r="F698" s="2"/>
      <c r="G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row>
    <row r="699" spans="2:59" x14ac:dyDescent="0.25">
      <c r="B699" s="2"/>
      <c r="C699" s="2"/>
      <c r="D699" s="2"/>
      <c r="E699" s="2"/>
      <c r="F699" s="2"/>
      <c r="G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row>
    <row r="700" spans="2:59" x14ac:dyDescent="0.25">
      <c r="B700" s="2"/>
      <c r="C700" s="2"/>
      <c r="D700" s="2"/>
      <c r="E700" s="2"/>
      <c r="F700" s="2"/>
      <c r="G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row>
    <row r="701" spans="2:59" x14ac:dyDescent="0.25">
      <c r="B701" s="2"/>
      <c r="C701" s="2"/>
      <c r="D701" s="2"/>
      <c r="E701" s="2"/>
      <c r="F701" s="2"/>
      <c r="G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row>
    <row r="702" spans="2:59" x14ac:dyDescent="0.25">
      <c r="B702" s="2"/>
      <c r="C702" s="2"/>
      <c r="D702" s="2"/>
      <c r="E702" s="2"/>
      <c r="F702" s="2"/>
      <c r="G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row>
    <row r="703" spans="2:59" x14ac:dyDescent="0.25">
      <c r="B703" s="2"/>
      <c r="C703" s="2"/>
      <c r="D703" s="2"/>
      <c r="E703" s="2"/>
      <c r="F703" s="2"/>
      <c r="G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row>
    <row r="704" spans="2:59" x14ac:dyDescent="0.25">
      <c r="B704" s="2"/>
      <c r="C704" s="2"/>
      <c r="D704" s="2"/>
      <c r="E704" s="2"/>
      <c r="F704" s="2"/>
      <c r="G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row>
    <row r="705" spans="2:59" x14ac:dyDescent="0.25">
      <c r="B705" s="2"/>
      <c r="C705" s="2"/>
      <c r="D705" s="2"/>
      <c r="E705" s="2"/>
      <c r="F705" s="2"/>
      <c r="G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row>
    <row r="706" spans="2:59" x14ac:dyDescent="0.25">
      <c r="B706" s="2"/>
      <c r="C706" s="2"/>
      <c r="D706" s="2"/>
      <c r="E706" s="2"/>
      <c r="F706" s="2"/>
      <c r="G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row>
    <row r="707" spans="2:59" x14ac:dyDescent="0.25">
      <c r="B707" s="2"/>
      <c r="C707" s="2"/>
      <c r="D707" s="2"/>
      <c r="E707" s="2"/>
      <c r="F707" s="2"/>
      <c r="G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row>
    <row r="708" spans="2:59" x14ac:dyDescent="0.25">
      <c r="B708" s="2"/>
      <c r="C708" s="2"/>
      <c r="D708" s="2"/>
      <c r="E708" s="2"/>
      <c r="F708" s="2"/>
      <c r="G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row>
    <row r="709" spans="2:59" x14ac:dyDescent="0.25">
      <c r="B709" s="2"/>
      <c r="C709" s="2"/>
      <c r="D709" s="2"/>
      <c r="E709" s="2"/>
      <c r="F709" s="2"/>
      <c r="G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row>
    <row r="710" spans="2:59" x14ac:dyDescent="0.25">
      <c r="B710" s="2"/>
      <c r="C710" s="2"/>
      <c r="D710" s="2"/>
      <c r="E710" s="2"/>
      <c r="F710" s="2"/>
      <c r="G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row>
    <row r="711" spans="2:59" x14ac:dyDescent="0.25">
      <c r="B711" s="2"/>
      <c r="C711" s="2"/>
      <c r="D711" s="2"/>
      <c r="E711" s="2"/>
      <c r="F711" s="2"/>
      <c r="G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row>
    <row r="712" spans="2:59" x14ac:dyDescent="0.25">
      <c r="B712" s="2"/>
      <c r="C712" s="2"/>
      <c r="D712" s="2"/>
      <c r="E712" s="2"/>
      <c r="F712" s="2"/>
      <c r="G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row>
    <row r="713" spans="2:59" x14ac:dyDescent="0.25">
      <c r="B713" s="2"/>
      <c r="C713" s="2"/>
      <c r="D713" s="2"/>
      <c r="E713" s="2"/>
      <c r="F713" s="2"/>
      <c r="G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row>
    <row r="714" spans="2:59" x14ac:dyDescent="0.25">
      <c r="B714" s="2"/>
      <c r="C714" s="2"/>
      <c r="D714" s="2"/>
      <c r="E714" s="2"/>
      <c r="F714" s="2"/>
      <c r="G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row>
    <row r="715" spans="2:59" x14ac:dyDescent="0.25">
      <c r="B715" s="2"/>
      <c r="C715" s="2"/>
      <c r="D715" s="2"/>
      <c r="E715" s="2"/>
      <c r="F715" s="2"/>
      <c r="G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row>
    <row r="716" spans="2:59" x14ac:dyDescent="0.25">
      <c r="B716" s="2"/>
      <c r="C716" s="2"/>
      <c r="D716" s="2"/>
      <c r="E716" s="2"/>
      <c r="F716" s="2"/>
      <c r="G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row>
    <row r="717" spans="2:59" x14ac:dyDescent="0.25">
      <c r="B717" s="2"/>
      <c r="C717" s="2"/>
      <c r="D717" s="2"/>
      <c r="E717" s="2"/>
      <c r="F717" s="2"/>
      <c r="G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row>
    <row r="718" spans="2:59" x14ac:dyDescent="0.25">
      <c r="B718" s="2"/>
      <c r="C718" s="2"/>
      <c r="D718" s="2"/>
      <c r="E718" s="2"/>
      <c r="F718" s="2"/>
      <c r="G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row>
    <row r="719" spans="2:59" x14ac:dyDescent="0.25">
      <c r="B719" s="2"/>
      <c r="C719" s="2"/>
      <c r="D719" s="2"/>
      <c r="E719" s="2"/>
      <c r="F719" s="2"/>
      <c r="G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row>
    <row r="720" spans="2:59" x14ac:dyDescent="0.25">
      <c r="B720" s="2"/>
      <c r="C720" s="2"/>
      <c r="D720" s="2"/>
      <c r="E720" s="2"/>
      <c r="F720" s="2"/>
      <c r="G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row>
    <row r="721" spans="2:59" x14ac:dyDescent="0.25">
      <c r="B721" s="2"/>
      <c r="C721" s="2"/>
      <c r="D721" s="2"/>
      <c r="E721" s="2"/>
      <c r="F721" s="2"/>
      <c r="G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row>
    <row r="722" spans="2:59" x14ac:dyDescent="0.25">
      <c r="B722" s="2"/>
      <c r="C722" s="2"/>
      <c r="D722" s="2"/>
      <c r="E722" s="2"/>
      <c r="F722" s="2"/>
      <c r="G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row>
    <row r="723" spans="2:59" x14ac:dyDescent="0.25">
      <c r="B723" s="2"/>
      <c r="C723" s="2"/>
      <c r="D723" s="2"/>
      <c r="E723" s="2"/>
      <c r="F723" s="2"/>
      <c r="G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row>
    <row r="724" spans="2:59" x14ac:dyDescent="0.25">
      <c r="B724" s="2"/>
      <c r="C724" s="2"/>
      <c r="D724" s="2"/>
      <c r="E724" s="2"/>
      <c r="F724" s="2"/>
      <c r="G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row>
    <row r="725" spans="2:59" x14ac:dyDescent="0.25">
      <c r="B725" s="2"/>
      <c r="C725" s="2"/>
      <c r="D725" s="2"/>
      <c r="E725" s="2"/>
      <c r="F725" s="2"/>
      <c r="G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row>
    <row r="726" spans="2:59" x14ac:dyDescent="0.25">
      <c r="B726" s="2"/>
      <c r="C726" s="2"/>
      <c r="D726" s="2"/>
      <c r="E726" s="2"/>
      <c r="F726" s="2"/>
      <c r="G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row>
    <row r="727" spans="2:59" x14ac:dyDescent="0.25">
      <c r="B727" s="2"/>
      <c r="C727" s="2"/>
      <c r="D727" s="2"/>
      <c r="E727" s="2"/>
      <c r="F727" s="2"/>
      <c r="G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row>
    <row r="728" spans="2:59" x14ac:dyDescent="0.25">
      <c r="B728" s="2"/>
      <c r="C728" s="2"/>
      <c r="D728" s="2"/>
      <c r="E728" s="2"/>
      <c r="F728" s="2"/>
      <c r="G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row>
    <row r="729" spans="2:59" x14ac:dyDescent="0.25">
      <c r="B729" s="2"/>
      <c r="C729" s="2"/>
      <c r="D729" s="2"/>
      <c r="E729" s="2"/>
      <c r="F729" s="2"/>
      <c r="G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row>
    <row r="730" spans="2:59" x14ac:dyDescent="0.25">
      <c r="B730" s="2"/>
      <c r="C730" s="2"/>
      <c r="D730" s="2"/>
      <c r="E730" s="2"/>
      <c r="F730" s="2"/>
      <c r="G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row>
    <row r="731" spans="2:59" x14ac:dyDescent="0.25">
      <c r="B731" s="2"/>
      <c r="C731" s="2"/>
      <c r="D731" s="2"/>
      <c r="E731" s="2"/>
      <c r="F731" s="2"/>
      <c r="G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row>
    <row r="732" spans="2:59" x14ac:dyDescent="0.25">
      <c r="B732" s="2"/>
      <c r="C732" s="2"/>
      <c r="D732" s="2"/>
      <c r="E732" s="2"/>
      <c r="F732" s="2"/>
      <c r="G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row>
    <row r="733" spans="2:59" x14ac:dyDescent="0.25">
      <c r="B733" s="2"/>
      <c r="C733" s="2"/>
      <c r="D733" s="2"/>
      <c r="E733" s="2"/>
      <c r="F733" s="2"/>
      <c r="G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row>
    <row r="734" spans="2:59" x14ac:dyDescent="0.25">
      <c r="B734" s="2"/>
      <c r="C734" s="2"/>
      <c r="D734" s="2"/>
      <c r="E734" s="2"/>
      <c r="F734" s="2"/>
      <c r="G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row>
    <row r="735" spans="2:59" x14ac:dyDescent="0.25">
      <c r="B735" s="2"/>
      <c r="C735" s="2"/>
      <c r="D735" s="2"/>
      <c r="E735" s="2"/>
      <c r="F735" s="2"/>
      <c r="G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row>
    <row r="736" spans="2:59" x14ac:dyDescent="0.25">
      <c r="B736" s="2"/>
      <c r="C736" s="2"/>
      <c r="D736" s="2"/>
      <c r="E736" s="2"/>
      <c r="F736" s="2"/>
      <c r="G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row>
    <row r="737" spans="2:59" x14ac:dyDescent="0.25">
      <c r="B737" s="2"/>
      <c r="C737" s="2"/>
      <c r="D737" s="2"/>
      <c r="E737" s="2"/>
      <c r="F737" s="2"/>
      <c r="G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row>
    <row r="738" spans="2:59" x14ac:dyDescent="0.25">
      <c r="B738" s="2"/>
      <c r="C738" s="2"/>
      <c r="D738" s="2"/>
      <c r="E738" s="2"/>
      <c r="F738" s="2"/>
      <c r="G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row>
    <row r="739" spans="2:59" x14ac:dyDescent="0.25">
      <c r="B739" s="2"/>
      <c r="C739" s="2"/>
      <c r="D739" s="2"/>
      <c r="E739" s="2"/>
      <c r="F739" s="2"/>
      <c r="G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row>
    <row r="740" spans="2:59" x14ac:dyDescent="0.25">
      <c r="B740" s="2"/>
      <c r="C740" s="2"/>
      <c r="D740" s="2"/>
      <c r="E740" s="2"/>
      <c r="F740" s="2"/>
      <c r="G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row>
    <row r="741" spans="2:59" x14ac:dyDescent="0.25">
      <c r="B741" s="2"/>
      <c r="C741" s="2"/>
      <c r="D741" s="2"/>
      <c r="E741" s="2"/>
      <c r="F741" s="2"/>
      <c r="G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row>
    <row r="742" spans="2:59" x14ac:dyDescent="0.25">
      <c r="B742" s="2"/>
      <c r="C742" s="2"/>
      <c r="D742" s="2"/>
      <c r="E742" s="2"/>
      <c r="F742" s="2"/>
      <c r="G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row>
    <row r="743" spans="2:59" x14ac:dyDescent="0.25">
      <c r="B743" s="2"/>
      <c r="C743" s="2"/>
      <c r="D743" s="2"/>
      <c r="E743" s="2"/>
      <c r="F743" s="2"/>
      <c r="G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row>
    <row r="744" spans="2:59" x14ac:dyDescent="0.25">
      <c r="B744" s="2"/>
      <c r="C744" s="2"/>
      <c r="D744" s="2"/>
      <c r="E744" s="2"/>
      <c r="F744" s="2"/>
      <c r="G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row>
    <row r="745" spans="2:59" x14ac:dyDescent="0.25">
      <c r="B745" s="2"/>
      <c r="C745" s="2"/>
      <c r="D745" s="2"/>
      <c r="E745" s="2"/>
      <c r="F745" s="2"/>
      <c r="G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row>
    <row r="746" spans="2:59" x14ac:dyDescent="0.25">
      <c r="B746" s="2"/>
      <c r="C746" s="2"/>
      <c r="D746" s="2"/>
      <c r="E746" s="2"/>
      <c r="F746" s="2"/>
      <c r="G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row>
    <row r="747" spans="2:59" x14ac:dyDescent="0.25">
      <c r="B747" s="2"/>
      <c r="C747" s="2"/>
      <c r="D747" s="2"/>
      <c r="E747" s="2"/>
      <c r="F747" s="2"/>
      <c r="G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row>
    <row r="748" spans="2:59" x14ac:dyDescent="0.25">
      <c r="B748" s="2"/>
      <c r="C748" s="2"/>
      <c r="D748" s="2"/>
      <c r="E748" s="2"/>
      <c r="F748" s="2"/>
      <c r="G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row>
    <row r="749" spans="2:59" x14ac:dyDescent="0.25">
      <c r="B749" s="2"/>
      <c r="C749" s="2"/>
      <c r="D749" s="2"/>
      <c r="E749" s="2"/>
      <c r="F749" s="2"/>
      <c r="G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row>
    <row r="750" spans="2:59" x14ac:dyDescent="0.25">
      <c r="B750" s="2"/>
      <c r="C750" s="2"/>
      <c r="D750" s="2"/>
      <c r="E750" s="2"/>
      <c r="F750" s="2"/>
      <c r="G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row>
    <row r="751" spans="2:59" x14ac:dyDescent="0.25">
      <c r="B751" s="2"/>
      <c r="C751" s="2"/>
      <c r="D751" s="2"/>
      <c r="E751" s="2"/>
      <c r="F751" s="2"/>
      <c r="G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row>
    <row r="752" spans="2:59" x14ac:dyDescent="0.25">
      <c r="B752" s="2"/>
      <c r="C752" s="2"/>
      <c r="D752" s="2"/>
      <c r="E752" s="2"/>
      <c r="F752" s="2"/>
      <c r="G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row>
    <row r="753" spans="2:59" x14ac:dyDescent="0.25">
      <c r="B753" s="2"/>
      <c r="C753" s="2"/>
      <c r="D753" s="2"/>
      <c r="E753" s="2"/>
      <c r="F753" s="2"/>
      <c r="G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row>
    <row r="754" spans="2:59" x14ac:dyDescent="0.25">
      <c r="B754" s="2"/>
      <c r="C754" s="2"/>
      <c r="D754" s="2"/>
      <c r="E754" s="2"/>
      <c r="F754" s="2"/>
      <c r="G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row>
    <row r="755" spans="2:59" x14ac:dyDescent="0.25">
      <c r="B755" s="2"/>
      <c r="C755" s="2"/>
      <c r="D755" s="2"/>
      <c r="E755" s="2"/>
      <c r="F755" s="2"/>
      <c r="G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row>
    <row r="756" spans="2:59" x14ac:dyDescent="0.25">
      <c r="B756" s="2"/>
      <c r="C756" s="2"/>
      <c r="D756" s="2"/>
      <c r="E756" s="2"/>
      <c r="F756" s="2"/>
      <c r="G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row>
    <row r="757" spans="2:59" x14ac:dyDescent="0.25">
      <c r="B757" s="2"/>
      <c r="C757" s="2"/>
      <c r="D757" s="2"/>
      <c r="E757" s="2"/>
      <c r="F757" s="2"/>
      <c r="G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row>
    <row r="758" spans="2:59" x14ac:dyDescent="0.25">
      <c r="B758" s="2"/>
      <c r="C758" s="2"/>
      <c r="D758" s="2"/>
      <c r="E758" s="2"/>
      <c r="F758" s="2"/>
      <c r="G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row>
    <row r="759" spans="2:59" x14ac:dyDescent="0.25">
      <c r="B759" s="2"/>
      <c r="C759" s="2"/>
      <c r="D759" s="2"/>
      <c r="E759" s="2"/>
      <c r="F759" s="2"/>
      <c r="G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row>
    <row r="760" spans="2:59" x14ac:dyDescent="0.25">
      <c r="B760" s="2"/>
      <c r="C760" s="2"/>
      <c r="D760" s="2"/>
      <c r="E760" s="2"/>
      <c r="F760" s="2"/>
      <c r="G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row>
    <row r="761" spans="2:59" x14ac:dyDescent="0.25">
      <c r="B761" s="2"/>
      <c r="C761" s="2"/>
      <c r="D761" s="2"/>
      <c r="E761" s="2"/>
      <c r="F761" s="2"/>
      <c r="G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row>
    <row r="762" spans="2:59" x14ac:dyDescent="0.25">
      <c r="B762" s="2"/>
      <c r="C762" s="2"/>
      <c r="D762" s="2"/>
      <c r="E762" s="2"/>
      <c r="F762" s="2"/>
      <c r="G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row>
    <row r="763" spans="2:59" x14ac:dyDescent="0.25">
      <c r="B763" s="2"/>
      <c r="C763" s="2"/>
      <c r="D763" s="2"/>
      <c r="E763" s="2"/>
      <c r="F763" s="2"/>
      <c r="G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row>
    <row r="764" spans="2:59" x14ac:dyDescent="0.25">
      <c r="B764" s="2"/>
      <c r="C764" s="2"/>
      <c r="D764" s="2"/>
      <c r="E764" s="2"/>
      <c r="F764" s="2"/>
      <c r="G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row>
    <row r="765" spans="2:59" x14ac:dyDescent="0.25">
      <c r="B765" s="2"/>
      <c r="C765" s="2"/>
      <c r="D765" s="2"/>
      <c r="E765" s="2"/>
      <c r="F765" s="2"/>
      <c r="G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row>
    <row r="766" spans="2:59" x14ac:dyDescent="0.25">
      <c r="B766" s="2"/>
      <c r="C766" s="2"/>
      <c r="D766" s="2"/>
      <c r="E766" s="2"/>
      <c r="F766" s="2"/>
      <c r="G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row>
    <row r="767" spans="2:59" x14ac:dyDescent="0.25">
      <c r="B767" s="2"/>
      <c r="C767" s="2"/>
      <c r="D767" s="2"/>
      <c r="E767" s="2"/>
      <c r="F767" s="2"/>
      <c r="G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row>
    <row r="768" spans="2:59" x14ac:dyDescent="0.25">
      <c r="B768" s="2"/>
      <c r="C768" s="2"/>
      <c r="D768" s="2"/>
      <c r="E768" s="2"/>
      <c r="F768" s="2"/>
      <c r="G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row>
    <row r="769" spans="2:59" x14ac:dyDescent="0.25">
      <c r="B769" s="2"/>
      <c r="C769" s="2"/>
      <c r="D769" s="2"/>
      <c r="E769" s="2"/>
      <c r="F769" s="2"/>
      <c r="G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row>
    <row r="770" spans="2:59" x14ac:dyDescent="0.25">
      <c r="B770" s="2"/>
      <c r="C770" s="2"/>
      <c r="D770" s="2"/>
      <c r="E770" s="2"/>
      <c r="F770" s="2"/>
      <c r="G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row>
    <row r="771" spans="2:59" x14ac:dyDescent="0.25">
      <c r="B771" s="2"/>
      <c r="C771" s="2"/>
      <c r="D771" s="2"/>
      <c r="E771" s="2"/>
      <c r="F771" s="2"/>
      <c r="G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row>
    <row r="772" spans="2:59" x14ac:dyDescent="0.25">
      <c r="B772" s="2"/>
      <c r="C772" s="2"/>
      <c r="D772" s="2"/>
      <c r="E772" s="2"/>
      <c r="F772" s="2"/>
      <c r="G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row>
    <row r="773" spans="2:59" x14ac:dyDescent="0.25">
      <c r="B773" s="2"/>
      <c r="C773" s="2"/>
      <c r="D773" s="2"/>
      <c r="E773" s="2"/>
      <c r="F773" s="2"/>
      <c r="G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row>
    <row r="774" spans="2:59" x14ac:dyDescent="0.25">
      <c r="B774" s="2"/>
      <c r="C774" s="2"/>
      <c r="D774" s="2"/>
      <c r="E774" s="2"/>
      <c r="F774" s="2"/>
      <c r="G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row>
    <row r="775" spans="2:59" x14ac:dyDescent="0.25">
      <c r="B775" s="2"/>
      <c r="C775" s="2"/>
      <c r="D775" s="2"/>
      <c r="E775" s="2"/>
      <c r="F775" s="2"/>
      <c r="G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row>
    <row r="776" spans="2:59" x14ac:dyDescent="0.25">
      <c r="B776" s="2"/>
      <c r="C776" s="2"/>
      <c r="D776" s="2"/>
      <c r="E776" s="2"/>
      <c r="F776" s="2"/>
      <c r="G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row>
    <row r="777" spans="2:59" x14ac:dyDescent="0.25">
      <c r="B777" s="2"/>
      <c r="C777" s="2"/>
      <c r="D777" s="2"/>
      <c r="E777" s="2"/>
      <c r="F777" s="2"/>
      <c r="G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row>
    <row r="778" spans="2:59" x14ac:dyDescent="0.25">
      <c r="B778" s="2"/>
      <c r="C778" s="2"/>
      <c r="D778" s="2"/>
      <c r="E778" s="2"/>
      <c r="F778" s="2"/>
      <c r="G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row>
    <row r="779" spans="2:59" x14ac:dyDescent="0.25">
      <c r="B779" s="2"/>
      <c r="C779" s="2"/>
      <c r="D779" s="2"/>
      <c r="E779" s="2"/>
      <c r="F779" s="2"/>
      <c r="G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row>
    <row r="780" spans="2:59" x14ac:dyDescent="0.25">
      <c r="B780" s="2"/>
      <c r="C780" s="2"/>
      <c r="D780" s="2"/>
      <c r="E780" s="2"/>
      <c r="F780" s="2"/>
      <c r="G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row>
    <row r="781" spans="2:59" x14ac:dyDescent="0.25">
      <c r="B781" s="2"/>
      <c r="C781" s="2"/>
      <c r="D781" s="2"/>
      <c r="E781" s="2"/>
      <c r="F781" s="2"/>
      <c r="G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row>
    <row r="782" spans="2:59" x14ac:dyDescent="0.25">
      <c r="B782" s="2"/>
      <c r="C782" s="2"/>
      <c r="D782" s="2"/>
      <c r="E782" s="2"/>
      <c r="F782" s="2"/>
      <c r="G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row>
    <row r="783" spans="2:59" x14ac:dyDescent="0.25">
      <c r="B783" s="2"/>
      <c r="C783" s="2"/>
      <c r="D783" s="2"/>
      <c r="E783" s="2"/>
      <c r="F783" s="2"/>
      <c r="G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row>
    <row r="784" spans="2:59" x14ac:dyDescent="0.25">
      <c r="B784" s="2"/>
      <c r="C784" s="2"/>
      <c r="D784" s="2"/>
      <c r="E784" s="2"/>
      <c r="F784" s="2"/>
      <c r="G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row>
    <row r="785" spans="2:59" x14ac:dyDescent="0.25">
      <c r="B785" s="2"/>
      <c r="C785" s="2"/>
      <c r="D785" s="2"/>
      <c r="E785" s="2"/>
      <c r="F785" s="2"/>
      <c r="G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row>
    <row r="786" spans="2:59" x14ac:dyDescent="0.25">
      <c r="B786" s="2"/>
      <c r="C786" s="2"/>
      <c r="D786" s="2"/>
      <c r="E786" s="2"/>
      <c r="F786" s="2"/>
      <c r="G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row>
    <row r="787" spans="2:59" x14ac:dyDescent="0.25">
      <c r="B787" s="2"/>
      <c r="C787" s="2"/>
      <c r="D787" s="2"/>
      <c r="E787" s="2"/>
      <c r="F787" s="2"/>
      <c r="G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row>
    <row r="788" spans="2:59" x14ac:dyDescent="0.25">
      <c r="B788" s="2"/>
      <c r="C788" s="2"/>
      <c r="D788" s="2"/>
      <c r="E788" s="2"/>
      <c r="F788" s="2"/>
      <c r="G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row>
    <row r="789" spans="2:59" x14ac:dyDescent="0.25">
      <c r="B789" s="2"/>
      <c r="C789" s="2"/>
      <c r="D789" s="2"/>
      <c r="E789" s="2"/>
      <c r="F789" s="2"/>
      <c r="G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row>
    <row r="790" spans="2:59" x14ac:dyDescent="0.25">
      <c r="B790" s="2"/>
      <c r="C790" s="2"/>
      <c r="D790" s="2"/>
      <c r="E790" s="2"/>
      <c r="F790" s="2"/>
      <c r="G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row>
    <row r="791" spans="2:59" x14ac:dyDescent="0.25">
      <c r="B791" s="2"/>
      <c r="C791" s="2"/>
      <c r="D791" s="2"/>
      <c r="E791" s="2"/>
      <c r="F791" s="2"/>
      <c r="G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row>
    <row r="792" spans="2:59" x14ac:dyDescent="0.25">
      <c r="B792" s="2"/>
      <c r="C792" s="2"/>
      <c r="D792" s="2"/>
      <c r="E792" s="2"/>
      <c r="F792" s="2"/>
      <c r="G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row>
    <row r="793" spans="2:59" x14ac:dyDescent="0.25">
      <c r="B793" s="2"/>
      <c r="C793" s="2"/>
      <c r="D793" s="2"/>
      <c r="E793" s="2"/>
      <c r="F793" s="2"/>
      <c r="G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row>
    <row r="794" spans="2:59" x14ac:dyDescent="0.25">
      <c r="B794" s="2"/>
      <c r="C794" s="2"/>
      <c r="D794" s="2"/>
      <c r="E794" s="2"/>
      <c r="F794" s="2"/>
      <c r="G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row>
    <row r="795" spans="2:59" x14ac:dyDescent="0.25">
      <c r="B795" s="2"/>
      <c r="C795" s="2"/>
      <c r="D795" s="2"/>
      <c r="E795" s="2"/>
      <c r="F795" s="2"/>
      <c r="G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row>
    <row r="796" spans="2:59" x14ac:dyDescent="0.25">
      <c r="B796" s="2"/>
      <c r="C796" s="2"/>
      <c r="D796" s="2"/>
      <c r="E796" s="2"/>
      <c r="F796" s="2"/>
      <c r="G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row>
    <row r="797" spans="2:59" x14ac:dyDescent="0.25">
      <c r="B797" s="2"/>
      <c r="C797" s="2"/>
      <c r="D797" s="2"/>
      <c r="E797" s="2"/>
      <c r="F797" s="2"/>
      <c r="G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row>
    <row r="798" spans="2:59" x14ac:dyDescent="0.25">
      <c r="B798" s="2"/>
      <c r="C798" s="2"/>
      <c r="D798" s="2"/>
      <c r="E798" s="2"/>
      <c r="F798" s="2"/>
      <c r="G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row>
    <row r="799" spans="2:59" x14ac:dyDescent="0.25">
      <c r="B799" s="2"/>
      <c r="C799" s="2"/>
      <c r="D799" s="2"/>
      <c r="E799" s="2"/>
      <c r="F799" s="2"/>
      <c r="G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row>
    <row r="800" spans="2:59" x14ac:dyDescent="0.25">
      <c r="B800" s="2"/>
      <c r="C800" s="2"/>
      <c r="D800" s="2"/>
      <c r="E800" s="2"/>
      <c r="F800" s="2"/>
      <c r="G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row>
    <row r="801" spans="2:59" x14ac:dyDescent="0.25">
      <c r="B801" s="2"/>
      <c r="C801" s="2"/>
      <c r="D801" s="2"/>
      <c r="E801" s="2"/>
      <c r="F801" s="2"/>
      <c r="G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row>
    <row r="802" spans="2:59" x14ac:dyDescent="0.25">
      <c r="B802" s="2"/>
      <c r="C802" s="2"/>
      <c r="D802" s="2"/>
      <c r="E802" s="2"/>
      <c r="F802" s="2"/>
      <c r="G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row>
    <row r="803" spans="2:59" x14ac:dyDescent="0.25">
      <c r="B803" s="2"/>
      <c r="C803" s="2"/>
      <c r="D803" s="2"/>
      <c r="E803" s="2"/>
      <c r="F803" s="2"/>
      <c r="G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row>
    <row r="804" spans="2:59" x14ac:dyDescent="0.25">
      <c r="B804" s="2"/>
      <c r="C804" s="2"/>
      <c r="D804" s="2"/>
      <c r="E804" s="2"/>
      <c r="F804" s="2"/>
      <c r="G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row>
    <row r="805" spans="2:59" x14ac:dyDescent="0.25">
      <c r="B805" s="2"/>
      <c r="C805" s="2"/>
      <c r="D805" s="2"/>
      <c r="E805" s="2"/>
      <c r="F805" s="2"/>
      <c r="G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row>
    <row r="806" spans="2:59" x14ac:dyDescent="0.25">
      <c r="B806" s="2"/>
      <c r="C806" s="2"/>
      <c r="D806" s="2"/>
      <c r="E806" s="2"/>
      <c r="F806" s="2"/>
      <c r="G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row>
    <row r="807" spans="2:59" x14ac:dyDescent="0.25">
      <c r="B807" s="2"/>
      <c r="C807" s="2"/>
      <c r="D807" s="2"/>
      <c r="E807" s="2"/>
      <c r="F807" s="2"/>
      <c r="G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row>
    <row r="808" spans="2:59" x14ac:dyDescent="0.25">
      <c r="B808" s="2"/>
      <c r="C808" s="2"/>
      <c r="D808" s="2"/>
      <c r="E808" s="2"/>
      <c r="F808" s="2"/>
      <c r="G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row>
    <row r="809" spans="2:59" x14ac:dyDescent="0.25">
      <c r="B809" s="2"/>
      <c r="C809" s="2"/>
      <c r="D809" s="2"/>
      <c r="E809" s="2"/>
      <c r="F809" s="2"/>
      <c r="G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row>
    <row r="810" spans="2:59" x14ac:dyDescent="0.25">
      <c r="B810" s="2"/>
      <c r="C810" s="2"/>
      <c r="D810" s="2"/>
      <c r="E810" s="2"/>
      <c r="F810" s="2"/>
      <c r="G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row>
    <row r="811" spans="2:59" x14ac:dyDescent="0.25">
      <c r="B811" s="2"/>
      <c r="C811" s="2"/>
      <c r="D811" s="2"/>
      <c r="E811" s="2"/>
      <c r="F811" s="2"/>
      <c r="G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row>
    <row r="812" spans="2:59" x14ac:dyDescent="0.25">
      <c r="B812" s="2"/>
      <c r="C812" s="2"/>
      <c r="D812" s="2"/>
      <c r="E812" s="2"/>
      <c r="F812" s="2"/>
      <c r="G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row>
    <row r="813" spans="2:59" x14ac:dyDescent="0.25">
      <c r="B813" s="2"/>
      <c r="C813" s="2"/>
      <c r="D813" s="2"/>
      <c r="E813" s="2"/>
      <c r="F813" s="2"/>
      <c r="G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row>
    <row r="814" spans="2:59" x14ac:dyDescent="0.25">
      <c r="B814" s="2"/>
      <c r="C814" s="2"/>
      <c r="D814" s="2"/>
      <c r="E814" s="2"/>
      <c r="F814" s="2"/>
      <c r="G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row>
    <row r="815" spans="2:59" x14ac:dyDescent="0.25">
      <c r="B815" s="2"/>
      <c r="C815" s="2"/>
      <c r="D815" s="2"/>
      <c r="E815" s="2"/>
      <c r="F815" s="2"/>
      <c r="G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row>
    <row r="816" spans="2:59" x14ac:dyDescent="0.25">
      <c r="B816" s="2"/>
      <c r="C816" s="2"/>
      <c r="D816" s="2"/>
      <c r="E816" s="2"/>
      <c r="F816" s="2"/>
      <c r="G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row>
    <row r="817" spans="2:59" x14ac:dyDescent="0.25">
      <c r="B817" s="2"/>
      <c r="C817" s="2"/>
      <c r="D817" s="2"/>
      <c r="E817" s="2"/>
      <c r="F817" s="2"/>
      <c r="G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row>
    <row r="818" spans="2:59" x14ac:dyDescent="0.25">
      <c r="B818" s="2"/>
      <c r="C818" s="2"/>
      <c r="D818" s="2"/>
      <c r="E818" s="2"/>
      <c r="F818" s="2"/>
      <c r="G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row>
    <row r="819" spans="2:59" x14ac:dyDescent="0.25">
      <c r="B819" s="2"/>
      <c r="C819" s="2"/>
      <c r="D819" s="2"/>
      <c r="E819" s="2"/>
      <c r="F819" s="2"/>
      <c r="G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row>
    <row r="820" spans="2:59" x14ac:dyDescent="0.25">
      <c r="B820" s="2"/>
      <c r="C820" s="2"/>
      <c r="D820" s="2"/>
      <c r="E820" s="2"/>
      <c r="F820" s="2"/>
      <c r="G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row>
    <row r="821" spans="2:59" x14ac:dyDescent="0.25">
      <c r="B821" s="2"/>
      <c r="C821" s="2"/>
      <c r="D821" s="2"/>
      <c r="E821" s="2"/>
      <c r="F821" s="2"/>
      <c r="G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row>
    <row r="822" spans="2:59" x14ac:dyDescent="0.25">
      <c r="B822" s="2"/>
      <c r="C822" s="2"/>
      <c r="D822" s="2"/>
      <c r="E822" s="2"/>
      <c r="F822" s="2"/>
      <c r="G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row>
    <row r="823" spans="2:59" x14ac:dyDescent="0.25">
      <c r="B823" s="2"/>
      <c r="C823" s="2"/>
      <c r="D823" s="2"/>
      <c r="E823" s="2"/>
      <c r="F823" s="2"/>
      <c r="G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row>
    <row r="824" spans="2:59" x14ac:dyDescent="0.25">
      <c r="B824" s="2"/>
      <c r="C824" s="2"/>
      <c r="D824" s="2"/>
      <c r="E824" s="2"/>
      <c r="F824" s="2"/>
      <c r="G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row>
    <row r="825" spans="2:59" x14ac:dyDescent="0.25">
      <c r="B825" s="2"/>
      <c r="C825" s="2"/>
      <c r="D825" s="2"/>
      <c r="E825" s="2"/>
      <c r="F825" s="2"/>
      <c r="G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row>
    <row r="826" spans="2:59" x14ac:dyDescent="0.25">
      <c r="B826" s="2"/>
      <c r="C826" s="2"/>
      <c r="D826" s="2"/>
      <c r="E826" s="2"/>
      <c r="F826" s="2"/>
      <c r="G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row>
    <row r="827" spans="2:59" x14ac:dyDescent="0.25">
      <c r="B827" s="2"/>
      <c r="C827" s="2"/>
      <c r="D827" s="2"/>
      <c r="E827" s="2"/>
      <c r="F827" s="2"/>
      <c r="G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row>
    <row r="828" spans="2:59" x14ac:dyDescent="0.25">
      <c r="B828" s="2"/>
      <c r="C828" s="2"/>
      <c r="D828" s="2"/>
      <c r="E828" s="2"/>
      <c r="F828" s="2"/>
      <c r="G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row>
    <row r="829" spans="2:59" x14ac:dyDescent="0.25">
      <c r="B829" s="2"/>
      <c r="C829" s="2"/>
      <c r="D829" s="2"/>
      <c r="E829" s="2"/>
      <c r="F829" s="2"/>
      <c r="G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row>
    <row r="830" spans="2:59" x14ac:dyDescent="0.25">
      <c r="B830" s="2"/>
      <c r="C830" s="2"/>
      <c r="D830" s="2"/>
      <c r="E830" s="2"/>
      <c r="F830" s="2"/>
      <c r="G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row>
    <row r="831" spans="2:59" x14ac:dyDescent="0.25">
      <c r="B831" s="2"/>
      <c r="C831" s="2"/>
      <c r="D831" s="2"/>
      <c r="E831" s="2"/>
      <c r="F831" s="2"/>
      <c r="G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row>
    <row r="832" spans="2:59" x14ac:dyDescent="0.25">
      <c r="B832" s="2"/>
      <c r="C832" s="2"/>
      <c r="D832" s="2"/>
      <c r="E832" s="2"/>
      <c r="F832" s="2"/>
      <c r="G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row>
    <row r="833" spans="2:59" x14ac:dyDescent="0.25">
      <c r="B833" s="2"/>
      <c r="C833" s="2"/>
      <c r="D833" s="2"/>
      <c r="E833" s="2"/>
      <c r="F833" s="2"/>
      <c r="G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row>
    <row r="834" spans="2:59" x14ac:dyDescent="0.25">
      <c r="B834" s="2"/>
      <c r="C834" s="2"/>
      <c r="D834" s="2"/>
      <c r="E834" s="2"/>
      <c r="F834" s="2"/>
      <c r="G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row>
    <row r="835" spans="2:59" x14ac:dyDescent="0.25">
      <c r="B835" s="2"/>
      <c r="C835" s="2"/>
      <c r="D835" s="2"/>
      <c r="E835" s="2"/>
      <c r="F835" s="2"/>
      <c r="G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row>
    <row r="836" spans="2:59" x14ac:dyDescent="0.25">
      <c r="B836" s="2"/>
      <c r="C836" s="2"/>
      <c r="D836" s="2"/>
      <c r="E836" s="2"/>
      <c r="F836" s="2"/>
      <c r="G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row>
    <row r="837" spans="2:59" x14ac:dyDescent="0.25">
      <c r="B837" s="2"/>
      <c r="C837" s="2"/>
      <c r="D837" s="2"/>
      <c r="E837" s="2"/>
      <c r="F837" s="2"/>
      <c r="G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row>
    <row r="838" spans="2:59" x14ac:dyDescent="0.25">
      <c r="B838" s="2"/>
      <c r="C838" s="2"/>
      <c r="D838" s="2"/>
      <c r="E838" s="2"/>
      <c r="F838" s="2"/>
      <c r="G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row>
    <row r="839" spans="2:59" x14ac:dyDescent="0.25">
      <c r="B839" s="2"/>
      <c r="C839" s="2"/>
      <c r="D839" s="2"/>
      <c r="E839" s="2"/>
      <c r="F839" s="2"/>
      <c r="G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row>
    <row r="840" spans="2:59" x14ac:dyDescent="0.25">
      <c r="B840" s="2"/>
      <c r="C840" s="2"/>
      <c r="D840" s="2"/>
      <c r="E840" s="2"/>
      <c r="F840" s="2"/>
      <c r="G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row>
    <row r="841" spans="2:59" x14ac:dyDescent="0.25">
      <c r="B841" s="2"/>
      <c r="C841" s="2"/>
      <c r="D841" s="2"/>
      <c r="E841" s="2"/>
      <c r="F841" s="2"/>
      <c r="G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row>
    <row r="842" spans="2:59" x14ac:dyDescent="0.25">
      <c r="B842" s="2"/>
      <c r="C842" s="2"/>
      <c r="D842" s="2"/>
      <c r="E842" s="2"/>
      <c r="F842" s="2"/>
      <c r="G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row>
    <row r="843" spans="2:59" x14ac:dyDescent="0.25">
      <c r="B843" s="2"/>
      <c r="C843" s="2"/>
      <c r="D843" s="2"/>
      <c r="E843" s="2"/>
      <c r="F843" s="2"/>
      <c r="G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row>
    <row r="844" spans="2:59" x14ac:dyDescent="0.25">
      <c r="B844" s="2"/>
      <c r="C844" s="2"/>
      <c r="D844" s="2"/>
      <c r="E844" s="2"/>
      <c r="F844" s="2"/>
      <c r="G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row>
    <row r="845" spans="2:59" x14ac:dyDescent="0.25">
      <c r="B845" s="2"/>
      <c r="C845" s="2"/>
      <c r="D845" s="2"/>
      <c r="E845" s="2"/>
      <c r="F845" s="2"/>
      <c r="G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row>
    <row r="846" spans="2:59" x14ac:dyDescent="0.25">
      <c r="B846" s="2"/>
      <c r="C846" s="2"/>
      <c r="D846" s="2"/>
      <c r="E846" s="2"/>
      <c r="F846" s="2"/>
      <c r="G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row>
    <row r="847" spans="2:59" x14ac:dyDescent="0.25">
      <c r="B847" s="2"/>
      <c r="C847" s="2"/>
      <c r="D847" s="2"/>
      <c r="E847" s="2"/>
      <c r="F847" s="2"/>
      <c r="G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row>
    <row r="848" spans="2:59" x14ac:dyDescent="0.25">
      <c r="B848" s="2"/>
      <c r="C848" s="2"/>
      <c r="D848" s="2"/>
      <c r="E848" s="2"/>
      <c r="F848" s="2"/>
      <c r="G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row>
    <row r="849" spans="2:59" x14ac:dyDescent="0.25">
      <c r="B849" s="2"/>
      <c r="C849" s="2"/>
      <c r="D849" s="2"/>
      <c r="E849" s="2"/>
      <c r="F849" s="2"/>
      <c r="G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row>
    <row r="850" spans="2:59" x14ac:dyDescent="0.25">
      <c r="B850" s="2"/>
      <c r="C850" s="2"/>
      <c r="D850" s="2"/>
      <c r="E850" s="2"/>
      <c r="F850" s="2"/>
      <c r="G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row>
    <row r="851" spans="2:59" x14ac:dyDescent="0.25">
      <c r="B851" s="2"/>
      <c r="C851" s="2"/>
      <c r="D851" s="2"/>
      <c r="E851" s="2"/>
      <c r="F851" s="2"/>
      <c r="G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row>
    <row r="852" spans="2:59" x14ac:dyDescent="0.25">
      <c r="B852" s="2"/>
      <c r="C852" s="2"/>
      <c r="D852" s="2"/>
      <c r="E852" s="2"/>
      <c r="F852" s="2"/>
      <c r="G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row>
    <row r="853" spans="2:59" x14ac:dyDescent="0.25">
      <c r="B853" s="2"/>
      <c r="C853" s="2"/>
      <c r="D853" s="2"/>
      <c r="E853" s="2"/>
      <c r="F853" s="2"/>
      <c r="G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row>
    <row r="854" spans="2:59" x14ac:dyDescent="0.25">
      <c r="B854" s="2"/>
      <c r="C854" s="2"/>
      <c r="D854" s="2"/>
      <c r="E854" s="2"/>
      <c r="F854" s="2"/>
      <c r="G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row>
    <row r="855" spans="2:59" x14ac:dyDescent="0.25">
      <c r="B855" s="2"/>
      <c r="C855" s="2"/>
      <c r="D855" s="2"/>
      <c r="E855" s="2"/>
      <c r="F855" s="2"/>
      <c r="G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row>
    <row r="856" spans="2:59" x14ac:dyDescent="0.25">
      <c r="B856" s="2"/>
      <c r="C856" s="2"/>
      <c r="D856" s="2"/>
      <c r="E856" s="2"/>
      <c r="F856" s="2"/>
      <c r="G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row>
    <row r="857" spans="2:59" x14ac:dyDescent="0.25">
      <c r="B857" s="2"/>
      <c r="C857" s="2"/>
      <c r="D857" s="2"/>
      <c r="E857" s="2"/>
      <c r="F857" s="2"/>
      <c r="G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row>
    <row r="858" spans="2:59" x14ac:dyDescent="0.25">
      <c r="B858" s="2"/>
      <c r="C858" s="2"/>
      <c r="D858" s="2"/>
      <c r="E858" s="2"/>
      <c r="F858" s="2"/>
      <c r="G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row>
    <row r="859" spans="2:59" x14ac:dyDescent="0.25">
      <c r="B859" s="2"/>
      <c r="C859" s="2"/>
      <c r="D859" s="2"/>
      <c r="E859" s="2"/>
      <c r="F859" s="2"/>
      <c r="G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row>
    <row r="860" spans="2:59" x14ac:dyDescent="0.25">
      <c r="B860" s="2"/>
      <c r="C860" s="2"/>
      <c r="D860" s="2"/>
      <c r="E860" s="2"/>
      <c r="F860" s="2"/>
      <c r="G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row>
    <row r="861" spans="2:59" x14ac:dyDescent="0.25">
      <c r="B861" s="2"/>
      <c r="C861" s="2"/>
      <c r="D861" s="2"/>
      <c r="E861" s="2"/>
      <c r="F861" s="2"/>
      <c r="G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row>
    <row r="862" spans="2:59" x14ac:dyDescent="0.25">
      <c r="B862" s="2"/>
      <c r="C862" s="2"/>
      <c r="D862" s="2"/>
      <c r="E862" s="2"/>
      <c r="F862" s="2"/>
      <c r="G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row>
    <row r="863" spans="2:59" x14ac:dyDescent="0.25">
      <c r="B863" s="2"/>
      <c r="C863" s="2"/>
      <c r="D863" s="2"/>
      <c r="E863" s="2"/>
      <c r="F863" s="2"/>
      <c r="G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row>
    <row r="864" spans="2:59" x14ac:dyDescent="0.25">
      <c r="B864" s="2"/>
      <c r="C864" s="2"/>
      <c r="D864" s="2"/>
      <c r="E864" s="2"/>
      <c r="F864" s="2"/>
      <c r="G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row>
    <row r="865" spans="2:59" x14ac:dyDescent="0.25">
      <c r="B865" s="2"/>
      <c r="C865" s="2"/>
      <c r="D865" s="2"/>
      <c r="E865" s="2"/>
      <c r="F865" s="2"/>
      <c r="G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row>
    <row r="866" spans="2:59" x14ac:dyDescent="0.25">
      <c r="B866" s="2"/>
      <c r="C866" s="2"/>
      <c r="D866" s="2"/>
      <c r="E866" s="2"/>
      <c r="F866" s="2"/>
      <c r="G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row>
    <row r="867" spans="2:59" x14ac:dyDescent="0.25">
      <c r="B867" s="2"/>
      <c r="C867" s="2"/>
      <c r="D867" s="2"/>
      <c r="E867" s="2"/>
      <c r="F867" s="2"/>
      <c r="G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row>
    <row r="868" spans="2:59" x14ac:dyDescent="0.25">
      <c r="B868" s="2"/>
      <c r="C868" s="2"/>
      <c r="D868" s="2"/>
      <c r="E868" s="2"/>
      <c r="F868" s="2"/>
      <c r="G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row>
    <row r="869" spans="2:59" x14ac:dyDescent="0.25">
      <c r="B869" s="2"/>
      <c r="C869" s="2"/>
      <c r="D869" s="2"/>
      <c r="E869" s="2"/>
      <c r="F869" s="2"/>
      <c r="G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row>
    <row r="870" spans="2:59" x14ac:dyDescent="0.25">
      <c r="B870" s="2"/>
      <c r="C870" s="2"/>
      <c r="D870" s="2"/>
      <c r="E870" s="2"/>
      <c r="F870" s="2"/>
      <c r="G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row>
    <row r="871" spans="2:59" x14ac:dyDescent="0.25">
      <c r="B871" s="2"/>
      <c r="C871" s="2"/>
      <c r="D871" s="2"/>
      <c r="E871" s="2"/>
      <c r="F871" s="2"/>
      <c r="G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row>
    <row r="872" spans="2:59" x14ac:dyDescent="0.25">
      <c r="B872" s="2"/>
      <c r="C872" s="2"/>
      <c r="D872" s="2"/>
      <c r="E872" s="2"/>
      <c r="F872" s="2"/>
      <c r="G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row>
    <row r="873" spans="2:59" x14ac:dyDescent="0.25">
      <c r="B873" s="2"/>
      <c r="C873" s="2"/>
      <c r="D873" s="2"/>
      <c r="E873" s="2"/>
      <c r="F873" s="2"/>
      <c r="G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row>
    <row r="874" spans="2:59" x14ac:dyDescent="0.25">
      <c r="B874" s="2"/>
      <c r="C874" s="2"/>
      <c r="D874" s="2"/>
      <c r="E874" s="2"/>
      <c r="F874" s="2"/>
      <c r="G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row>
    <row r="875" spans="2:59" x14ac:dyDescent="0.25">
      <c r="B875" s="2"/>
      <c r="C875" s="2"/>
      <c r="D875" s="2"/>
      <c r="E875" s="2"/>
      <c r="F875" s="2"/>
      <c r="G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row>
    <row r="876" spans="2:59" x14ac:dyDescent="0.25">
      <c r="B876" s="2"/>
      <c r="C876" s="2"/>
      <c r="D876" s="2"/>
      <c r="E876" s="2"/>
      <c r="F876" s="2"/>
      <c r="G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row>
    <row r="877" spans="2:59" x14ac:dyDescent="0.25">
      <c r="B877" s="2"/>
      <c r="C877" s="2"/>
      <c r="D877" s="2"/>
      <c r="E877" s="2"/>
      <c r="F877" s="2"/>
      <c r="G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row>
    <row r="878" spans="2:59" x14ac:dyDescent="0.25">
      <c r="B878" s="2"/>
      <c r="C878" s="2"/>
      <c r="D878" s="2"/>
      <c r="E878" s="2"/>
      <c r="F878" s="2"/>
      <c r="G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row>
    <row r="879" spans="2:59" x14ac:dyDescent="0.25">
      <c r="B879" s="2"/>
      <c r="C879" s="2"/>
      <c r="D879" s="2"/>
      <c r="E879" s="2"/>
      <c r="F879" s="2"/>
      <c r="G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row>
    <row r="880" spans="2:59" x14ac:dyDescent="0.25">
      <c r="B880" s="2"/>
      <c r="C880" s="2"/>
      <c r="D880" s="2"/>
      <c r="E880" s="2"/>
      <c r="F880" s="2"/>
      <c r="G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row>
    <row r="881" spans="2:59" x14ac:dyDescent="0.25">
      <c r="B881" s="2"/>
      <c r="C881" s="2"/>
      <c r="D881" s="2"/>
      <c r="E881" s="2"/>
      <c r="F881" s="2"/>
      <c r="G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row>
    <row r="882" spans="2:59" x14ac:dyDescent="0.25">
      <c r="B882" s="2"/>
      <c r="C882" s="2"/>
      <c r="D882" s="2"/>
      <c r="E882" s="2"/>
      <c r="F882" s="2"/>
      <c r="G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row>
    <row r="883" spans="2:59" x14ac:dyDescent="0.25">
      <c r="B883" s="2"/>
      <c r="C883" s="2"/>
      <c r="D883" s="2"/>
      <c r="E883" s="2"/>
      <c r="F883" s="2"/>
      <c r="G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row>
    <row r="884" spans="2:59" x14ac:dyDescent="0.25">
      <c r="B884" s="2"/>
      <c r="C884" s="2"/>
      <c r="D884" s="2"/>
      <c r="E884" s="2"/>
      <c r="F884" s="2"/>
      <c r="G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row>
    <row r="885" spans="2:59" x14ac:dyDescent="0.25">
      <c r="B885" s="2"/>
      <c r="C885" s="2"/>
      <c r="D885" s="2"/>
      <c r="E885" s="2"/>
      <c r="F885" s="2"/>
      <c r="G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row>
    <row r="886" spans="2:59" x14ac:dyDescent="0.25">
      <c r="B886" s="2"/>
      <c r="C886" s="2"/>
      <c r="D886" s="2"/>
      <c r="E886" s="2"/>
      <c r="F886" s="2"/>
      <c r="G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row>
    <row r="887" spans="2:59" x14ac:dyDescent="0.25">
      <c r="B887" s="2"/>
      <c r="C887" s="2"/>
      <c r="D887" s="2"/>
      <c r="E887" s="2"/>
      <c r="F887" s="2"/>
      <c r="G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row>
    <row r="888" spans="2:59" x14ac:dyDescent="0.25">
      <c r="B888" s="2"/>
      <c r="C888" s="2"/>
      <c r="D888" s="2"/>
      <c r="E888" s="2"/>
      <c r="F888" s="2"/>
      <c r="G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row>
    <row r="889" spans="2:59" x14ac:dyDescent="0.25">
      <c r="B889" s="2"/>
      <c r="C889" s="2"/>
      <c r="D889" s="2"/>
      <c r="E889" s="2"/>
      <c r="F889" s="2"/>
      <c r="G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row>
    <row r="890" spans="2:59" x14ac:dyDescent="0.25">
      <c r="B890" s="2"/>
      <c r="C890" s="2"/>
      <c r="D890" s="2"/>
      <c r="E890" s="2"/>
      <c r="F890" s="2"/>
      <c r="G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row>
    <row r="891" spans="2:59" x14ac:dyDescent="0.25">
      <c r="B891" s="2"/>
      <c r="C891" s="2"/>
      <c r="D891" s="2"/>
      <c r="E891" s="2"/>
      <c r="F891" s="2"/>
      <c r="G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row>
    <row r="892" spans="2:59" x14ac:dyDescent="0.25">
      <c r="B892" s="2"/>
      <c r="C892" s="2"/>
      <c r="D892" s="2"/>
      <c r="E892" s="2"/>
      <c r="F892" s="2"/>
      <c r="G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row>
    <row r="893" spans="2:59" x14ac:dyDescent="0.25">
      <c r="B893" s="2"/>
      <c r="C893" s="2"/>
      <c r="D893" s="2"/>
      <c r="E893" s="2"/>
      <c r="F893" s="2"/>
      <c r="G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row>
    <row r="894" spans="2:59" x14ac:dyDescent="0.25">
      <c r="B894" s="2"/>
      <c r="C894" s="2"/>
      <c r="D894" s="2"/>
      <c r="E894" s="2"/>
      <c r="F894" s="2"/>
      <c r="G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row>
    <row r="895" spans="2:59" x14ac:dyDescent="0.25">
      <c r="B895" s="2"/>
      <c r="C895" s="2"/>
      <c r="D895" s="2"/>
      <c r="E895" s="2"/>
      <c r="F895" s="2"/>
      <c r="G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row>
    <row r="896" spans="2:59" x14ac:dyDescent="0.25">
      <c r="B896" s="2"/>
      <c r="C896" s="2"/>
      <c r="D896" s="2"/>
      <c r="E896" s="2"/>
      <c r="F896" s="2"/>
      <c r="G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row>
    <row r="897" spans="2:59" x14ac:dyDescent="0.25">
      <c r="B897" s="2"/>
      <c r="C897" s="2"/>
      <c r="D897" s="2"/>
      <c r="E897" s="2"/>
      <c r="F897" s="2"/>
      <c r="G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row>
    <row r="898" spans="2:59" x14ac:dyDescent="0.25">
      <c r="B898" s="2"/>
      <c r="C898" s="2"/>
      <c r="D898" s="2"/>
      <c r="E898" s="2"/>
      <c r="F898" s="2"/>
      <c r="G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row>
    <row r="899" spans="2:59" x14ac:dyDescent="0.25">
      <c r="B899" s="2"/>
      <c r="C899" s="2"/>
      <c r="D899" s="2"/>
      <c r="E899" s="2"/>
      <c r="F899" s="2"/>
      <c r="G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row>
    <row r="900" spans="2:59" x14ac:dyDescent="0.25">
      <c r="B900" s="2"/>
      <c r="C900" s="2"/>
      <c r="D900" s="2"/>
      <c r="E900" s="2"/>
      <c r="F900" s="2"/>
      <c r="G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row>
    <row r="901" spans="2:59" x14ac:dyDescent="0.25">
      <c r="B901" s="2"/>
      <c r="C901" s="2"/>
      <c r="D901" s="2"/>
      <c r="E901" s="2"/>
      <c r="F901" s="2"/>
      <c r="G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row>
    <row r="902" spans="2:59" x14ac:dyDescent="0.25">
      <c r="B902" s="2"/>
      <c r="C902" s="2"/>
      <c r="D902" s="2"/>
      <c r="E902" s="2"/>
      <c r="F902" s="2"/>
      <c r="G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row>
    <row r="903" spans="2:59" x14ac:dyDescent="0.25">
      <c r="B903" s="2"/>
      <c r="C903" s="2"/>
      <c r="D903" s="2"/>
      <c r="E903" s="2"/>
      <c r="F903" s="2"/>
      <c r="G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row>
    <row r="904" spans="2:59" x14ac:dyDescent="0.25">
      <c r="B904" s="2"/>
      <c r="C904" s="2"/>
      <c r="D904" s="2"/>
      <c r="E904" s="2"/>
      <c r="F904" s="2"/>
      <c r="G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row>
    <row r="905" spans="2:59" x14ac:dyDescent="0.25">
      <c r="B905" s="2"/>
      <c r="C905" s="2"/>
      <c r="D905" s="2"/>
      <c r="E905" s="2"/>
      <c r="F905" s="2"/>
      <c r="G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row>
    <row r="906" spans="2:59" x14ac:dyDescent="0.25">
      <c r="B906" s="2"/>
      <c r="C906" s="2"/>
      <c r="D906" s="2"/>
      <c r="E906" s="2"/>
      <c r="F906" s="2"/>
      <c r="G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row>
    <row r="907" spans="2:59" x14ac:dyDescent="0.25">
      <c r="B907" s="2"/>
      <c r="C907" s="2"/>
      <c r="D907" s="2"/>
      <c r="E907" s="2"/>
      <c r="F907" s="2"/>
      <c r="G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row>
    <row r="908" spans="2:59" x14ac:dyDescent="0.25">
      <c r="B908" s="2"/>
      <c r="C908" s="2"/>
      <c r="D908" s="2"/>
      <c r="E908" s="2"/>
      <c r="F908" s="2"/>
      <c r="G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row>
    <row r="909" spans="2:59" x14ac:dyDescent="0.25">
      <c r="B909" s="2"/>
      <c r="C909" s="2"/>
      <c r="D909" s="2"/>
      <c r="E909" s="2"/>
      <c r="F909" s="2"/>
      <c r="G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row>
    <row r="910" spans="2:59" x14ac:dyDescent="0.25">
      <c r="B910" s="2"/>
      <c r="C910" s="2"/>
      <c r="D910" s="2"/>
      <c r="E910" s="2"/>
      <c r="F910" s="2"/>
      <c r="G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row>
    <row r="911" spans="2:59" x14ac:dyDescent="0.25">
      <c r="B911" s="2"/>
      <c r="C911" s="2"/>
      <c r="D911" s="2"/>
      <c r="E911" s="2"/>
      <c r="F911" s="2"/>
      <c r="G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row>
    <row r="912" spans="2:59" x14ac:dyDescent="0.25">
      <c r="B912" s="2"/>
      <c r="C912" s="2"/>
      <c r="D912" s="2"/>
      <c r="E912" s="2"/>
      <c r="F912" s="2"/>
      <c r="G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row>
    <row r="913" spans="2:59" x14ac:dyDescent="0.25">
      <c r="B913" s="2"/>
      <c r="C913" s="2"/>
      <c r="D913" s="2"/>
      <c r="E913" s="2"/>
      <c r="F913" s="2"/>
      <c r="G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row>
    <row r="914" spans="2:59" x14ac:dyDescent="0.25">
      <c r="B914" s="2"/>
      <c r="C914" s="2"/>
      <c r="D914" s="2"/>
      <c r="E914" s="2"/>
      <c r="F914" s="2"/>
      <c r="G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row>
    <row r="915" spans="2:59" x14ac:dyDescent="0.25">
      <c r="B915" s="2"/>
      <c r="C915" s="2"/>
      <c r="D915" s="2"/>
      <c r="E915" s="2"/>
      <c r="F915" s="2"/>
      <c r="G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row>
    <row r="916" spans="2:59" x14ac:dyDescent="0.25">
      <c r="B916" s="2"/>
      <c r="C916" s="2"/>
      <c r="D916" s="2"/>
      <c r="E916" s="2"/>
      <c r="F916" s="2"/>
      <c r="G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row>
    <row r="917" spans="2:59" x14ac:dyDescent="0.25">
      <c r="B917" s="2"/>
      <c r="C917" s="2"/>
      <c r="D917" s="2"/>
      <c r="E917" s="2"/>
      <c r="F917" s="2"/>
      <c r="G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row>
    <row r="918" spans="2:59" x14ac:dyDescent="0.25">
      <c r="B918" s="2"/>
      <c r="C918" s="2"/>
      <c r="D918" s="2"/>
      <c r="E918" s="2"/>
      <c r="F918" s="2"/>
      <c r="G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row>
    <row r="919" spans="2:59" x14ac:dyDescent="0.25">
      <c r="B919" s="2"/>
      <c r="C919" s="2"/>
      <c r="D919" s="2"/>
      <c r="E919" s="2"/>
      <c r="F919" s="2"/>
      <c r="G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row>
    <row r="920" spans="2:59" x14ac:dyDescent="0.25">
      <c r="B920" s="2"/>
      <c r="C920" s="2"/>
      <c r="D920" s="2"/>
      <c r="E920" s="2"/>
      <c r="F920" s="2"/>
      <c r="G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row>
    <row r="921" spans="2:59" x14ac:dyDescent="0.25">
      <c r="B921" s="2"/>
      <c r="C921" s="2"/>
      <c r="D921" s="2"/>
      <c r="E921" s="2"/>
      <c r="F921" s="2"/>
      <c r="G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row>
    <row r="922" spans="2:59" x14ac:dyDescent="0.25">
      <c r="B922" s="2"/>
      <c r="C922" s="2"/>
      <c r="D922" s="2"/>
      <c r="E922" s="2"/>
      <c r="F922" s="2"/>
      <c r="G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row>
    <row r="923" spans="2:59" x14ac:dyDescent="0.25">
      <c r="B923" s="2"/>
      <c r="C923" s="2"/>
      <c r="D923" s="2"/>
      <c r="E923" s="2"/>
      <c r="F923" s="2"/>
      <c r="G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row>
    <row r="924" spans="2:59" x14ac:dyDescent="0.25">
      <c r="B924" s="2"/>
      <c r="C924" s="2"/>
      <c r="D924" s="2"/>
      <c r="E924" s="2"/>
      <c r="F924" s="2"/>
      <c r="G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row>
    <row r="925" spans="2:59" x14ac:dyDescent="0.25">
      <c r="B925" s="2"/>
      <c r="C925" s="2"/>
      <c r="D925" s="2"/>
      <c r="E925" s="2"/>
      <c r="F925" s="2"/>
      <c r="G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row>
    <row r="926" spans="2:59" x14ac:dyDescent="0.25">
      <c r="B926" s="2"/>
      <c r="C926" s="2"/>
      <c r="D926" s="2"/>
      <c r="E926" s="2"/>
      <c r="F926" s="2"/>
      <c r="G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row>
    <row r="927" spans="2:59" x14ac:dyDescent="0.25">
      <c r="B927" s="2"/>
      <c r="C927" s="2"/>
      <c r="D927" s="2"/>
      <c r="E927" s="2"/>
      <c r="F927" s="2"/>
      <c r="G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row>
    <row r="928" spans="2:59" x14ac:dyDescent="0.25">
      <c r="B928" s="2"/>
      <c r="C928" s="2"/>
      <c r="D928" s="2"/>
      <c r="E928" s="2"/>
      <c r="F928" s="2"/>
      <c r="G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row>
    <row r="929" spans="2:59" x14ac:dyDescent="0.25">
      <c r="B929" s="2"/>
      <c r="C929" s="2"/>
      <c r="D929" s="2"/>
      <c r="E929" s="2"/>
      <c r="F929" s="2"/>
      <c r="G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row>
    <row r="930" spans="2:59" x14ac:dyDescent="0.25">
      <c r="B930" s="2"/>
      <c r="C930" s="2"/>
      <c r="D930" s="2"/>
      <c r="E930" s="2"/>
      <c r="F930" s="2"/>
      <c r="G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row>
    <row r="931" spans="2:59" x14ac:dyDescent="0.25">
      <c r="B931" s="2"/>
      <c r="C931" s="2"/>
      <c r="D931" s="2"/>
      <c r="E931" s="2"/>
      <c r="F931" s="2"/>
      <c r="G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row>
    <row r="932" spans="2:59" x14ac:dyDescent="0.25">
      <c r="B932" s="2"/>
      <c r="C932" s="2"/>
      <c r="D932" s="2"/>
      <c r="E932" s="2"/>
      <c r="F932" s="2"/>
      <c r="G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row>
    <row r="933" spans="2:59" x14ac:dyDescent="0.25">
      <c r="B933" s="2"/>
      <c r="C933" s="2"/>
      <c r="D933" s="2"/>
      <c r="E933" s="2"/>
      <c r="F933" s="2"/>
      <c r="G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row>
    <row r="934" spans="2:59" x14ac:dyDescent="0.25">
      <c r="B934" s="2"/>
      <c r="C934" s="2"/>
      <c r="D934" s="2"/>
      <c r="E934" s="2"/>
      <c r="F934" s="2"/>
      <c r="G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row>
    <row r="935" spans="2:59" x14ac:dyDescent="0.25">
      <c r="B935" s="2"/>
      <c r="C935" s="2"/>
      <c r="D935" s="2"/>
      <c r="E935" s="2"/>
      <c r="F935" s="2"/>
      <c r="G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row>
    <row r="936" spans="2:59" x14ac:dyDescent="0.25">
      <c r="B936" s="2"/>
      <c r="C936" s="2"/>
      <c r="D936" s="2"/>
      <c r="E936" s="2"/>
      <c r="F936" s="2"/>
      <c r="G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row>
    <row r="937" spans="2:59" x14ac:dyDescent="0.25">
      <c r="B937" s="2"/>
      <c r="C937" s="2"/>
      <c r="D937" s="2"/>
      <c r="E937" s="2"/>
      <c r="F937" s="2"/>
      <c r="G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row>
    <row r="938" spans="2:59" x14ac:dyDescent="0.25">
      <c r="B938" s="2"/>
      <c r="C938" s="2"/>
      <c r="D938" s="2"/>
      <c r="E938" s="2"/>
      <c r="F938" s="2"/>
      <c r="G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row>
    <row r="939" spans="2:59" x14ac:dyDescent="0.25">
      <c r="B939" s="2"/>
      <c r="C939" s="2"/>
      <c r="D939" s="2"/>
      <c r="E939" s="2"/>
      <c r="F939" s="2"/>
      <c r="G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row>
    <row r="940" spans="2:59" x14ac:dyDescent="0.25">
      <c r="B940" s="2"/>
      <c r="C940" s="2"/>
      <c r="D940" s="2"/>
      <c r="E940" s="2"/>
      <c r="F940" s="2"/>
      <c r="G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row>
    <row r="941" spans="2:59" x14ac:dyDescent="0.25">
      <c r="B941" s="2"/>
      <c r="C941" s="2"/>
      <c r="D941" s="2"/>
      <c r="E941" s="2"/>
      <c r="F941" s="2"/>
      <c r="G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row>
    <row r="942" spans="2:59" x14ac:dyDescent="0.25">
      <c r="B942" s="2"/>
      <c r="C942" s="2"/>
      <c r="D942" s="2"/>
      <c r="E942" s="2"/>
      <c r="F942" s="2"/>
      <c r="G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row>
    <row r="943" spans="2:59" x14ac:dyDescent="0.25">
      <c r="B943" s="2"/>
      <c r="C943" s="2"/>
      <c r="D943" s="2"/>
      <c r="E943" s="2"/>
      <c r="F943" s="2"/>
      <c r="G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row>
    <row r="944" spans="2:59" x14ac:dyDescent="0.25">
      <c r="B944" s="2"/>
      <c r="C944" s="2"/>
      <c r="D944" s="2"/>
      <c r="E944" s="2"/>
      <c r="F944" s="2"/>
      <c r="G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row>
    <row r="945" spans="2:59" x14ac:dyDescent="0.25">
      <c r="B945" s="2"/>
      <c r="C945" s="2"/>
      <c r="D945" s="2"/>
      <c r="E945" s="2"/>
      <c r="F945" s="2"/>
      <c r="G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row>
    <row r="946" spans="2:59" x14ac:dyDescent="0.25">
      <c r="B946" s="2"/>
      <c r="C946" s="2"/>
      <c r="D946" s="2"/>
      <c r="E946" s="2"/>
      <c r="F946" s="2"/>
      <c r="G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row>
    <row r="947" spans="2:59" x14ac:dyDescent="0.25">
      <c r="B947" s="2"/>
      <c r="C947" s="2"/>
      <c r="D947" s="2"/>
      <c r="E947" s="2"/>
      <c r="F947" s="2"/>
      <c r="G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row>
    <row r="948" spans="2:59" x14ac:dyDescent="0.25">
      <c r="B948" s="2"/>
      <c r="C948" s="2"/>
      <c r="D948" s="2"/>
      <c r="E948" s="2"/>
      <c r="F948" s="2"/>
      <c r="G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row>
    <row r="949" spans="2:59" x14ac:dyDescent="0.25">
      <c r="B949" s="2"/>
      <c r="C949" s="2"/>
      <c r="D949" s="2"/>
      <c r="E949" s="2"/>
      <c r="F949" s="2"/>
      <c r="G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row>
    <row r="950" spans="2:59" x14ac:dyDescent="0.25">
      <c r="B950" s="2"/>
      <c r="C950" s="2"/>
      <c r="D950" s="2"/>
      <c r="E950" s="2"/>
      <c r="F950" s="2"/>
      <c r="G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row>
    <row r="951" spans="2:59" x14ac:dyDescent="0.25">
      <c r="B951" s="2"/>
      <c r="C951" s="2"/>
      <c r="D951" s="2"/>
      <c r="E951" s="2"/>
      <c r="F951" s="2"/>
      <c r="G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row>
    <row r="952" spans="2:59" x14ac:dyDescent="0.25">
      <c r="B952" s="2"/>
      <c r="C952" s="2"/>
      <c r="D952" s="2"/>
      <c r="E952" s="2"/>
      <c r="F952" s="2"/>
      <c r="G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row>
    <row r="953" spans="2:59" x14ac:dyDescent="0.25">
      <c r="B953" s="2"/>
      <c r="C953" s="2"/>
      <c r="D953" s="2"/>
      <c r="E953" s="2"/>
      <c r="F953" s="2"/>
      <c r="G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row>
    <row r="954" spans="2:59" x14ac:dyDescent="0.25">
      <c r="B954" s="2"/>
      <c r="C954" s="2"/>
      <c r="D954" s="2"/>
      <c r="E954" s="2"/>
      <c r="F954" s="2"/>
      <c r="G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row>
    <row r="955" spans="2:59" x14ac:dyDescent="0.25">
      <c r="B955" s="2"/>
      <c r="C955" s="2"/>
      <c r="D955" s="2"/>
      <c r="E955" s="2"/>
      <c r="F955" s="2"/>
      <c r="G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row>
    <row r="956" spans="2:59" x14ac:dyDescent="0.25">
      <c r="B956" s="2"/>
      <c r="C956" s="2"/>
      <c r="D956" s="2"/>
      <c r="E956" s="2"/>
      <c r="F956" s="2"/>
      <c r="G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row>
    <row r="957" spans="2:59" x14ac:dyDescent="0.25">
      <c r="B957" s="2"/>
      <c r="C957" s="2"/>
      <c r="D957" s="2"/>
      <c r="E957" s="2"/>
      <c r="F957" s="2"/>
      <c r="G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row>
    <row r="958" spans="2:59" x14ac:dyDescent="0.25">
      <c r="B958" s="2"/>
      <c r="C958" s="2"/>
      <c r="D958" s="2"/>
      <c r="E958" s="2"/>
      <c r="F958" s="2"/>
      <c r="G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row>
    <row r="959" spans="2:59" x14ac:dyDescent="0.25">
      <c r="B959" s="2"/>
      <c r="C959" s="2"/>
      <c r="D959" s="2"/>
      <c r="E959" s="2"/>
      <c r="F959" s="2"/>
      <c r="G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row>
    <row r="960" spans="2:59" x14ac:dyDescent="0.25">
      <c r="B960" s="2"/>
      <c r="C960" s="2"/>
      <c r="D960" s="2"/>
      <c r="E960" s="2"/>
      <c r="F960" s="2"/>
      <c r="G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row>
    <row r="961" spans="2:59" x14ac:dyDescent="0.25">
      <c r="B961" s="2"/>
      <c r="C961" s="2"/>
      <c r="D961" s="2"/>
      <c r="E961" s="2"/>
      <c r="F961" s="2"/>
      <c r="G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row>
    <row r="962" spans="2:59" x14ac:dyDescent="0.25">
      <c r="B962" s="2"/>
      <c r="C962" s="2"/>
      <c r="D962" s="2"/>
      <c r="E962" s="2"/>
      <c r="F962" s="2"/>
      <c r="G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row>
    <row r="963" spans="2:59" x14ac:dyDescent="0.25">
      <c r="B963" s="2"/>
      <c r="C963" s="2"/>
      <c r="D963" s="2"/>
      <c r="E963" s="2"/>
      <c r="F963" s="2"/>
      <c r="G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row>
    <row r="964" spans="2:59" x14ac:dyDescent="0.25">
      <c r="B964" s="2"/>
      <c r="C964" s="2"/>
      <c r="D964" s="2"/>
      <c r="E964" s="2"/>
      <c r="F964" s="2"/>
      <c r="G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row>
    <row r="965" spans="2:59" x14ac:dyDescent="0.25">
      <c r="B965" s="2"/>
      <c r="C965" s="2"/>
      <c r="D965" s="2"/>
      <c r="E965" s="2"/>
      <c r="F965" s="2"/>
      <c r="G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row>
    <row r="966" spans="2:59" x14ac:dyDescent="0.25">
      <c r="B966" s="2"/>
      <c r="C966" s="2"/>
      <c r="D966" s="2"/>
      <c r="E966" s="2"/>
      <c r="F966" s="2"/>
      <c r="G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row>
    <row r="967" spans="2:59" x14ac:dyDescent="0.25">
      <c r="B967" s="2"/>
      <c r="C967" s="2"/>
      <c r="D967" s="2"/>
      <c r="E967" s="2"/>
      <c r="F967" s="2"/>
      <c r="G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row>
    <row r="968" spans="2:59" x14ac:dyDescent="0.25">
      <c r="B968" s="2"/>
      <c r="C968" s="2"/>
      <c r="D968" s="2"/>
      <c r="E968" s="2"/>
      <c r="F968" s="2"/>
      <c r="G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row>
    <row r="969" spans="2:59" x14ac:dyDescent="0.25">
      <c r="B969" s="2"/>
      <c r="C969" s="2"/>
      <c r="D969" s="2"/>
      <c r="E969" s="2"/>
      <c r="F969" s="2"/>
      <c r="G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row>
    <row r="970" spans="2:59" x14ac:dyDescent="0.25">
      <c r="B970" s="2"/>
      <c r="C970" s="2"/>
      <c r="D970" s="2"/>
      <c r="E970" s="2"/>
      <c r="F970" s="2"/>
      <c r="G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row>
    <row r="971" spans="2:59" x14ac:dyDescent="0.25">
      <c r="B971" s="2"/>
      <c r="C971" s="2"/>
      <c r="D971" s="2"/>
      <c r="E971" s="2"/>
      <c r="F971" s="2"/>
      <c r="G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row>
    <row r="972" spans="2:59" x14ac:dyDescent="0.25">
      <c r="B972" s="2"/>
      <c r="C972" s="2"/>
      <c r="D972" s="2"/>
      <c r="E972" s="2"/>
      <c r="F972" s="2"/>
      <c r="G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row>
    <row r="973" spans="2:59" x14ac:dyDescent="0.25">
      <c r="B973" s="2"/>
      <c r="C973" s="2"/>
      <c r="D973" s="2"/>
      <c r="E973" s="2"/>
      <c r="F973" s="2"/>
      <c r="G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row>
    <row r="974" spans="2:59" x14ac:dyDescent="0.25">
      <c r="B974" s="2"/>
      <c r="C974" s="2"/>
      <c r="D974" s="2"/>
      <c r="E974" s="2"/>
      <c r="F974" s="2"/>
      <c r="G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row>
    <row r="975" spans="2:59" x14ac:dyDescent="0.25">
      <c r="B975" s="2"/>
      <c r="C975" s="2"/>
      <c r="D975" s="2"/>
      <c r="E975" s="2"/>
      <c r="F975" s="2"/>
      <c r="G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row>
    <row r="976" spans="2:59" x14ac:dyDescent="0.25">
      <c r="B976" s="2"/>
      <c r="C976" s="2"/>
      <c r="D976" s="2"/>
      <c r="E976" s="2"/>
      <c r="F976" s="2"/>
      <c r="G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row>
    <row r="977" spans="2:59" x14ac:dyDescent="0.25">
      <c r="B977" s="2"/>
      <c r="C977" s="2"/>
      <c r="D977" s="2"/>
      <c r="E977" s="2"/>
      <c r="F977" s="2"/>
      <c r="G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row>
    <row r="978" spans="2:59" x14ac:dyDescent="0.25">
      <c r="B978" s="2"/>
      <c r="C978" s="2"/>
      <c r="D978" s="2"/>
      <c r="E978" s="2"/>
      <c r="F978" s="2"/>
      <c r="G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row>
    <row r="979" spans="2:59" x14ac:dyDescent="0.25">
      <c r="B979" s="2"/>
      <c r="C979" s="2"/>
      <c r="D979" s="2"/>
      <c r="E979" s="2"/>
      <c r="F979" s="2"/>
      <c r="G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row>
    <row r="980" spans="2:59" x14ac:dyDescent="0.25">
      <c r="B980" s="2"/>
      <c r="C980" s="2"/>
      <c r="D980" s="2"/>
      <c r="E980" s="2"/>
      <c r="F980" s="2"/>
      <c r="G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row>
    <row r="981" spans="2:59" x14ac:dyDescent="0.25">
      <c r="B981" s="2"/>
      <c r="C981" s="2"/>
      <c r="D981" s="2"/>
      <c r="E981" s="2"/>
      <c r="F981" s="2"/>
      <c r="G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row>
    <row r="982" spans="2:59" x14ac:dyDescent="0.25">
      <c r="B982" s="2"/>
      <c r="C982" s="2"/>
      <c r="D982" s="2"/>
      <c r="E982" s="2"/>
      <c r="F982" s="2"/>
      <c r="G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row>
    <row r="983" spans="2:59" x14ac:dyDescent="0.25">
      <c r="B983" s="2"/>
      <c r="C983" s="2"/>
      <c r="D983" s="2"/>
      <c r="E983" s="2"/>
      <c r="F983" s="2"/>
      <c r="G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row>
    <row r="984" spans="2:59" x14ac:dyDescent="0.25">
      <c r="B984" s="2"/>
      <c r="C984" s="2"/>
      <c r="D984" s="2"/>
      <c r="E984" s="2"/>
      <c r="F984" s="2"/>
      <c r="G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row>
    <row r="985" spans="2:59" x14ac:dyDescent="0.25">
      <c r="B985" s="2"/>
      <c r="C985" s="2"/>
      <c r="D985" s="2"/>
      <c r="E985" s="2"/>
      <c r="F985" s="2"/>
      <c r="G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row>
    <row r="986" spans="2:59" x14ac:dyDescent="0.25">
      <c r="B986" s="2"/>
      <c r="C986" s="2"/>
      <c r="D986" s="2"/>
      <c r="E986" s="2"/>
      <c r="F986" s="2"/>
      <c r="G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row>
    <row r="987" spans="2:59" x14ac:dyDescent="0.25">
      <c r="B987" s="2"/>
      <c r="C987" s="2"/>
      <c r="D987" s="2"/>
      <c r="E987" s="2"/>
      <c r="F987" s="2"/>
      <c r="G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row>
    <row r="988" spans="2:59" x14ac:dyDescent="0.25">
      <c r="B988" s="2"/>
      <c r="C988" s="2"/>
      <c r="D988" s="2"/>
      <c r="E988" s="2"/>
      <c r="F988" s="2"/>
      <c r="G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row>
    <row r="989" spans="2:59" x14ac:dyDescent="0.25">
      <c r="B989" s="2"/>
      <c r="C989" s="2"/>
      <c r="D989" s="2"/>
      <c r="E989" s="2"/>
      <c r="F989" s="2"/>
      <c r="G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row>
    <row r="990" spans="2:59" x14ac:dyDescent="0.25">
      <c r="B990" s="2"/>
      <c r="C990" s="2"/>
      <c r="D990" s="2"/>
      <c r="E990" s="2"/>
      <c r="F990" s="2"/>
      <c r="G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row>
    <row r="991" spans="2:59" x14ac:dyDescent="0.25">
      <c r="B991" s="2"/>
      <c r="C991" s="2"/>
      <c r="D991" s="2"/>
      <c r="E991" s="2"/>
      <c r="F991" s="2"/>
      <c r="G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row>
    <row r="992" spans="2:59" x14ac:dyDescent="0.25">
      <c r="B992" s="2"/>
      <c r="C992" s="2"/>
      <c r="D992" s="2"/>
      <c r="E992" s="2"/>
      <c r="F992" s="2"/>
      <c r="G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row>
    <row r="993" spans="2:59" x14ac:dyDescent="0.25">
      <c r="B993" s="2"/>
      <c r="C993" s="2"/>
      <c r="D993" s="2"/>
      <c r="E993" s="2"/>
      <c r="F993" s="2"/>
      <c r="G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row>
    <row r="994" spans="2:59" x14ac:dyDescent="0.25">
      <c r="B994" s="2"/>
      <c r="C994" s="2"/>
      <c r="D994" s="2"/>
      <c r="E994" s="2"/>
      <c r="F994" s="2"/>
      <c r="G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row>
    <row r="995" spans="2:59" x14ac:dyDescent="0.25">
      <c r="B995" s="2"/>
      <c r="C995" s="2"/>
      <c r="D995" s="2"/>
      <c r="E995" s="2"/>
      <c r="F995" s="2"/>
      <c r="G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row>
    <row r="996" spans="2:59" x14ac:dyDescent="0.25">
      <c r="B996" s="2"/>
      <c r="C996" s="2"/>
      <c r="D996" s="2"/>
      <c r="E996" s="2"/>
      <c r="F996" s="2"/>
      <c r="G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row>
    <row r="997" spans="2:59" x14ac:dyDescent="0.25">
      <c r="B997" s="2"/>
      <c r="C997" s="2"/>
      <c r="D997" s="2"/>
      <c r="E997" s="2"/>
      <c r="F997" s="2"/>
      <c r="G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row>
    <row r="998" spans="2:59" x14ac:dyDescent="0.25">
      <c r="B998" s="2"/>
      <c r="C998" s="2"/>
      <c r="D998" s="2"/>
      <c r="E998" s="2"/>
      <c r="F998" s="2"/>
      <c r="G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row>
    <row r="999" spans="2:59" x14ac:dyDescent="0.25">
      <c r="B999" s="2"/>
      <c r="C999" s="2"/>
      <c r="D999" s="2"/>
      <c r="E999" s="2"/>
      <c r="F999" s="2"/>
      <c r="G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row>
    <row r="1000" spans="2:59" x14ac:dyDescent="0.25">
      <c r="B1000" s="2"/>
      <c r="C1000" s="2"/>
      <c r="D1000" s="2"/>
      <c r="E1000" s="2"/>
      <c r="F1000" s="2"/>
      <c r="G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row>
    <row r="1001" spans="2:59" x14ac:dyDescent="0.25">
      <c r="B1001" s="2"/>
      <c r="C1001" s="2"/>
      <c r="D1001" s="2"/>
      <c r="E1001" s="2"/>
      <c r="F1001" s="2"/>
      <c r="G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row>
    <row r="1002" spans="2:59" x14ac:dyDescent="0.25">
      <c r="B1002" s="2"/>
      <c r="C1002" s="2"/>
      <c r="D1002" s="2"/>
      <c r="E1002" s="2"/>
      <c r="F1002" s="2"/>
      <c r="G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row>
    <row r="1003" spans="2:59" x14ac:dyDescent="0.25">
      <c r="B1003" s="2"/>
      <c r="C1003" s="2"/>
      <c r="D1003" s="2"/>
      <c r="E1003" s="2"/>
      <c r="F1003" s="2"/>
      <c r="G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row>
    <row r="1004" spans="2:59" x14ac:dyDescent="0.25">
      <c r="B1004" s="2"/>
      <c r="C1004" s="2"/>
      <c r="D1004" s="2"/>
      <c r="E1004" s="2"/>
      <c r="F1004" s="2"/>
      <c r="G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row>
    <row r="1005" spans="2:59" x14ac:dyDescent="0.25">
      <c r="B1005" s="2"/>
      <c r="C1005" s="2"/>
      <c r="D1005" s="2"/>
      <c r="E1005" s="2"/>
      <c r="F1005" s="2"/>
      <c r="G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row>
    <row r="1006" spans="2:59" x14ac:dyDescent="0.25">
      <c r="B1006" s="2"/>
      <c r="C1006" s="2"/>
      <c r="D1006" s="2"/>
      <c r="E1006" s="2"/>
      <c r="F1006" s="2"/>
      <c r="G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row>
    <row r="1007" spans="2:59" x14ac:dyDescent="0.25">
      <c r="B1007" s="2"/>
      <c r="C1007" s="2"/>
      <c r="D1007" s="2"/>
      <c r="E1007" s="2"/>
      <c r="F1007" s="2"/>
      <c r="G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row>
    <row r="1008" spans="2:59" x14ac:dyDescent="0.25">
      <c r="B1008" s="2"/>
      <c r="C1008" s="2"/>
      <c r="D1008" s="2"/>
      <c r="E1008" s="2"/>
      <c r="F1008" s="2"/>
      <c r="G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row>
    <row r="1009" spans="2:59" x14ac:dyDescent="0.25">
      <c r="B1009" s="2"/>
      <c r="C1009" s="2"/>
      <c r="D1009" s="2"/>
      <c r="E1009" s="2"/>
      <c r="F1009" s="2"/>
      <c r="G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row>
    <row r="1010" spans="2:59" x14ac:dyDescent="0.25">
      <c r="B1010" s="2"/>
      <c r="C1010" s="2"/>
      <c r="D1010" s="2"/>
      <c r="E1010" s="2"/>
      <c r="F1010" s="2"/>
      <c r="G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row>
    <row r="1011" spans="2:59" x14ac:dyDescent="0.25">
      <c r="B1011" s="2"/>
      <c r="C1011" s="2"/>
      <c r="D1011" s="2"/>
      <c r="E1011" s="2"/>
      <c r="F1011" s="2"/>
      <c r="G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row>
    <row r="1012" spans="2:59" x14ac:dyDescent="0.25">
      <c r="B1012" s="2"/>
      <c r="C1012" s="2"/>
      <c r="D1012" s="2"/>
      <c r="E1012" s="2"/>
      <c r="F1012" s="2"/>
      <c r="G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row>
    <row r="1013" spans="2:59" x14ac:dyDescent="0.25">
      <c r="B1013" s="2"/>
      <c r="C1013" s="2"/>
      <c r="D1013" s="2"/>
      <c r="E1013" s="2"/>
      <c r="F1013" s="2"/>
      <c r="G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row>
    <row r="1014" spans="2:59" x14ac:dyDescent="0.25">
      <c r="B1014" s="2"/>
      <c r="C1014" s="2"/>
      <c r="D1014" s="2"/>
      <c r="E1014" s="2"/>
      <c r="F1014" s="2"/>
      <c r="G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row>
    <row r="1015" spans="2:59" x14ac:dyDescent="0.25">
      <c r="B1015" s="2"/>
      <c r="C1015" s="2"/>
      <c r="D1015" s="2"/>
      <c r="E1015" s="2"/>
      <c r="F1015" s="2"/>
      <c r="G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row>
    <row r="1016" spans="2:59" x14ac:dyDescent="0.25">
      <c r="B1016" s="2"/>
      <c r="C1016" s="2"/>
      <c r="D1016" s="2"/>
      <c r="E1016" s="2"/>
      <c r="F1016" s="2"/>
      <c r="G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row>
    <row r="1017" spans="2:59" x14ac:dyDescent="0.25">
      <c r="B1017" s="2"/>
      <c r="C1017" s="2"/>
      <c r="D1017" s="2"/>
      <c r="E1017" s="2"/>
      <c r="F1017" s="2"/>
      <c r="G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row>
    <row r="1018" spans="2:59" x14ac:dyDescent="0.25">
      <c r="B1018" s="2"/>
      <c r="C1018" s="2"/>
      <c r="D1018" s="2"/>
      <c r="E1018" s="2"/>
      <c r="F1018" s="2"/>
      <c r="G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row>
    <row r="1019" spans="2:59" x14ac:dyDescent="0.25">
      <c r="B1019" s="2"/>
      <c r="C1019" s="2"/>
      <c r="D1019" s="2"/>
      <c r="E1019" s="2"/>
      <c r="F1019" s="2"/>
      <c r="G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row>
    <row r="1020" spans="2:59" x14ac:dyDescent="0.25">
      <c r="B1020" s="2"/>
      <c r="C1020" s="2"/>
      <c r="D1020" s="2"/>
      <c r="E1020" s="2"/>
      <c r="F1020" s="2"/>
      <c r="G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row>
    <row r="1021" spans="2:59" x14ac:dyDescent="0.25">
      <c r="B1021" s="2"/>
      <c r="C1021" s="2"/>
      <c r="D1021" s="2"/>
      <c r="E1021" s="2"/>
      <c r="F1021" s="2"/>
      <c r="G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row>
    <row r="1022" spans="2:59" x14ac:dyDescent="0.25">
      <c r="B1022" s="2"/>
      <c r="C1022" s="2"/>
      <c r="D1022" s="2"/>
      <c r="E1022" s="2"/>
      <c r="F1022" s="2"/>
      <c r="G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row>
    <row r="1023" spans="2:59" x14ac:dyDescent="0.25">
      <c r="B1023" s="2"/>
      <c r="C1023" s="2"/>
      <c r="D1023" s="2"/>
      <c r="E1023" s="2"/>
      <c r="F1023" s="2"/>
      <c r="G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row>
    <row r="1024" spans="2:59" x14ac:dyDescent="0.25">
      <c r="B1024" s="2"/>
      <c r="C1024" s="2"/>
      <c r="D1024" s="2"/>
      <c r="E1024" s="2"/>
      <c r="F1024" s="2"/>
      <c r="G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row>
    <row r="1025" spans="2:59" x14ac:dyDescent="0.25">
      <c r="B1025" s="2"/>
      <c r="C1025" s="2"/>
      <c r="D1025" s="2"/>
      <c r="E1025" s="2"/>
      <c r="F1025" s="2"/>
      <c r="G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row>
    <row r="1026" spans="2:59" x14ac:dyDescent="0.25">
      <c r="B1026" s="2"/>
      <c r="C1026" s="2"/>
      <c r="D1026" s="2"/>
      <c r="E1026" s="2"/>
      <c r="F1026" s="2"/>
      <c r="G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row>
    <row r="1027" spans="2:59" x14ac:dyDescent="0.25">
      <c r="B1027" s="2"/>
      <c r="C1027" s="2"/>
      <c r="D1027" s="2"/>
      <c r="E1027" s="2"/>
      <c r="F1027" s="2"/>
      <c r="G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row>
    <row r="1028" spans="2:59" x14ac:dyDescent="0.25">
      <c r="B1028" s="2"/>
      <c r="C1028" s="2"/>
      <c r="D1028" s="2"/>
      <c r="E1028" s="2"/>
      <c r="F1028" s="2"/>
      <c r="G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row>
    <row r="1029" spans="2:59" x14ac:dyDescent="0.25">
      <c r="B1029" s="2"/>
      <c r="C1029" s="2"/>
      <c r="D1029" s="2"/>
      <c r="E1029" s="2"/>
      <c r="F1029" s="2"/>
      <c r="G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row>
    <row r="1030" spans="2:59" x14ac:dyDescent="0.25">
      <c r="B1030" s="2"/>
      <c r="C1030" s="2"/>
      <c r="D1030" s="2"/>
      <c r="E1030" s="2"/>
      <c r="F1030" s="2"/>
      <c r="G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row>
    <row r="1031" spans="2:59" x14ac:dyDescent="0.25">
      <c r="B1031" s="2"/>
      <c r="C1031" s="2"/>
      <c r="D1031" s="2"/>
      <c r="E1031" s="2"/>
      <c r="F1031" s="2"/>
      <c r="G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row>
    <row r="1032" spans="2:59" x14ac:dyDescent="0.25">
      <c r="B1032" s="2"/>
      <c r="C1032" s="2"/>
      <c r="D1032" s="2"/>
      <c r="E1032" s="2"/>
      <c r="F1032" s="2"/>
      <c r="G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row>
    <row r="1033" spans="2:59" x14ac:dyDescent="0.25">
      <c r="B1033" s="2"/>
      <c r="C1033" s="2"/>
      <c r="D1033" s="2"/>
      <c r="E1033" s="2"/>
      <c r="F1033" s="2"/>
      <c r="G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row>
    <row r="1034" spans="2:59" x14ac:dyDescent="0.25">
      <c r="B1034" s="2"/>
      <c r="C1034" s="2"/>
      <c r="D1034" s="2"/>
      <c r="E1034" s="2"/>
      <c r="F1034" s="2"/>
      <c r="G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row>
    <row r="1035" spans="2:59" x14ac:dyDescent="0.25">
      <c r="B1035" s="2"/>
      <c r="C1035" s="2"/>
      <c r="D1035" s="2"/>
      <c r="E1035" s="2"/>
      <c r="F1035" s="2"/>
      <c r="G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row>
    <row r="1036" spans="2:59" x14ac:dyDescent="0.25">
      <c r="B1036" s="2"/>
      <c r="C1036" s="2"/>
      <c r="D1036" s="2"/>
      <c r="E1036" s="2"/>
      <c r="F1036" s="2"/>
      <c r="G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row>
    <row r="1037" spans="2:59" x14ac:dyDescent="0.25">
      <c r="B1037" s="2"/>
      <c r="C1037" s="2"/>
      <c r="D1037" s="2"/>
      <c r="E1037" s="2"/>
      <c r="F1037" s="2"/>
      <c r="G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row>
    <row r="1038" spans="2:59" x14ac:dyDescent="0.25">
      <c r="B1038" s="2"/>
      <c r="C1038" s="2"/>
      <c r="D1038" s="2"/>
      <c r="E1038" s="2"/>
      <c r="F1038" s="2"/>
      <c r="G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row>
    <row r="1039" spans="2:59" x14ac:dyDescent="0.25">
      <c r="B1039" s="2"/>
      <c r="C1039" s="2"/>
      <c r="D1039" s="2"/>
      <c r="E1039" s="2"/>
      <c r="F1039" s="2"/>
      <c r="G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row>
    <row r="1040" spans="2:59" x14ac:dyDescent="0.25">
      <c r="B1040" s="2"/>
      <c r="C1040" s="2"/>
      <c r="D1040" s="2"/>
      <c r="E1040" s="2"/>
      <c r="F1040" s="2"/>
      <c r="G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row>
    <row r="1041" spans="2:59" x14ac:dyDescent="0.25">
      <c r="B1041" s="2"/>
      <c r="C1041" s="2"/>
      <c r="D1041" s="2"/>
      <c r="E1041" s="2"/>
      <c r="F1041" s="2"/>
      <c r="G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row>
    <row r="1042" spans="2:59" x14ac:dyDescent="0.25">
      <c r="B1042" s="2"/>
      <c r="C1042" s="2"/>
      <c r="D1042" s="2"/>
      <c r="E1042" s="2"/>
      <c r="F1042" s="2"/>
      <c r="G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row>
    <row r="1043" spans="2:59" x14ac:dyDescent="0.25">
      <c r="B1043" s="2"/>
      <c r="C1043" s="2"/>
      <c r="D1043" s="2"/>
      <c r="E1043" s="2"/>
      <c r="F1043" s="2"/>
      <c r="G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row>
    <row r="1044" spans="2:59" x14ac:dyDescent="0.25">
      <c r="B1044" s="2"/>
      <c r="C1044" s="2"/>
      <c r="D1044" s="2"/>
      <c r="E1044" s="2"/>
      <c r="F1044" s="2"/>
      <c r="G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row>
    <row r="1045" spans="2:59" x14ac:dyDescent="0.25">
      <c r="B1045" s="2"/>
      <c r="C1045" s="2"/>
      <c r="D1045" s="2"/>
      <c r="E1045" s="2"/>
      <c r="F1045" s="2"/>
      <c r="G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row>
    <row r="1046" spans="2:59" x14ac:dyDescent="0.25">
      <c r="B1046" s="2"/>
      <c r="C1046" s="2"/>
      <c r="D1046" s="2"/>
      <c r="E1046" s="2"/>
      <c r="F1046" s="2"/>
      <c r="G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row>
    <row r="1047" spans="2:59" x14ac:dyDescent="0.25">
      <c r="B1047" s="2"/>
      <c r="C1047" s="2"/>
      <c r="D1047" s="2"/>
      <c r="E1047" s="2"/>
      <c r="F1047" s="2"/>
      <c r="G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row>
    <row r="1048" spans="2:59" x14ac:dyDescent="0.25">
      <c r="B1048" s="2"/>
      <c r="C1048" s="2"/>
      <c r="D1048" s="2"/>
      <c r="E1048" s="2"/>
      <c r="F1048" s="2"/>
      <c r="G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row>
    <row r="1049" spans="2:59" x14ac:dyDescent="0.25">
      <c r="B1049" s="2"/>
      <c r="C1049" s="2"/>
      <c r="D1049" s="2"/>
      <c r="E1049" s="2"/>
      <c r="F1049" s="2"/>
      <c r="G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row>
    <row r="1050" spans="2:59" x14ac:dyDescent="0.25">
      <c r="B1050" s="2"/>
      <c r="C1050" s="2"/>
      <c r="D1050" s="2"/>
      <c r="E1050" s="2"/>
      <c r="F1050" s="2"/>
      <c r="G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row>
    <row r="1051" spans="2:59" x14ac:dyDescent="0.25">
      <c r="B1051" s="2"/>
      <c r="C1051" s="2"/>
      <c r="D1051" s="2"/>
      <c r="E1051" s="2"/>
      <c r="F1051" s="2"/>
      <c r="G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row>
    <row r="1052" spans="2:59" x14ac:dyDescent="0.25">
      <c r="B1052" s="2"/>
      <c r="C1052" s="2"/>
      <c r="D1052" s="2"/>
      <c r="E1052" s="2"/>
      <c r="F1052" s="2"/>
      <c r="G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row>
    <row r="1053" spans="2:59" x14ac:dyDescent="0.25">
      <c r="B1053" s="2"/>
      <c r="C1053" s="2"/>
      <c r="D1053" s="2"/>
      <c r="E1053" s="2"/>
      <c r="F1053" s="2"/>
      <c r="G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row>
    <row r="1054" spans="2:59" x14ac:dyDescent="0.25">
      <c r="B1054" s="2"/>
      <c r="C1054" s="2"/>
      <c r="D1054" s="2"/>
      <c r="E1054" s="2"/>
      <c r="F1054" s="2"/>
      <c r="G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row>
    <row r="1055" spans="2:59" x14ac:dyDescent="0.25">
      <c r="B1055" s="2"/>
      <c r="C1055" s="2"/>
      <c r="D1055" s="2"/>
      <c r="E1055" s="2"/>
      <c r="F1055" s="2"/>
      <c r="G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row>
    <row r="1056" spans="2:59" x14ac:dyDescent="0.25">
      <c r="B1056" s="2"/>
      <c r="C1056" s="2"/>
      <c r="D1056" s="2"/>
      <c r="E1056" s="2"/>
      <c r="F1056" s="2"/>
      <c r="G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row>
    <row r="1057" spans="2:59" x14ac:dyDescent="0.25">
      <c r="B1057" s="2"/>
      <c r="C1057" s="2"/>
      <c r="D1057" s="2"/>
      <c r="E1057" s="2"/>
      <c r="F1057" s="2"/>
      <c r="G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row>
    <row r="1058" spans="2:59" x14ac:dyDescent="0.25">
      <c r="B1058" s="2"/>
      <c r="C1058" s="2"/>
      <c r="D1058" s="2"/>
      <c r="E1058" s="2"/>
      <c r="F1058" s="2"/>
      <c r="G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row>
    <row r="1059" spans="2:59" x14ac:dyDescent="0.25">
      <c r="B1059" s="2"/>
      <c r="C1059" s="2"/>
      <c r="D1059" s="2"/>
      <c r="E1059" s="2"/>
      <c r="F1059" s="2"/>
      <c r="G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row>
    <row r="1060" spans="2:59" x14ac:dyDescent="0.25">
      <c r="B1060" s="2"/>
      <c r="C1060" s="2"/>
      <c r="D1060" s="2"/>
      <c r="E1060" s="2"/>
      <c r="F1060" s="2"/>
      <c r="G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row>
    <row r="1061" spans="2:59" x14ac:dyDescent="0.25">
      <c r="B1061" s="2"/>
      <c r="C1061" s="2"/>
      <c r="D1061" s="2"/>
      <c r="E1061" s="2"/>
      <c r="F1061" s="2"/>
      <c r="G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row>
    <row r="1062" spans="2:59" x14ac:dyDescent="0.25">
      <c r="B1062" s="2"/>
      <c r="C1062" s="2"/>
      <c r="D1062" s="2"/>
      <c r="E1062" s="2"/>
      <c r="F1062" s="2"/>
      <c r="G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row>
    <row r="1063" spans="2:59" x14ac:dyDescent="0.25">
      <c r="B1063" s="2"/>
      <c r="C1063" s="2"/>
      <c r="D1063" s="2"/>
      <c r="E1063" s="2"/>
      <c r="F1063" s="2"/>
      <c r="G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row>
    <row r="1064" spans="2:59" x14ac:dyDescent="0.25">
      <c r="B1064" s="2"/>
      <c r="C1064" s="2"/>
      <c r="D1064" s="2"/>
      <c r="E1064" s="2"/>
      <c r="F1064" s="2"/>
      <c r="G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row>
    <row r="1065" spans="2:59" x14ac:dyDescent="0.25">
      <c r="B1065" s="2"/>
      <c r="C1065" s="2"/>
      <c r="D1065" s="2"/>
      <c r="E1065" s="2"/>
      <c r="F1065" s="2"/>
      <c r="G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row>
    <row r="1066" spans="2:59" x14ac:dyDescent="0.25">
      <c r="B1066" s="2"/>
      <c r="C1066" s="2"/>
      <c r="D1066" s="2"/>
      <c r="E1066" s="2"/>
      <c r="F1066" s="2"/>
      <c r="G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row>
    <row r="1067" spans="2:59" x14ac:dyDescent="0.25">
      <c r="B1067" s="2"/>
      <c r="C1067" s="2"/>
      <c r="D1067" s="2"/>
      <c r="E1067" s="2"/>
      <c r="F1067" s="2"/>
      <c r="G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row>
    <row r="1068" spans="2:59" x14ac:dyDescent="0.25">
      <c r="B1068" s="2"/>
      <c r="C1068" s="2"/>
      <c r="D1068" s="2"/>
      <c r="E1068" s="2"/>
      <c r="F1068" s="2"/>
      <c r="G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row>
    <row r="1069" spans="2:59" x14ac:dyDescent="0.25">
      <c r="B1069" s="2"/>
      <c r="C1069" s="2"/>
      <c r="D1069" s="2"/>
      <c r="E1069" s="2"/>
      <c r="F1069" s="2"/>
      <c r="G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row>
    <row r="1070" spans="2:59" x14ac:dyDescent="0.25">
      <c r="B1070" s="2"/>
      <c r="C1070" s="2"/>
      <c r="D1070" s="2"/>
      <c r="E1070" s="2"/>
      <c r="F1070" s="2"/>
      <c r="G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row>
    <row r="1071" spans="2:59" x14ac:dyDescent="0.25">
      <c r="B1071" s="2"/>
      <c r="C1071" s="2"/>
      <c r="D1071" s="2"/>
      <c r="E1071" s="2"/>
      <c r="F1071" s="2"/>
      <c r="G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row>
    <row r="1072" spans="2:59" x14ac:dyDescent="0.25">
      <c r="B1072" s="2"/>
      <c r="C1072" s="2"/>
      <c r="D1072" s="2"/>
      <c r="E1072" s="2"/>
      <c r="F1072" s="2"/>
      <c r="G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row>
    <row r="1073" spans="2:59" x14ac:dyDescent="0.25">
      <c r="B1073" s="2"/>
      <c r="C1073" s="2"/>
      <c r="D1073" s="2"/>
      <c r="E1073" s="2"/>
      <c r="F1073" s="2"/>
      <c r="G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row>
    <row r="1074" spans="2:59" x14ac:dyDescent="0.25">
      <c r="B1074" s="2"/>
      <c r="C1074" s="2"/>
      <c r="D1074" s="2"/>
      <c r="E1074" s="2"/>
      <c r="F1074" s="2"/>
      <c r="G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row>
    <row r="1075" spans="2:59" x14ac:dyDescent="0.25">
      <c r="B1075" s="2"/>
      <c r="C1075" s="2"/>
      <c r="D1075" s="2"/>
      <c r="E1075" s="2"/>
      <c r="F1075" s="2"/>
      <c r="G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row>
    <row r="1076" spans="2:59" x14ac:dyDescent="0.25">
      <c r="B1076" s="2"/>
      <c r="C1076" s="2"/>
      <c r="D1076" s="2"/>
      <c r="E1076" s="2"/>
      <c r="F1076" s="2"/>
      <c r="G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row>
    <row r="1077" spans="2:59" x14ac:dyDescent="0.25">
      <c r="B1077" s="2"/>
      <c r="C1077" s="2"/>
      <c r="D1077" s="2"/>
      <c r="E1077" s="2"/>
      <c r="F1077" s="2"/>
      <c r="G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row>
    <row r="1078" spans="2:59" x14ac:dyDescent="0.25">
      <c r="B1078" s="2"/>
      <c r="C1078" s="2"/>
      <c r="D1078" s="2"/>
      <c r="E1078" s="2"/>
      <c r="F1078" s="2"/>
      <c r="G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row>
    <row r="1079" spans="2:59" x14ac:dyDescent="0.25">
      <c r="B1079" s="2"/>
      <c r="C1079" s="2"/>
      <c r="D1079" s="2"/>
      <c r="E1079" s="2"/>
      <c r="F1079" s="2"/>
      <c r="G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row>
    <row r="1080" spans="2:59" x14ac:dyDescent="0.25">
      <c r="B1080" s="2"/>
      <c r="C1080" s="2"/>
      <c r="D1080" s="2"/>
      <c r="E1080" s="2"/>
      <c r="F1080" s="2"/>
      <c r="G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row>
    <row r="1081" spans="2:59" x14ac:dyDescent="0.25">
      <c r="B1081" s="2"/>
      <c r="C1081" s="2"/>
      <c r="D1081" s="2"/>
      <c r="E1081" s="2"/>
      <c r="F1081" s="2"/>
      <c r="G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row>
    <row r="1082" spans="2:59" x14ac:dyDescent="0.25">
      <c r="B1082" s="2"/>
      <c r="C1082" s="2"/>
      <c r="D1082" s="2"/>
      <c r="E1082" s="2"/>
      <c r="F1082" s="2"/>
      <c r="G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row>
    <row r="1083" spans="2:59" x14ac:dyDescent="0.25">
      <c r="B1083" s="2"/>
      <c r="C1083" s="2"/>
      <c r="D1083" s="2"/>
      <c r="E1083" s="2"/>
      <c r="F1083" s="2"/>
      <c r="G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row>
    <row r="1084" spans="2:59" x14ac:dyDescent="0.25">
      <c r="B1084" s="2"/>
      <c r="C1084" s="2"/>
      <c r="D1084" s="2"/>
      <c r="E1084" s="2"/>
      <c r="F1084" s="2"/>
      <c r="G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row>
    <row r="1085" spans="2:59" x14ac:dyDescent="0.25">
      <c r="B1085" s="2"/>
      <c r="C1085" s="2"/>
      <c r="D1085" s="2"/>
      <c r="E1085" s="2"/>
      <c r="F1085" s="2"/>
      <c r="G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row>
    <row r="1086" spans="2:59" x14ac:dyDescent="0.25">
      <c r="B1086" s="2"/>
      <c r="C1086" s="2"/>
      <c r="D1086" s="2"/>
      <c r="E1086" s="2"/>
      <c r="F1086" s="2"/>
      <c r="G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row>
    <row r="1087" spans="2:59" x14ac:dyDescent="0.25">
      <c r="B1087" s="2"/>
      <c r="C1087" s="2"/>
      <c r="D1087" s="2"/>
      <c r="E1087" s="2"/>
      <c r="F1087" s="2"/>
      <c r="G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c r="BG1087" s="2"/>
    </row>
    <row r="1088" spans="2:59" x14ac:dyDescent="0.25">
      <c r="B1088" s="2"/>
      <c r="C1088" s="2"/>
      <c r="D1088" s="2"/>
      <c r="E1088" s="2"/>
      <c r="F1088" s="2"/>
      <c r="G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c r="BG1088" s="2"/>
    </row>
    <row r="1089" spans="2:59" x14ac:dyDescent="0.25">
      <c r="B1089" s="2"/>
      <c r="C1089" s="2"/>
      <c r="D1089" s="2"/>
      <c r="E1089" s="2"/>
      <c r="F1089" s="2"/>
      <c r="G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c r="BG1089" s="2"/>
    </row>
    <row r="1090" spans="2:59" x14ac:dyDescent="0.25">
      <c r="B1090" s="2"/>
      <c r="C1090" s="2"/>
      <c r="D1090" s="2"/>
      <c r="E1090" s="2"/>
      <c r="F1090" s="2"/>
      <c r="G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row>
    <row r="1091" spans="2:59" x14ac:dyDescent="0.25">
      <c r="B1091" s="2"/>
      <c r="C1091" s="2"/>
      <c r="D1091" s="2"/>
      <c r="E1091" s="2"/>
      <c r="F1091" s="2"/>
      <c r="G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row>
    <row r="1092" spans="2:59" x14ac:dyDescent="0.25">
      <c r="B1092" s="2"/>
      <c r="C1092" s="2"/>
      <c r="D1092" s="2"/>
      <c r="E1092" s="2"/>
      <c r="F1092" s="2"/>
      <c r="G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c r="BG1092" s="2"/>
    </row>
    <row r="1093" spans="2:59" x14ac:dyDescent="0.25">
      <c r="B1093" s="2"/>
      <c r="C1093" s="2"/>
      <c r="D1093" s="2"/>
      <c r="E1093" s="2"/>
      <c r="F1093" s="2"/>
      <c r="G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row>
    <row r="1094" spans="2:59" x14ac:dyDescent="0.25">
      <c r="B1094" s="2"/>
      <c r="C1094" s="2"/>
      <c r="D1094" s="2"/>
      <c r="E1094" s="2"/>
      <c r="F1094" s="2"/>
      <c r="G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c r="BG1094" s="2"/>
    </row>
    <row r="1095" spans="2:59" x14ac:dyDescent="0.25">
      <c r="B1095" s="2"/>
      <c r="C1095" s="2"/>
      <c r="D1095" s="2"/>
      <c r="E1095" s="2"/>
      <c r="F1095" s="2"/>
      <c r="G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c r="BG1095" s="2"/>
    </row>
    <row r="1096" spans="2:59" x14ac:dyDescent="0.25">
      <c r="B1096" s="2"/>
      <c r="C1096" s="2"/>
      <c r="D1096" s="2"/>
      <c r="E1096" s="2"/>
      <c r="F1096" s="2"/>
      <c r="G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c r="BF1096" s="2"/>
      <c r="BG1096" s="2"/>
    </row>
    <row r="1097" spans="2:59" x14ac:dyDescent="0.25">
      <c r="B1097" s="2"/>
      <c r="C1097" s="2"/>
      <c r="D1097" s="2"/>
      <c r="E1097" s="2"/>
      <c r="F1097" s="2"/>
      <c r="G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c r="BF1097" s="2"/>
      <c r="BG1097" s="2"/>
    </row>
    <row r="1098" spans="2:59" x14ac:dyDescent="0.25">
      <c r="B1098" s="2"/>
      <c r="C1098" s="2"/>
      <c r="D1098" s="2"/>
      <c r="E1098" s="2"/>
      <c r="F1098" s="2"/>
      <c r="G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c r="BF1098" s="2"/>
      <c r="BG1098" s="2"/>
    </row>
    <row r="1099" spans="2:59" x14ac:dyDescent="0.25">
      <c r="B1099" s="2"/>
      <c r="C1099" s="2"/>
      <c r="D1099" s="2"/>
      <c r="E1099" s="2"/>
      <c r="F1099" s="2"/>
      <c r="G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c r="BF1099" s="2"/>
      <c r="BG1099" s="2"/>
    </row>
    <row r="1100" spans="2:59" x14ac:dyDescent="0.25">
      <c r="B1100" s="2"/>
      <c r="C1100" s="2"/>
      <c r="D1100" s="2"/>
      <c r="E1100" s="2"/>
      <c r="F1100" s="2"/>
      <c r="G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c r="BF1100" s="2"/>
      <c r="BG1100" s="2"/>
    </row>
    <row r="1101" spans="2:59" x14ac:dyDescent="0.25">
      <c r="B1101" s="2"/>
      <c r="C1101" s="2"/>
      <c r="D1101" s="2"/>
      <c r="E1101" s="2"/>
      <c r="F1101" s="2"/>
      <c r="G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c r="BE1101" s="2"/>
      <c r="BF1101" s="2"/>
      <c r="BG1101" s="2"/>
    </row>
    <row r="1102" spans="2:59" x14ac:dyDescent="0.25">
      <c r="B1102" s="2"/>
      <c r="C1102" s="2"/>
      <c r="D1102" s="2"/>
      <c r="E1102" s="2"/>
      <c r="F1102" s="2"/>
      <c r="G1102" s="2"/>
      <c r="Q1102" s="2"/>
      <c r="R1102" s="2"/>
      <c r="S1102" s="2"/>
      <c r="T1102" s="2"/>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c r="BE1102" s="2"/>
      <c r="BF1102" s="2"/>
      <c r="BG1102" s="2"/>
    </row>
    <row r="1103" spans="2:59" x14ac:dyDescent="0.25">
      <c r="B1103" s="2"/>
      <c r="C1103" s="2"/>
      <c r="D1103" s="2"/>
      <c r="E1103" s="2"/>
      <c r="F1103" s="2"/>
      <c r="G1103" s="2"/>
      <c r="Q1103" s="2"/>
      <c r="R1103" s="2"/>
      <c r="S1103" s="2"/>
      <c r="T1103" s="2"/>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c r="BE1103" s="2"/>
      <c r="BF1103" s="2"/>
      <c r="BG1103" s="2"/>
    </row>
    <row r="1104" spans="2:59" x14ac:dyDescent="0.25">
      <c r="B1104" s="2"/>
      <c r="C1104" s="2"/>
      <c r="D1104" s="2"/>
      <c r="E1104" s="2"/>
      <c r="F1104" s="2"/>
      <c r="G1104" s="2"/>
      <c r="Q1104" s="2"/>
      <c r="R1104" s="2"/>
      <c r="S1104" s="2"/>
      <c r="T1104" s="2"/>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c r="BE1104" s="2"/>
      <c r="BF1104" s="2"/>
      <c r="BG1104" s="2"/>
    </row>
    <row r="1105" spans="2:59" x14ac:dyDescent="0.25">
      <c r="B1105" s="2"/>
      <c r="C1105" s="2"/>
      <c r="D1105" s="2"/>
      <c r="E1105" s="2"/>
      <c r="F1105" s="2"/>
      <c r="G1105" s="2"/>
      <c r="Q1105" s="2"/>
      <c r="R1105" s="2"/>
      <c r="S1105" s="2"/>
      <c r="T1105" s="2"/>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c r="BE1105" s="2"/>
      <c r="BF1105" s="2"/>
      <c r="BG1105" s="2"/>
    </row>
    <row r="1106" spans="2:59" x14ac:dyDescent="0.25">
      <c r="B1106" s="2"/>
      <c r="C1106" s="2"/>
      <c r="D1106" s="2"/>
      <c r="E1106" s="2"/>
      <c r="F1106" s="2"/>
      <c r="G1106" s="2"/>
      <c r="Q1106" s="2"/>
      <c r="R1106" s="2"/>
      <c r="S1106" s="2"/>
      <c r="T1106" s="2"/>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c r="BE1106" s="2"/>
      <c r="BF1106" s="2"/>
      <c r="BG1106" s="2"/>
    </row>
    <row r="1107" spans="2:59" x14ac:dyDescent="0.25">
      <c r="B1107" s="2"/>
      <c r="C1107" s="2"/>
      <c r="D1107" s="2"/>
      <c r="E1107" s="2"/>
      <c r="F1107" s="2"/>
      <c r="G1107" s="2"/>
      <c r="Q1107" s="2"/>
      <c r="R1107" s="2"/>
      <c r="S1107" s="2"/>
      <c r="T1107" s="2"/>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c r="BE1107" s="2"/>
      <c r="BF1107" s="2"/>
      <c r="BG1107" s="2"/>
    </row>
    <row r="1108" spans="2:59" x14ac:dyDescent="0.25">
      <c r="B1108" s="2"/>
      <c r="C1108" s="2"/>
      <c r="D1108" s="2"/>
      <c r="E1108" s="2"/>
      <c r="F1108" s="2"/>
      <c r="G1108" s="2"/>
      <c r="Q1108" s="2"/>
      <c r="R1108" s="2"/>
      <c r="S1108" s="2"/>
      <c r="T1108" s="2"/>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c r="BE1108" s="2"/>
      <c r="BF1108" s="2"/>
      <c r="BG1108" s="2"/>
    </row>
    <row r="1109" spans="2:59" x14ac:dyDescent="0.25">
      <c r="B1109" s="2"/>
      <c r="C1109" s="2"/>
      <c r="D1109" s="2"/>
      <c r="E1109" s="2"/>
      <c r="F1109" s="2"/>
      <c r="G1109" s="2"/>
      <c r="Q1109" s="2"/>
      <c r="R1109" s="2"/>
      <c r="S1109" s="2"/>
      <c r="T1109" s="2"/>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c r="AT1109" s="2"/>
      <c r="AU1109" s="2"/>
      <c r="AV1109" s="2"/>
      <c r="AW1109" s="2"/>
      <c r="AX1109" s="2"/>
      <c r="AY1109" s="2"/>
      <c r="AZ1109" s="2"/>
      <c r="BA1109" s="2"/>
      <c r="BB1109" s="2"/>
      <c r="BC1109" s="2"/>
      <c r="BD1109" s="2"/>
      <c r="BE1109" s="2"/>
      <c r="BF1109" s="2"/>
      <c r="BG1109" s="2"/>
    </row>
    <row r="1110" spans="2:59" x14ac:dyDescent="0.25">
      <c r="B1110" s="2"/>
      <c r="C1110" s="2"/>
      <c r="D1110" s="2"/>
      <c r="E1110" s="2"/>
      <c r="F1110" s="2"/>
      <c r="G1110" s="2"/>
      <c r="Q1110" s="2"/>
      <c r="R1110" s="2"/>
      <c r="S1110" s="2"/>
      <c r="T1110" s="2"/>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c r="BE1110" s="2"/>
      <c r="BF1110" s="2"/>
      <c r="BG1110" s="2"/>
    </row>
    <row r="1111" spans="2:59" x14ac:dyDescent="0.25">
      <c r="B1111" s="2"/>
      <c r="C1111" s="2"/>
      <c r="D1111" s="2"/>
      <c r="E1111" s="2"/>
      <c r="F1111" s="2"/>
      <c r="G1111" s="2"/>
      <c r="Q1111" s="2"/>
      <c r="R1111" s="2"/>
      <c r="S1111" s="2"/>
      <c r="T1111" s="2"/>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c r="AT1111" s="2"/>
      <c r="AU1111" s="2"/>
      <c r="AV1111" s="2"/>
      <c r="AW1111" s="2"/>
      <c r="AX1111" s="2"/>
      <c r="AY1111" s="2"/>
      <c r="AZ1111" s="2"/>
      <c r="BA1111" s="2"/>
      <c r="BB1111" s="2"/>
      <c r="BC1111" s="2"/>
      <c r="BD1111" s="2"/>
      <c r="BE1111" s="2"/>
      <c r="BF1111" s="2"/>
      <c r="BG1111" s="2"/>
    </row>
    <row r="1112" spans="2:59" x14ac:dyDescent="0.25">
      <c r="B1112" s="2"/>
      <c r="C1112" s="2"/>
      <c r="D1112" s="2"/>
      <c r="E1112" s="2"/>
      <c r="F1112" s="2"/>
      <c r="G1112" s="2"/>
      <c r="Q1112" s="2"/>
      <c r="R1112" s="2"/>
      <c r="S1112" s="2"/>
      <c r="T1112" s="2"/>
      <c r="U1112" s="2"/>
      <c r="V1112" s="2"/>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c r="AT1112" s="2"/>
      <c r="AU1112" s="2"/>
      <c r="AV1112" s="2"/>
      <c r="AW1112" s="2"/>
      <c r="AX1112" s="2"/>
      <c r="AY1112" s="2"/>
      <c r="AZ1112" s="2"/>
      <c r="BA1112" s="2"/>
      <c r="BB1112" s="2"/>
      <c r="BC1112" s="2"/>
      <c r="BD1112" s="2"/>
      <c r="BE1112" s="2"/>
      <c r="BF1112" s="2"/>
      <c r="BG1112" s="2"/>
    </row>
    <row r="1113" spans="2:59" x14ac:dyDescent="0.25">
      <c r="B1113" s="2"/>
      <c r="C1113" s="2"/>
      <c r="D1113" s="2"/>
      <c r="E1113" s="2"/>
      <c r="F1113" s="2"/>
      <c r="G1113" s="2"/>
      <c r="Q1113" s="2"/>
      <c r="R1113" s="2"/>
      <c r="S1113" s="2"/>
      <c r="T1113" s="2"/>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2"/>
      <c r="AT1113" s="2"/>
      <c r="AU1113" s="2"/>
      <c r="AV1113" s="2"/>
      <c r="AW1113" s="2"/>
      <c r="AX1113" s="2"/>
      <c r="AY1113" s="2"/>
      <c r="AZ1113" s="2"/>
      <c r="BA1113" s="2"/>
      <c r="BB1113" s="2"/>
      <c r="BC1113" s="2"/>
      <c r="BD1113" s="2"/>
      <c r="BE1113" s="2"/>
      <c r="BF1113" s="2"/>
      <c r="BG1113" s="2"/>
    </row>
    <row r="1114" spans="2:59" x14ac:dyDescent="0.25">
      <c r="B1114" s="2"/>
      <c r="C1114" s="2"/>
      <c r="D1114" s="2"/>
      <c r="E1114" s="2"/>
      <c r="F1114" s="2"/>
      <c r="G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c r="AT1114" s="2"/>
      <c r="AU1114" s="2"/>
      <c r="AV1114" s="2"/>
      <c r="AW1114" s="2"/>
      <c r="AX1114" s="2"/>
      <c r="AY1114" s="2"/>
      <c r="AZ1114" s="2"/>
      <c r="BA1114" s="2"/>
      <c r="BB1114" s="2"/>
      <c r="BC1114" s="2"/>
      <c r="BD1114" s="2"/>
      <c r="BE1114" s="2"/>
      <c r="BF1114" s="2"/>
      <c r="BG1114" s="2"/>
    </row>
    <row r="1115" spans="2:59" x14ac:dyDescent="0.25">
      <c r="B1115" s="2"/>
      <c r="C1115" s="2"/>
      <c r="D1115" s="2"/>
      <c r="E1115" s="2"/>
      <c r="F1115" s="2"/>
      <c r="G1115" s="2"/>
      <c r="Q1115" s="2"/>
      <c r="R1115" s="2"/>
      <c r="S1115" s="2"/>
      <c r="T1115" s="2"/>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c r="AT1115" s="2"/>
      <c r="AU1115" s="2"/>
      <c r="AV1115" s="2"/>
      <c r="AW1115" s="2"/>
      <c r="AX1115" s="2"/>
      <c r="AY1115" s="2"/>
      <c r="AZ1115" s="2"/>
      <c r="BA1115" s="2"/>
      <c r="BB1115" s="2"/>
      <c r="BC1115" s="2"/>
      <c r="BD1115" s="2"/>
      <c r="BE1115" s="2"/>
      <c r="BF1115" s="2"/>
      <c r="BG1115" s="2"/>
    </row>
    <row r="1116" spans="2:59" x14ac:dyDescent="0.25">
      <c r="B1116" s="2"/>
      <c r="C1116" s="2"/>
      <c r="D1116" s="2"/>
      <c r="E1116" s="2"/>
      <c r="F1116" s="2"/>
      <c r="G1116" s="2"/>
      <c r="Q1116" s="2"/>
      <c r="R1116" s="2"/>
      <c r="S1116" s="2"/>
      <c r="T1116" s="2"/>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c r="AQ1116" s="2"/>
      <c r="AR1116" s="2"/>
      <c r="AS1116" s="2"/>
      <c r="AT1116" s="2"/>
      <c r="AU1116" s="2"/>
      <c r="AV1116" s="2"/>
      <c r="AW1116" s="2"/>
      <c r="AX1116" s="2"/>
      <c r="AY1116" s="2"/>
      <c r="AZ1116" s="2"/>
      <c r="BA1116" s="2"/>
      <c r="BB1116" s="2"/>
      <c r="BC1116" s="2"/>
      <c r="BD1116" s="2"/>
      <c r="BE1116" s="2"/>
      <c r="BF1116" s="2"/>
      <c r="BG1116" s="2"/>
    </row>
    <row r="1117" spans="2:59" x14ac:dyDescent="0.25">
      <c r="B1117" s="2"/>
      <c r="C1117" s="2"/>
      <c r="D1117" s="2"/>
      <c r="E1117" s="2"/>
      <c r="F1117" s="2"/>
      <c r="G1117" s="2"/>
      <c r="Q1117" s="2"/>
      <c r="R1117" s="2"/>
      <c r="S1117" s="2"/>
      <c r="T1117" s="2"/>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c r="AQ1117" s="2"/>
      <c r="AR1117" s="2"/>
      <c r="AS1117" s="2"/>
      <c r="AT1117" s="2"/>
      <c r="AU1117" s="2"/>
      <c r="AV1117" s="2"/>
      <c r="AW1117" s="2"/>
      <c r="AX1117" s="2"/>
      <c r="AY1117" s="2"/>
      <c r="AZ1117" s="2"/>
      <c r="BA1117" s="2"/>
      <c r="BB1117" s="2"/>
      <c r="BC1117" s="2"/>
      <c r="BD1117" s="2"/>
      <c r="BE1117" s="2"/>
      <c r="BF1117" s="2"/>
      <c r="BG1117" s="2"/>
    </row>
    <row r="1118" spans="2:59" x14ac:dyDescent="0.25">
      <c r="B1118" s="2"/>
      <c r="C1118" s="2"/>
      <c r="D1118" s="2"/>
      <c r="E1118" s="2"/>
      <c r="F1118" s="2"/>
      <c r="G1118" s="2"/>
      <c r="Q1118" s="2"/>
      <c r="R1118" s="2"/>
      <c r="S1118" s="2"/>
      <c r="T1118" s="2"/>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c r="AT1118" s="2"/>
      <c r="AU1118" s="2"/>
      <c r="AV1118" s="2"/>
      <c r="AW1118" s="2"/>
      <c r="AX1118" s="2"/>
      <c r="AY1118" s="2"/>
      <c r="AZ1118" s="2"/>
      <c r="BA1118" s="2"/>
      <c r="BB1118" s="2"/>
      <c r="BC1118" s="2"/>
      <c r="BD1118" s="2"/>
      <c r="BE1118" s="2"/>
      <c r="BF1118" s="2"/>
      <c r="BG1118" s="2"/>
    </row>
    <row r="1119" spans="2:59" x14ac:dyDescent="0.25">
      <c r="B1119" s="2"/>
      <c r="C1119" s="2"/>
      <c r="D1119" s="2"/>
      <c r="E1119" s="2"/>
      <c r="F1119" s="2"/>
      <c r="G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c r="AT1119" s="2"/>
      <c r="AU1119" s="2"/>
      <c r="AV1119" s="2"/>
      <c r="AW1119" s="2"/>
      <c r="AX1119" s="2"/>
      <c r="AY1119" s="2"/>
      <c r="AZ1119" s="2"/>
      <c r="BA1119" s="2"/>
      <c r="BB1119" s="2"/>
      <c r="BC1119" s="2"/>
      <c r="BD1119" s="2"/>
      <c r="BE1119" s="2"/>
      <c r="BF1119" s="2"/>
      <c r="BG1119" s="2"/>
    </row>
    <row r="1120" spans="2:59" x14ac:dyDescent="0.25">
      <c r="B1120" s="2"/>
      <c r="C1120" s="2"/>
      <c r="D1120" s="2"/>
      <c r="E1120" s="2"/>
      <c r="F1120" s="2"/>
      <c r="G1120" s="2"/>
      <c r="Q1120" s="2"/>
      <c r="R1120" s="2"/>
      <c r="S1120" s="2"/>
      <c r="T1120" s="2"/>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c r="BE1120" s="2"/>
      <c r="BF1120" s="2"/>
      <c r="BG1120" s="2"/>
    </row>
    <row r="1121" spans="2:59" x14ac:dyDescent="0.25">
      <c r="B1121" s="2"/>
      <c r="C1121" s="2"/>
      <c r="D1121" s="2"/>
      <c r="E1121" s="2"/>
      <c r="F1121" s="2"/>
      <c r="G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BE1121" s="2"/>
      <c r="BF1121" s="2"/>
      <c r="BG1121" s="2"/>
    </row>
    <row r="1122" spans="2:59" x14ac:dyDescent="0.25">
      <c r="B1122" s="2"/>
      <c r="C1122" s="2"/>
      <c r="D1122" s="2"/>
      <c r="E1122" s="2"/>
      <c r="F1122" s="2"/>
      <c r="G1122" s="2"/>
      <c r="Q1122" s="2"/>
      <c r="R1122" s="2"/>
      <c r="S1122" s="2"/>
      <c r="T1122" s="2"/>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c r="AT1122" s="2"/>
      <c r="AU1122" s="2"/>
      <c r="AV1122" s="2"/>
      <c r="AW1122" s="2"/>
      <c r="AX1122" s="2"/>
      <c r="AY1122" s="2"/>
      <c r="AZ1122" s="2"/>
      <c r="BA1122" s="2"/>
      <c r="BB1122" s="2"/>
      <c r="BC1122" s="2"/>
      <c r="BD1122" s="2"/>
      <c r="BE1122" s="2"/>
      <c r="BF1122" s="2"/>
      <c r="BG1122" s="2"/>
    </row>
    <row r="1123" spans="2:59" x14ac:dyDescent="0.25">
      <c r="B1123" s="2"/>
      <c r="C1123" s="2"/>
      <c r="D1123" s="2"/>
      <c r="E1123" s="2"/>
      <c r="F1123" s="2"/>
      <c r="G1123" s="2"/>
      <c r="Q1123" s="2"/>
      <c r="R1123" s="2"/>
      <c r="S1123" s="2"/>
      <c r="T1123" s="2"/>
      <c r="U1123" s="2"/>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c r="AT1123" s="2"/>
      <c r="AU1123" s="2"/>
      <c r="AV1123" s="2"/>
      <c r="AW1123" s="2"/>
      <c r="AX1123" s="2"/>
      <c r="AY1123" s="2"/>
      <c r="AZ1123" s="2"/>
      <c r="BA1123" s="2"/>
      <c r="BB1123" s="2"/>
      <c r="BC1123" s="2"/>
      <c r="BD1123" s="2"/>
      <c r="BE1123" s="2"/>
      <c r="BF1123" s="2"/>
      <c r="BG1123" s="2"/>
    </row>
    <row r="1124" spans="2:59" x14ac:dyDescent="0.25">
      <c r="B1124" s="2"/>
      <c r="C1124" s="2"/>
      <c r="D1124" s="2"/>
      <c r="E1124" s="2"/>
      <c r="F1124" s="2"/>
      <c r="G1124" s="2"/>
      <c r="Q1124" s="2"/>
      <c r="R1124" s="2"/>
      <c r="S1124" s="2"/>
      <c r="T1124" s="2"/>
      <c r="U1124" s="2"/>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2"/>
      <c r="AT1124" s="2"/>
      <c r="AU1124" s="2"/>
      <c r="AV1124" s="2"/>
      <c r="AW1124" s="2"/>
      <c r="AX1124" s="2"/>
      <c r="AY1124" s="2"/>
      <c r="AZ1124" s="2"/>
      <c r="BA1124" s="2"/>
      <c r="BB1124" s="2"/>
      <c r="BC1124" s="2"/>
      <c r="BD1124" s="2"/>
      <c r="BE1124" s="2"/>
      <c r="BF1124" s="2"/>
      <c r="BG1124" s="2"/>
    </row>
    <row r="1125" spans="2:59" x14ac:dyDescent="0.25">
      <c r="B1125" s="2"/>
      <c r="C1125" s="2"/>
      <c r="D1125" s="2"/>
      <c r="E1125" s="2"/>
      <c r="F1125" s="2"/>
      <c r="G1125" s="2"/>
      <c r="Q1125" s="2"/>
      <c r="R1125" s="2"/>
      <c r="S1125" s="2"/>
      <c r="T1125" s="2"/>
      <c r="U1125" s="2"/>
      <c r="V1125" s="2"/>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c r="AT1125" s="2"/>
      <c r="AU1125" s="2"/>
      <c r="AV1125" s="2"/>
      <c r="AW1125" s="2"/>
      <c r="AX1125" s="2"/>
      <c r="AY1125" s="2"/>
      <c r="AZ1125" s="2"/>
      <c r="BA1125" s="2"/>
      <c r="BB1125" s="2"/>
      <c r="BC1125" s="2"/>
      <c r="BD1125" s="2"/>
      <c r="BE1125" s="2"/>
      <c r="BF1125" s="2"/>
      <c r="BG1125" s="2"/>
    </row>
    <row r="1126" spans="2:59" x14ac:dyDescent="0.25">
      <c r="B1126" s="2"/>
      <c r="C1126" s="2"/>
      <c r="D1126" s="2"/>
      <c r="E1126" s="2"/>
      <c r="F1126" s="2"/>
      <c r="G1126" s="2"/>
      <c r="Q1126" s="2"/>
      <c r="R1126" s="2"/>
      <c r="S1126" s="2"/>
      <c r="T1126" s="2"/>
      <c r="U1126" s="2"/>
      <c r="V1126" s="2"/>
      <c r="W1126" s="2"/>
      <c r="X1126" s="2"/>
      <c r="Y1126" s="2"/>
      <c r="Z1126" s="2"/>
      <c r="AA1126" s="2"/>
      <c r="AB1126" s="2"/>
      <c r="AC1126" s="2"/>
      <c r="AD1126" s="2"/>
      <c r="AE1126" s="2"/>
      <c r="AF1126" s="2"/>
      <c r="AG1126" s="2"/>
      <c r="AH1126" s="2"/>
      <c r="AI1126" s="2"/>
      <c r="AJ1126" s="2"/>
      <c r="AK1126" s="2"/>
      <c r="AL1126" s="2"/>
      <c r="AM1126" s="2"/>
      <c r="AN1126" s="2"/>
      <c r="AO1126" s="2"/>
      <c r="AP1126" s="2"/>
      <c r="AQ1126" s="2"/>
      <c r="AR1126" s="2"/>
      <c r="AS1126" s="2"/>
      <c r="AT1126" s="2"/>
      <c r="AU1126" s="2"/>
      <c r="AV1126" s="2"/>
      <c r="AW1126" s="2"/>
      <c r="AX1126" s="2"/>
      <c r="AY1126" s="2"/>
      <c r="AZ1126" s="2"/>
      <c r="BA1126" s="2"/>
      <c r="BB1126" s="2"/>
      <c r="BC1126" s="2"/>
      <c r="BD1126" s="2"/>
      <c r="BE1126" s="2"/>
      <c r="BF1126" s="2"/>
      <c r="BG1126" s="2"/>
    </row>
    <row r="1127" spans="2:59" x14ac:dyDescent="0.25">
      <c r="B1127" s="2"/>
      <c r="C1127" s="2"/>
      <c r="D1127" s="2"/>
      <c r="E1127" s="2"/>
      <c r="F1127" s="2"/>
      <c r="G1127" s="2"/>
      <c r="Q1127" s="2"/>
      <c r="R1127" s="2"/>
      <c r="S1127" s="2"/>
      <c r="T1127" s="2"/>
      <c r="U1127" s="2"/>
      <c r="V1127" s="2"/>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c r="AT1127" s="2"/>
      <c r="AU1127" s="2"/>
      <c r="AV1127" s="2"/>
      <c r="AW1127" s="2"/>
      <c r="AX1127" s="2"/>
      <c r="AY1127" s="2"/>
      <c r="AZ1127" s="2"/>
      <c r="BA1127" s="2"/>
      <c r="BB1127" s="2"/>
      <c r="BC1127" s="2"/>
      <c r="BD1127" s="2"/>
      <c r="BE1127" s="2"/>
      <c r="BF1127" s="2"/>
      <c r="BG1127" s="2"/>
    </row>
    <row r="1128" spans="2:59" x14ac:dyDescent="0.25">
      <c r="B1128" s="2"/>
      <c r="C1128" s="2"/>
      <c r="D1128" s="2"/>
      <c r="E1128" s="2"/>
      <c r="F1128" s="2"/>
      <c r="G1128" s="2"/>
      <c r="Q1128" s="2"/>
      <c r="R1128" s="2"/>
      <c r="S1128" s="2"/>
      <c r="T1128" s="2"/>
      <c r="U1128" s="2"/>
      <c r="V1128" s="2"/>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c r="AT1128" s="2"/>
      <c r="AU1128" s="2"/>
      <c r="AV1128" s="2"/>
      <c r="AW1128" s="2"/>
      <c r="AX1128" s="2"/>
      <c r="AY1128" s="2"/>
      <c r="AZ1128" s="2"/>
      <c r="BA1128" s="2"/>
      <c r="BB1128" s="2"/>
      <c r="BC1128" s="2"/>
      <c r="BD1128" s="2"/>
      <c r="BE1128" s="2"/>
      <c r="BF1128" s="2"/>
      <c r="BG1128" s="2"/>
    </row>
    <row r="1129" spans="2:59" x14ac:dyDescent="0.25">
      <c r="B1129" s="2"/>
      <c r="C1129" s="2"/>
      <c r="D1129" s="2"/>
      <c r="E1129" s="2"/>
      <c r="F1129" s="2"/>
      <c r="G1129" s="2"/>
      <c r="Q1129" s="2"/>
      <c r="R1129" s="2"/>
      <c r="S1129" s="2"/>
      <c r="T1129" s="2"/>
      <c r="U1129" s="2"/>
      <c r="V1129" s="2"/>
      <c r="W1129" s="2"/>
      <c r="X1129" s="2"/>
      <c r="Y1129" s="2"/>
      <c r="Z1129" s="2"/>
      <c r="AA1129" s="2"/>
      <c r="AB1129" s="2"/>
      <c r="AC1129" s="2"/>
      <c r="AD1129" s="2"/>
      <c r="AE1129" s="2"/>
      <c r="AF1129" s="2"/>
      <c r="AG1129" s="2"/>
      <c r="AH1129" s="2"/>
      <c r="AI1129" s="2"/>
      <c r="AJ1129" s="2"/>
      <c r="AK1129" s="2"/>
      <c r="AL1129" s="2"/>
      <c r="AM1129" s="2"/>
      <c r="AN1129" s="2"/>
      <c r="AO1129" s="2"/>
      <c r="AP1129" s="2"/>
      <c r="AQ1129" s="2"/>
      <c r="AR1129" s="2"/>
      <c r="AS1129" s="2"/>
      <c r="AT1129" s="2"/>
      <c r="AU1129" s="2"/>
      <c r="AV1129" s="2"/>
      <c r="AW1129" s="2"/>
      <c r="AX1129" s="2"/>
      <c r="AY1129" s="2"/>
      <c r="AZ1129" s="2"/>
      <c r="BA1129" s="2"/>
      <c r="BB1129" s="2"/>
      <c r="BC1129" s="2"/>
      <c r="BD1129" s="2"/>
      <c r="BE1129" s="2"/>
      <c r="BF1129" s="2"/>
      <c r="BG1129" s="2"/>
    </row>
  </sheetData>
  <pageMargins left="0.7" right="0.7" top="0.75" bottom="0.75" header="0.3" footer="0.3"/>
  <pageSetup scale="77" orientation="landscape"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pageSetUpPr fitToPage="1"/>
  </sheetPr>
  <dimension ref="A1:BH1083"/>
  <sheetViews>
    <sheetView workbookViewId="0"/>
  </sheetViews>
  <sheetFormatPr defaultColWidth="9.140625" defaultRowHeight="15" x14ac:dyDescent="0.25"/>
  <cols>
    <col min="1" max="1" width="73.85546875" style="6" customWidth="1"/>
    <col min="2" max="3" width="10.7109375" style="7" hidden="1" customWidth="1"/>
    <col min="4" max="4" width="10.7109375" style="17" hidden="1" customWidth="1"/>
    <col min="5" max="5" width="10.7109375" style="18" hidden="1" customWidth="1"/>
    <col min="6" max="9" width="10.7109375" style="17" hidden="1" customWidth="1"/>
    <col min="10" max="13" width="10.7109375" style="17" customWidth="1"/>
    <col min="14" max="28" width="10.7109375" style="7" customWidth="1"/>
    <col min="29" max="60" width="9.140625" style="7"/>
    <col min="61" max="16384" width="9.140625" style="2"/>
  </cols>
  <sheetData>
    <row r="1" spans="1:60" x14ac:dyDescent="0.25">
      <c r="A1" s="4" t="str">
        <f>Inputs!A1</f>
        <v>Pfizer</v>
      </c>
      <c r="B1" s="2"/>
      <c r="C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row>
    <row r="2" spans="1:60" x14ac:dyDescent="0.25">
      <c r="A2" s="5" t="s">
        <v>355</v>
      </c>
      <c r="B2" s="2"/>
      <c r="C2" s="2"/>
      <c r="M2" s="254"/>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row>
    <row r="4" spans="1:60" s="81" customFormat="1" ht="15.75" thickBot="1" x14ac:dyDescent="0.3">
      <c r="A4" s="80" t="str">
        <f>CONCATENATE("Fiscal Years Ending ",Inputs!B7)</f>
        <v>Fiscal Years Ending Dec. 31</v>
      </c>
      <c r="B4" s="81">
        <v>2012</v>
      </c>
      <c r="C4" s="81">
        <v>2013</v>
      </c>
      <c r="D4" s="81">
        <v>2014</v>
      </c>
      <c r="E4" s="81">
        <v>2015</v>
      </c>
      <c r="F4" s="81">
        <v>2016</v>
      </c>
      <c r="G4" s="81">
        <v>2017</v>
      </c>
      <c r="H4" s="81">
        <v>2018</v>
      </c>
      <c r="I4" s="81">
        <v>2019</v>
      </c>
      <c r="J4" s="81">
        <v>2020</v>
      </c>
      <c r="K4" s="81">
        <v>2021</v>
      </c>
      <c r="L4" s="81">
        <v>2022</v>
      </c>
      <c r="M4" s="81" t="s">
        <v>28</v>
      </c>
      <c r="N4" s="81" t="s">
        <v>29</v>
      </c>
      <c r="O4" s="81" t="s">
        <v>30</v>
      </c>
      <c r="P4" s="81" t="s">
        <v>31</v>
      </c>
      <c r="Q4" s="81" t="s">
        <v>32</v>
      </c>
      <c r="R4" s="81" t="s">
        <v>33</v>
      </c>
      <c r="S4" s="81" t="s">
        <v>34</v>
      </c>
      <c r="T4" s="81" t="s">
        <v>35</v>
      </c>
    </row>
    <row r="5" spans="1:60" s="9" customFormat="1" x14ac:dyDescent="0.25">
      <c r="A5" s="304" t="s">
        <v>153</v>
      </c>
      <c r="B5" s="303" t="s">
        <v>216</v>
      </c>
      <c r="C5" s="303" t="s">
        <v>216</v>
      </c>
      <c r="D5" s="303" t="s">
        <v>216</v>
      </c>
      <c r="E5" s="303" t="s">
        <v>216</v>
      </c>
      <c r="F5" s="321">
        <f>IS_Sorted!F5/IS_Sorted!F5</f>
        <v>1</v>
      </c>
      <c r="G5" s="321">
        <f>IS_Sorted!G5/IS_Sorted!G5</f>
        <v>1</v>
      </c>
      <c r="H5" s="321">
        <f>IS_Sorted!H5/IS_Sorted!H5</f>
        <v>1</v>
      </c>
      <c r="I5" s="321">
        <f>IS_Sorted!I5/IS_Sorted!I5</f>
        <v>1</v>
      </c>
      <c r="J5" s="321">
        <f>IS_Sorted!J5/IS_Sorted!J5</f>
        <v>1</v>
      </c>
      <c r="K5" s="321">
        <f>IS_Sorted!K5/IS_Sorted!K5</f>
        <v>1</v>
      </c>
      <c r="L5" s="321">
        <f>IS_Sorted!L5/IS_Sorted!L5</f>
        <v>1</v>
      </c>
      <c r="M5" s="490">
        <f>IS_Sorted!M5/IS_Sorted!M5</f>
        <v>1</v>
      </c>
      <c r="N5" s="490">
        <f>IS_Sorted!N5/IS_Sorted!N5</f>
        <v>1</v>
      </c>
      <c r="O5" s="490">
        <f>IS_Sorted!O5/IS_Sorted!O5</f>
        <v>1</v>
      </c>
      <c r="P5" s="490">
        <f>IS_Sorted!P5/IS_Sorted!P5</f>
        <v>1</v>
      </c>
      <c r="Q5" s="490">
        <f>IS_Sorted!Q5/IS_Sorted!Q5</f>
        <v>1</v>
      </c>
      <c r="R5" s="490">
        <f>IS_Sorted!R5/IS_Sorted!R5</f>
        <v>1</v>
      </c>
      <c r="S5" s="490">
        <f>IS_Sorted!S5/IS_Sorted!S5</f>
        <v>1</v>
      </c>
      <c r="T5" s="490">
        <f>IS_Sorted!T5/IS_Sorted!T5</f>
        <v>1</v>
      </c>
      <c r="U5" s="19"/>
    </row>
    <row r="6" spans="1:60" s="9" customFormat="1" x14ac:dyDescent="0.25">
      <c r="A6" s="186" t="s">
        <v>217</v>
      </c>
      <c r="B6" s="398"/>
      <c r="C6" s="398"/>
      <c r="D6" s="398"/>
      <c r="E6" s="398"/>
      <c r="F6" s="488"/>
      <c r="G6" s="488"/>
      <c r="H6" s="488"/>
      <c r="I6" s="488"/>
      <c r="J6" s="488"/>
      <c r="K6" s="488"/>
      <c r="L6" s="488"/>
    </row>
    <row r="7" spans="1:60" s="9" customFormat="1" x14ac:dyDescent="0.25">
      <c r="A7" s="219" t="s">
        <v>154</v>
      </c>
      <c r="B7" s="181"/>
      <c r="C7" s="181"/>
      <c r="D7" s="182"/>
      <c r="E7" s="182"/>
      <c r="F7" s="259">
        <f>IS_Sorted!F7/IS_Sorted!F$5</f>
        <v>0.12441314553990611</v>
      </c>
      <c r="G7" s="259">
        <f>IS_Sorted!G7/IS_Sorted!G$5</f>
        <v>9.460282419213642E-2</v>
      </c>
      <c r="H7" s="259">
        <f>IS_Sorted!H7/IS_Sorted!H$5</f>
        <v>9.0666766081980349E-2</v>
      </c>
      <c r="I7" s="259">
        <f>IS_Sorted!I7/IS_Sorted!I$5</f>
        <v>8.1333333333333327E-2</v>
      </c>
      <c r="J7" s="259">
        <f>IS_Sorted!J7/IS_Sorted!J$5</f>
        <v>9.3418917629092296E-2</v>
      </c>
      <c r="K7" s="259">
        <f>IS_Sorted!K7/IS_Sorted!K$5</f>
        <v>0.31529869107371322</v>
      </c>
      <c r="L7" s="259">
        <f>IS_Sorted!L7/IS_Sorted!L$5</f>
        <v>0.29183693810425598</v>
      </c>
      <c r="M7" s="491">
        <f>IS_Sorted!M7/IS_Sorted!M$5</f>
        <v>0.35985744654857799</v>
      </c>
      <c r="N7" s="491">
        <f>IS_Sorted!N7/IS_Sorted!N$5</f>
        <v>0.15593865942205967</v>
      </c>
      <c r="O7" s="491">
        <f>IS_Sorted!O7/IS_Sorted!O$5</f>
        <v>0.15593865942205967</v>
      </c>
      <c r="P7" s="491">
        <f>IS_Sorted!P7/IS_Sorted!P$5</f>
        <v>0.15593865942205967</v>
      </c>
      <c r="Q7" s="491">
        <f>IS_Sorted!Q7/IS_Sorted!Q$5</f>
        <v>0.15593865942205967</v>
      </c>
      <c r="R7" s="491">
        <f>IS_Sorted!R7/IS_Sorted!R$5</f>
        <v>0.15593865942205967</v>
      </c>
      <c r="S7" s="491">
        <f>IS_Sorted!S7/IS_Sorted!S$5</f>
        <v>0.15593865942205967</v>
      </c>
      <c r="T7" s="491">
        <f>IS_Sorted!T7/IS_Sorted!T$5</f>
        <v>0.15593865942205967</v>
      </c>
      <c r="U7" s="2"/>
    </row>
    <row r="8" spans="1:60" s="9" customFormat="1" x14ac:dyDescent="0.25">
      <c r="A8" s="308" t="s">
        <v>615</v>
      </c>
      <c r="B8" s="309"/>
      <c r="C8" s="309"/>
      <c r="D8" s="310"/>
      <c r="E8" s="310"/>
      <c r="F8" s="322">
        <f>IS_Sorted!F8</f>
        <v>0.87558685446009388</v>
      </c>
      <c r="G8" s="322">
        <f>IS_Sorted!G8</f>
        <v>0.90539717580786361</v>
      </c>
      <c r="H8" s="322">
        <f>IS_Sorted!H8</f>
        <v>0.90933323391801968</v>
      </c>
      <c r="I8" s="322">
        <f>IS_Sorted!I8</f>
        <v>0.91866666666666663</v>
      </c>
      <c r="J8" s="322">
        <f>IS_Sorted!J8</f>
        <v>0.90658108237090773</v>
      </c>
      <c r="K8" s="322">
        <f>IS_Sorted!K8</f>
        <v>0.68470130892628678</v>
      </c>
      <c r="L8" s="322">
        <f>IS_Sorted!L8</f>
        <v>0.70816306189574407</v>
      </c>
      <c r="M8" s="492">
        <f>IS_Sorted!M8</f>
        <v>0.64014255345142212</v>
      </c>
      <c r="N8" s="492">
        <f>IS_Sorted!N8</f>
        <v>0.84406134057794036</v>
      </c>
      <c r="O8" s="492">
        <f>IS_Sorted!O8</f>
        <v>0.84406134057794036</v>
      </c>
      <c r="P8" s="492">
        <f>IS_Sorted!P8</f>
        <v>0.84406134057794036</v>
      </c>
      <c r="Q8" s="492">
        <f>IS_Sorted!Q8</f>
        <v>0.84406134057794036</v>
      </c>
      <c r="R8" s="492">
        <f>IS_Sorted!R8</f>
        <v>0.84406134057794047</v>
      </c>
      <c r="S8" s="492">
        <f>IS_Sorted!S8</f>
        <v>0.84406134057794024</v>
      </c>
      <c r="T8" s="492">
        <f>IS_Sorted!T8</f>
        <v>0.84406134057794024</v>
      </c>
      <c r="U8" s="2"/>
    </row>
    <row r="9" spans="1:60" s="9" customFormat="1" x14ac:dyDescent="0.25">
      <c r="A9" s="219" t="s">
        <v>619</v>
      </c>
      <c r="B9" s="181"/>
      <c r="C9" s="181"/>
      <c r="D9" s="182"/>
      <c r="E9" s="182"/>
      <c r="F9" s="259">
        <f>IS_Sorted!F9/IS_Sorted!F$5</f>
        <v>3.2201272149023172E-2</v>
      </c>
      <c r="G9" s="259">
        <f>IS_Sorted!G9/IS_Sorted!G5</f>
        <v>2.8755756860655426E-2</v>
      </c>
      <c r="H9" s="259">
        <f>IS_Sorted!H9/IS_Sorted!H5</f>
        <v>2.7792793632449159E-2</v>
      </c>
      <c r="I9" s="259">
        <f>IS_Sorted!I9/IS_Sorted!I5</f>
        <v>2.7053140096618359E-2</v>
      </c>
      <c r="J9" s="259">
        <f>IS_Sorted!J9/IS_Sorted!J5</f>
        <v>3.1998663739620119E-2</v>
      </c>
      <c r="K9" s="259">
        <f>IS_Sorted!K9/IS_Sorted!K5</f>
        <v>1.8342190729258932E-2</v>
      </c>
      <c r="L9" s="259">
        <f>IS_Sorted!L9/IS_Sorted!L5</f>
        <v>1.450214292833649E-2</v>
      </c>
      <c r="M9" s="491">
        <f>IS_Sorted!M9/IS_Sorted!M5</f>
        <v>3.0138160267338503E-2</v>
      </c>
      <c r="N9" s="491">
        <f>IS_Sorted!N9/IS_Sorted!N5</f>
        <v>3.1478291344296465E-2</v>
      </c>
      <c r="O9" s="491">
        <f>IS_Sorted!O9/IS_Sorted!O5</f>
        <v>3.2517911728180304E-2</v>
      </c>
      <c r="P9" s="491">
        <f>IS_Sorted!P9/IS_Sorted!P5</f>
        <v>3.2328988323552341E-2</v>
      </c>
      <c r="Q9" s="491">
        <f>IS_Sorted!Q9/IS_Sorted!Q5</f>
        <v>3.1630182195192424E-2</v>
      </c>
      <c r="R9" s="491">
        <f>IS_Sorted!R9/IS_Sorted!R5</f>
        <v>3.2033233066729325E-2</v>
      </c>
      <c r="S9" s="491">
        <f>IS_Sorted!S9/IS_Sorted!S5</f>
        <v>3.2489425551444961E-2</v>
      </c>
      <c r="T9" s="491">
        <f>IS_Sorted!T9/IS_Sorted!T5</f>
        <v>3.1843961883986971E-2</v>
      </c>
      <c r="U9" s="2"/>
    </row>
    <row r="10" spans="1:60" s="9" customFormat="1" x14ac:dyDescent="0.25">
      <c r="A10" s="219" t="s">
        <v>158</v>
      </c>
      <c r="B10" s="181"/>
      <c r="C10" s="181"/>
      <c r="D10" s="182"/>
      <c r="E10" s="182"/>
      <c r="F10" s="259">
        <f>IS_Sorted!F10/IS_Sorted!F$5</f>
        <v>7.6783280327124032E-2</v>
      </c>
      <c r="G10" s="259">
        <f>IS_Sorted!G10/IS_Sorted!G$5</f>
        <v>9.0549233052944086E-2</v>
      </c>
      <c r="H10" s="259">
        <f>IS_Sorted!H10/IS_Sorted!H$5</f>
        <v>9.1207336850150061E-2</v>
      </c>
      <c r="I10" s="259">
        <f>IS_Sorted!I10/IS_Sorted!I$5</f>
        <v>8.9082125603864734E-2</v>
      </c>
      <c r="J10" s="259">
        <f>IS_Sorted!J10/IS_Sorted!J$5</f>
        <v>8.1989119022620974E-2</v>
      </c>
      <c r="K10" s="259">
        <f>IS_Sorted!K10/IS_Sorted!K$5</f>
        <v>4.5517173506544634E-2</v>
      </c>
      <c r="L10" s="259">
        <f>IS_Sorted!L10/IS_Sorted!L$5</f>
        <v>3.5971294727399579E-2</v>
      </c>
      <c r="M10" s="491">
        <f>IS_Sorted!M10/IS_Sorted!M$5</f>
        <v>7.4882525046546675E-2</v>
      </c>
      <c r="N10" s="491">
        <f>IS_Sorted!N10/IS_Sorted!N$5</f>
        <v>7.7211016291698992E-2</v>
      </c>
      <c r="O10" s="491">
        <f>IS_Sorted!O10/IS_Sorted!O$5</f>
        <v>7.8897933625547909E-2</v>
      </c>
      <c r="P10" s="491">
        <f>IS_Sorted!P10/IS_Sorted!P$5</f>
        <v>7.9870967741935486E-2</v>
      </c>
      <c r="Q10" s="491">
        <f>IS_Sorted!Q10/IS_Sorted!Q$5</f>
        <v>7.5986984815618219E-2</v>
      </c>
      <c r="R10" s="491">
        <f>IS_Sorted!R10/IS_Sorted!R$5</f>
        <v>6.1849782021240814E-2</v>
      </c>
      <c r="S10" s="491">
        <f>IS_Sorted!S10/IS_Sorted!S$5</f>
        <v>5.6749936328472618E-2</v>
      </c>
      <c r="T10" s="491">
        <f>IS_Sorted!T10/IS_Sorted!T$5</f>
        <v>5.0077043458320675E-2</v>
      </c>
      <c r="U10" s="2"/>
    </row>
    <row r="11" spans="1:60" s="9" customFormat="1" x14ac:dyDescent="0.25">
      <c r="A11" s="219" t="s">
        <v>155</v>
      </c>
      <c r="B11" s="181"/>
      <c r="C11" s="181"/>
      <c r="D11" s="182"/>
      <c r="E11" s="182"/>
      <c r="F11" s="259">
        <f>IS_Sorted!F11/IS_Sorted!F$5</f>
        <v>0.28087611691655306</v>
      </c>
      <c r="G11" s="259">
        <f>IS_Sorted!G11/IS_Sorted!G$5</f>
        <v>0.28135348075971528</v>
      </c>
      <c r="H11" s="259">
        <f>IS_Sorted!H11/IS_Sorted!H$5</f>
        <v>0.26944656737562211</v>
      </c>
      <c r="I11" s="259">
        <f>IS_Sorted!I11/IS_Sorted!I$5</f>
        <v>0.27729468599033819</v>
      </c>
      <c r="J11" s="259">
        <f>IS_Sorted!J11/IS_Sorted!J$5</f>
        <v>0.27715471986255608</v>
      </c>
      <c r="K11" s="259">
        <f>IS_Sorted!K11/IS_Sorted!K$5</f>
        <v>0.15627152839287473</v>
      </c>
      <c r="L11" s="259">
        <f>IS_Sorted!L11/IS_Sorted!L$5</f>
        <v>0.13632014352636301</v>
      </c>
      <c r="M11" s="491">
        <f>IS_Sorted!M11/IS_Sorted!M$5</f>
        <v>0.23981674897486041</v>
      </c>
      <c r="N11" s="491">
        <f>IS_Sorted!N11/IS_Sorted!N$5</f>
        <v>0.23981674897486038</v>
      </c>
      <c r="O11" s="491">
        <f>IS_Sorted!O11/IS_Sorted!O$5</f>
        <v>0.23981674897486036</v>
      </c>
      <c r="P11" s="491">
        <f>IS_Sorted!P11/IS_Sorted!P$5</f>
        <v>0.23981674897486038</v>
      </c>
      <c r="Q11" s="491">
        <f>IS_Sorted!Q11/IS_Sorted!Q$5</f>
        <v>0.23981674897486041</v>
      </c>
      <c r="R11" s="491">
        <f>IS_Sorted!R11/IS_Sorted!R$5</f>
        <v>0.23981674897486038</v>
      </c>
      <c r="S11" s="491">
        <f>IS_Sorted!S11/IS_Sorted!S$5</f>
        <v>0.23981674897486038</v>
      </c>
      <c r="T11" s="491">
        <f>IS_Sorted!T11/IS_Sorted!T$5</f>
        <v>0.23981674897486036</v>
      </c>
      <c r="U11" s="2"/>
    </row>
    <row r="12" spans="1:60" s="9" customFormat="1" x14ac:dyDescent="0.25">
      <c r="A12" s="219" t="s">
        <v>156</v>
      </c>
      <c r="B12" s="183"/>
      <c r="C12" s="183"/>
      <c r="D12" s="183"/>
      <c r="E12" s="183"/>
      <c r="F12" s="259">
        <f>IS_Sorted!F12/IS_Sorted!F$5</f>
        <v>0.14902317128577919</v>
      </c>
      <c r="G12" s="259">
        <f>IS_Sorted!G12/IS_Sorted!G$5</f>
        <v>0.14571994062345373</v>
      </c>
      <c r="H12" s="259">
        <f>IS_Sorted!H12/IS_Sorted!H$5</f>
        <v>0.14923481275747014</v>
      </c>
      <c r="I12" s="259">
        <f>IS_Sorted!I12/IS_Sorted!I$5</f>
        <v>0.16714975845410629</v>
      </c>
      <c r="J12" s="259">
        <f>IS_Sorted!J12/IS_Sorted!J$5</f>
        <v>0.22442015844230218</v>
      </c>
      <c r="K12" s="259">
        <f>IS_Sorted!K12/IS_Sorted!K$5</f>
        <v>0.17012351146540694</v>
      </c>
      <c r="L12" s="259">
        <f>IS_Sorted!L12/IS_Sorted!L$5</f>
        <v>0.11390411641582777</v>
      </c>
      <c r="M12" s="491">
        <f>IS_Sorted!M12/IS_Sorted!M$5</f>
        <v>0.15993935277776372</v>
      </c>
      <c r="N12" s="491">
        <f>IS_Sorted!N12/IS_Sorted!N$5</f>
        <v>0.15993935277776375</v>
      </c>
      <c r="O12" s="491">
        <f>IS_Sorted!O12/IS_Sorted!O$5</f>
        <v>0.15993935277776375</v>
      </c>
      <c r="P12" s="491">
        <f>IS_Sorted!P12/IS_Sorted!P$5</f>
        <v>0.15993935277776375</v>
      </c>
      <c r="Q12" s="491">
        <f>IS_Sorted!Q12/IS_Sorted!Q$5</f>
        <v>0.15993935277776375</v>
      </c>
      <c r="R12" s="491">
        <f>IS_Sorted!R12/IS_Sorted!R$5</f>
        <v>0.15993935277776375</v>
      </c>
      <c r="S12" s="491">
        <f>IS_Sorted!S12/IS_Sorted!S$5</f>
        <v>0.15993935277776375</v>
      </c>
      <c r="T12" s="491">
        <f>IS_Sorted!T12/IS_Sorted!T$5</f>
        <v>0.15993935277776375</v>
      </c>
      <c r="U12" s="2"/>
    </row>
    <row r="13" spans="1:60" x14ac:dyDescent="0.25">
      <c r="A13" s="219" t="s">
        <v>157</v>
      </c>
      <c r="B13" s="183"/>
      <c r="C13" s="183"/>
      <c r="D13" s="183"/>
      <c r="E13" s="183"/>
      <c r="F13" s="240" t="s">
        <v>54</v>
      </c>
      <c r="G13" s="240" t="s">
        <v>54</v>
      </c>
      <c r="H13" s="240" t="s">
        <v>54</v>
      </c>
      <c r="I13" s="240" t="s">
        <v>54</v>
      </c>
      <c r="J13" s="240" t="s">
        <v>54</v>
      </c>
      <c r="K13" s="240" t="s">
        <v>54</v>
      </c>
      <c r="L13" s="259">
        <f>IS_Sorted!L13/IS_Sorted!L$5</f>
        <v>9.4986544403468549E-3</v>
      </c>
      <c r="M13" s="463" t="s">
        <v>54</v>
      </c>
      <c r="N13" s="463" t="s">
        <v>54</v>
      </c>
      <c r="O13" s="463" t="s">
        <v>54</v>
      </c>
      <c r="P13" s="463" t="s">
        <v>54</v>
      </c>
      <c r="Q13" s="463" t="s">
        <v>54</v>
      </c>
      <c r="R13" s="463" t="s">
        <v>54</v>
      </c>
      <c r="S13" s="463" t="s">
        <v>54</v>
      </c>
      <c r="T13" s="463" t="s">
        <v>54</v>
      </c>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row>
    <row r="14" spans="1:60" s="1" customFormat="1" x14ac:dyDescent="0.25">
      <c r="A14" s="219" t="s">
        <v>737</v>
      </c>
      <c r="B14" s="181"/>
      <c r="C14" s="181"/>
      <c r="D14" s="182"/>
      <c r="E14" s="182"/>
      <c r="F14" s="259">
        <f>IS_Sorted!F14/IS_Sorted!F$5</f>
        <v>3.2636680296834773E-2</v>
      </c>
      <c r="G14" s="259">
        <f>IS_Sorted!G14/IS_Sorted!G$5</f>
        <v>9.2680698816275265E-3</v>
      </c>
      <c r="H14" s="259">
        <f>IS_Sorted!H14/IS_Sorted!H$5</f>
        <v>1.9460547654109268E-2</v>
      </c>
      <c r="I14" s="259">
        <f>IS_Sorted!I14/IS_Sorted!I$5</f>
        <v>1.4434782608695651E-2</v>
      </c>
      <c r="J14" s="259">
        <f>IS_Sorted!J14/IS_Sorted!J$5</f>
        <v>1.4317075498711463E-2</v>
      </c>
      <c r="K14" s="259">
        <f>IS_Sorted!K14/IS_Sorted!K$5</f>
        <v>9.8661549060131883E-3</v>
      </c>
      <c r="L14" s="259">
        <f>IS_Sorted!L14/IS_Sorted!L$5</f>
        <v>1.3704774244991528E-2</v>
      </c>
      <c r="M14" s="491">
        <f>IS_Sorted!M14/IS_Sorted!M$5</f>
        <v>1.6241155012997627E-2</v>
      </c>
      <c r="N14" s="491">
        <f>IS_Sorted!N14/IS_Sorted!N$5</f>
        <v>1.6241155012997627E-2</v>
      </c>
      <c r="O14" s="491">
        <f>IS_Sorted!O14/IS_Sorted!O$5</f>
        <v>1.6241155012997627E-2</v>
      </c>
      <c r="P14" s="491">
        <f>IS_Sorted!P14/IS_Sorted!P$5</f>
        <v>1.6241155012997627E-2</v>
      </c>
      <c r="Q14" s="491">
        <f>IS_Sorted!Q14/IS_Sorted!Q$5</f>
        <v>1.6241155012997627E-2</v>
      </c>
      <c r="R14" s="491">
        <f>IS_Sorted!R14/IS_Sorted!R$5</f>
        <v>1.6241155012997627E-2</v>
      </c>
      <c r="S14" s="491">
        <f>IS_Sorted!S14/IS_Sorted!S$5</f>
        <v>1.6241155012997627E-2</v>
      </c>
      <c r="T14" s="491">
        <f>IS_Sorted!T14/IS_Sorted!T$5</f>
        <v>1.6241155012997627E-2</v>
      </c>
      <c r="U14" s="2"/>
    </row>
    <row r="15" spans="1:60" s="1" customFormat="1" x14ac:dyDescent="0.25">
      <c r="A15" s="219" t="s">
        <v>178</v>
      </c>
      <c r="B15" s="184"/>
      <c r="C15" s="184"/>
      <c r="D15" s="184"/>
      <c r="E15" s="184"/>
      <c r="F15" s="259">
        <f>IS_Sorted!F15/IS_Sorted!F$5</f>
        <v>-6.9192033923973953E-2</v>
      </c>
      <c r="G15" s="259">
        <f>IS_Sorted!G15/IS_Sorted!G$5</f>
        <v>-2.5025691774825866E-2</v>
      </c>
      <c r="H15" s="259">
        <f>IS_Sorted!H15/IS_Sorted!H$5</f>
        <v>-3.9443025705072042E-2</v>
      </c>
      <c r="I15" s="259">
        <f>IS_Sorted!I15/IS_Sorted!I$5</f>
        <v>-6.9140096618357488E-2</v>
      </c>
      <c r="J15" s="259">
        <f>IS_Sorted!J15/IS_Sorted!J$5</f>
        <v>-1.5963539181063281E-2</v>
      </c>
      <c r="K15" s="259">
        <f>IS_Sorted!K15/IS_Sorted!K$5</f>
        <v>6.0008857395925597E-2</v>
      </c>
      <c r="L15" s="259">
        <f>IS_Sorted!L15/IS_Sorted!L$5</f>
        <v>-2.1628625535732083E-3</v>
      </c>
      <c r="M15" s="491">
        <f>IS_Sorted!M15/IS_Sorted!M$5</f>
        <v>6.7257175638997982E-2</v>
      </c>
      <c r="N15" s="491">
        <f>IS_Sorted!N15/IS_Sorted!N$5</f>
        <v>-2.0879492433606545E-3</v>
      </c>
      <c r="O15" s="491">
        <f>IS_Sorted!O15/IS_Sorted!O$5</f>
        <v>4.7481164347735664E-4</v>
      </c>
      <c r="P15" s="491">
        <f>IS_Sorted!P15/IS_Sorted!P$5</f>
        <v>-7.6812797315001658E-4</v>
      </c>
      <c r="Q15" s="491">
        <f>IS_Sorted!Q15/IS_Sorted!Q$5</f>
        <v>-2.7684163005145881E-3</v>
      </c>
      <c r="R15" s="491">
        <f>IS_Sorted!R15/IS_Sorted!R$5</f>
        <v>-4.6449327787775416E-3</v>
      </c>
      <c r="S15" s="491">
        <f>IS_Sorted!S15/IS_Sorted!S$5</f>
        <v>-4.4085501721867898E-3</v>
      </c>
      <c r="T15" s="491">
        <f>IS_Sorted!T15/IS_Sorted!T$5</f>
        <v>-2.1488865892321934E-3</v>
      </c>
      <c r="U15" s="2"/>
    </row>
    <row r="16" spans="1:60" s="1" customFormat="1" x14ac:dyDescent="0.25">
      <c r="A16" s="186" t="s">
        <v>219</v>
      </c>
      <c r="B16" s="183"/>
      <c r="C16" s="183"/>
      <c r="D16" s="183"/>
      <c r="E16" s="183"/>
      <c r="F16" s="259">
        <f>IS_Sorted!F16/IS_Sorted!F$5</f>
        <v>-8.8974708465848849E-3</v>
      </c>
      <c r="G16" s="259">
        <f>IS_Sorted!G16/IS_Sorted!G$5</f>
        <v>-7.4410992273436609E-3</v>
      </c>
      <c r="H16" s="259">
        <f>IS_Sorted!H16/IS_Sorted!H$5</f>
        <v>-6.2072436482934739E-3</v>
      </c>
      <c r="I16" s="259">
        <f>IS_Sorted!I16/IS_Sorted!I$5</f>
        <v>-4.3671497584541067E-3</v>
      </c>
      <c r="J16" s="259">
        <f>IS_Sorted!J16/IS_Sorted!J$5</f>
        <v>-1.7419108523432281E-3</v>
      </c>
      <c r="K16" s="259">
        <f>IS_Sorted!K16/IS_Sorted!K$5</f>
        <v>-4.4286979627989372E-4</v>
      </c>
      <c r="L16" s="259">
        <f>IS_Sorted!L16/IS_Sorted!L$5</f>
        <v>-2.5017442439948172E-3</v>
      </c>
      <c r="M16" s="491">
        <f>IS_Sorted!M16/IS_Sorted!M$5</f>
        <v>-3.5628690486745281E-4</v>
      </c>
      <c r="N16" s="491">
        <f>IS_Sorted!N16/IS_Sorted!N$5</f>
        <v>-7.0544740322528851E-3</v>
      </c>
      <c r="O16" s="491">
        <f>IS_Sorted!O16/IS_Sorted!O$5</f>
        <v>-4.3430888932329687E-3</v>
      </c>
      <c r="P16" s="491">
        <f>IS_Sorted!P16/IS_Sorted!P$5</f>
        <v>-5.1985185840147637E-3</v>
      </c>
      <c r="Q16" s="491">
        <f>IS_Sorted!Q16/IS_Sorted!Q$5</f>
        <v>-7.0159110209346426E-3</v>
      </c>
      <c r="R16" s="491">
        <f>IS_Sorted!R16/IS_Sorted!R$5</f>
        <v>-9.1465831405377028E-3</v>
      </c>
      <c r="S16" s="491">
        <f>IS_Sorted!S16/IS_Sorted!S$5</f>
        <v>-8.8793247829495239E-3</v>
      </c>
      <c r="T16" s="491">
        <f>IS_Sorted!T16/IS_Sorted!T$5</f>
        <v>-6.2848116868469651E-3</v>
      </c>
      <c r="U16" s="2"/>
    </row>
    <row r="17" spans="1:60" x14ac:dyDescent="0.25">
      <c r="A17" s="186" t="s">
        <v>220</v>
      </c>
      <c r="B17" s="184"/>
      <c r="C17" s="184"/>
      <c r="D17" s="184"/>
      <c r="E17" s="184"/>
      <c r="F17" s="259">
        <f>IS_Sorted!F17/IS_Sorted!F$5</f>
        <v>2.2451915795850371E-2</v>
      </c>
      <c r="G17" s="259">
        <f>IS_Sorted!G17/IS_Sorted!G$5</f>
        <v>2.4169299280630305E-2</v>
      </c>
      <c r="H17" s="259">
        <f>IS_Sorted!H17/IS_Sorted!H$5</f>
        <v>2.4530728652114749E-2</v>
      </c>
      <c r="I17" s="259">
        <f>IS_Sorted!I17/IS_Sorted!I$5</f>
        <v>3.0415458937198069E-2</v>
      </c>
      <c r="J17" s="259">
        <f>IS_Sorted!J17/IS_Sorted!J$5</f>
        <v>3.4575737329388186E-2</v>
      </c>
      <c r="K17" s="259">
        <f>IS_Sorted!K17/IS_Sorted!K$5</f>
        <v>1.5881802972148411E-2</v>
      </c>
      <c r="L17" s="259">
        <f>IS_Sorted!L17/IS_Sorted!L$5</f>
        <v>1.2339280374763281E-2</v>
      </c>
      <c r="M17" s="491">
        <f>IS_Sorted!M17/IS_Sorted!M$5</f>
        <v>7.1888772054260128E-2</v>
      </c>
      <c r="N17" s="491">
        <f>IS_Sorted!N17/IS_Sorted!N$5</f>
        <v>9.2418342992869398E-3</v>
      </c>
      <c r="O17" s="491">
        <f>IS_Sorted!O17/IS_Sorted!O$5</f>
        <v>9.0932100471050326E-3</v>
      </c>
      <c r="P17" s="491">
        <f>IS_Sorted!P17/IS_Sorted!P$5</f>
        <v>8.7057001212594541E-3</v>
      </c>
      <c r="Q17" s="491">
        <f>IS_Sorted!Q17/IS_Sorted!Q$5</f>
        <v>8.5228042308147615E-3</v>
      </c>
      <c r="R17" s="491">
        <f>IS_Sorted!R17/IS_Sorted!R$5</f>
        <v>8.77695987215487E-3</v>
      </c>
      <c r="S17" s="491">
        <f>IS_Sorted!S17/IS_Sorted!S$5</f>
        <v>8.7460841211574412E-3</v>
      </c>
      <c r="T17" s="491">
        <f>IS_Sorted!T17/IS_Sorted!T$5</f>
        <v>8.4112346080094814E-3</v>
      </c>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row>
    <row r="18" spans="1:60" s="1" customFormat="1" x14ac:dyDescent="0.25">
      <c r="A18" s="186" t="s">
        <v>221</v>
      </c>
      <c r="B18" s="184"/>
      <c r="C18" s="184"/>
      <c r="D18" s="184"/>
      <c r="E18" s="184"/>
      <c r="F18" s="259">
        <f>IS_Sorted!F18/IS_Sorted!F$5</f>
        <v>1.7132364076934727E-2</v>
      </c>
      <c r="G18" s="259">
        <f>IS_Sorted!G18/IS_Sorted!G$5</f>
        <v>9.496441213413009E-3</v>
      </c>
      <c r="H18" s="259">
        <f>IS_Sorted!H18/IS_Sorted!H$5</f>
        <v>9.2269838015173258E-3</v>
      </c>
      <c r="I18" s="259">
        <f>IS_Sorted!I18/IS_Sorted!I$5</f>
        <v>1.2521739130434783E-2</v>
      </c>
      <c r="J18" s="259">
        <f>IS_Sorted!J18/IS_Sorted!J$5</f>
        <v>1.8373580223346377E-2</v>
      </c>
      <c r="K18" s="259">
        <f>IS_Sorted!K18/IS_Sorted!K$5</f>
        <v>1.0542761539218581E-2</v>
      </c>
      <c r="L18" s="259">
        <f>IS_Sorted!L18/IS_Sorted!L$5</f>
        <v>8.4222067178311572E-3</v>
      </c>
      <c r="M18" s="491">
        <f>IS_Sorted!M18/IS_Sorted!M$5</f>
        <v>1.2245153814670852E-2</v>
      </c>
      <c r="N18" s="491">
        <f>IS_Sorted!N18/IS_Sorted!N$5</f>
        <v>1.2245153814670852E-2</v>
      </c>
      <c r="O18" s="491">
        <f>IS_Sorted!O18/IS_Sorted!O$5</f>
        <v>1.2245153814670853E-2</v>
      </c>
      <c r="P18" s="491">
        <f>IS_Sorted!P18/IS_Sorted!P$5</f>
        <v>1.2245153814670852E-2</v>
      </c>
      <c r="Q18" s="491">
        <f>IS_Sorted!Q18/IS_Sorted!Q$5</f>
        <v>1.2245153814670852E-2</v>
      </c>
      <c r="R18" s="491">
        <f>IS_Sorted!R18/IS_Sorted!R$5</f>
        <v>1.2245153814670852E-2</v>
      </c>
      <c r="S18" s="491">
        <f>IS_Sorted!S18/IS_Sorted!S$5</f>
        <v>1.2245153814670853E-2</v>
      </c>
      <c r="T18" s="491">
        <f>IS_Sorted!T18/IS_Sorted!T$5</f>
        <v>1.2245153814670852E-2</v>
      </c>
      <c r="U18" s="2"/>
    </row>
    <row r="19" spans="1:60" x14ac:dyDescent="0.25">
      <c r="A19" s="203" t="s">
        <v>222</v>
      </c>
      <c r="B19" s="184"/>
      <c r="C19" s="184"/>
      <c r="D19" s="184"/>
      <c r="E19" s="184"/>
      <c r="F19" s="259">
        <f>IS_Sorted!F19/IS_Sorted!F$5</f>
        <v>-9.9878842950174157E-2</v>
      </c>
      <c r="G19" s="259">
        <f>IS_Sorted!G19/IS_Sorted!G$5</f>
        <v>-5.1250333041525521E-2</v>
      </c>
      <c r="H19" s="259">
        <f>IS_Sorted!H19/IS_Sorted!H$5</f>
        <v>-6.6993494510410645E-2</v>
      </c>
      <c r="I19" s="259">
        <f>IS_Sorted!I19/IS_Sorted!I$5</f>
        <v>-0.10771014492753624</v>
      </c>
      <c r="J19" s="259">
        <f>IS_Sorted!J19/IS_Sorted!J$5</f>
        <v>-6.7170945881454613E-2</v>
      </c>
      <c r="K19" s="259">
        <f>IS_Sorted!K19/IS_Sorted!K$5</f>
        <v>3.4027162680838503E-2</v>
      </c>
      <c r="L19" s="259">
        <f>IS_Sorted!L19/IS_Sorted!L$5</f>
        <v>-2.042260540217283E-2</v>
      </c>
      <c r="M19" s="491">
        <f>IS_Sorted!M19/IS_Sorted!M$5</f>
        <v>-1.652046332506556E-2</v>
      </c>
      <c r="N19" s="491">
        <f>IS_Sorted!N19/IS_Sorted!N$5</f>
        <v>-1.652046332506556E-2</v>
      </c>
      <c r="O19" s="491">
        <f>IS_Sorted!O19/IS_Sorted!O$5</f>
        <v>-1.652046332506556E-2</v>
      </c>
      <c r="P19" s="491">
        <f>IS_Sorted!P19/IS_Sorted!P$5</f>
        <v>-1.652046332506556E-2</v>
      </c>
      <c r="Q19" s="491">
        <f>IS_Sorted!Q19/IS_Sorted!Q$5</f>
        <v>-1.652046332506556E-2</v>
      </c>
      <c r="R19" s="491">
        <f>IS_Sorted!R19/IS_Sorted!R$5</f>
        <v>-1.652046332506556E-2</v>
      </c>
      <c r="S19" s="491">
        <f>IS_Sorted!S19/IS_Sorted!S$5</f>
        <v>-1.652046332506556E-2</v>
      </c>
      <c r="T19" s="491">
        <f>IS_Sorted!T19/IS_Sorted!T$5</f>
        <v>-1.652046332506556E-2</v>
      </c>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row>
    <row r="20" spans="1:60" hidden="1" x14ac:dyDescent="0.25">
      <c r="A20" s="307" t="s">
        <v>360</v>
      </c>
      <c r="B20" s="313"/>
      <c r="C20" s="313"/>
      <c r="D20" s="313"/>
      <c r="E20" s="313"/>
      <c r="F20" s="320">
        <f>IS_Sorted!F20/IS_Sorted!F5</f>
        <v>0.23487429956080569</v>
      </c>
      <c r="G20" s="320">
        <f>IS_Sorted!G20/IS_Sorted!G5</f>
        <v>0.32472500285464162</v>
      </c>
      <c r="H20" s="320">
        <f>IS_Sorted!H20/IS_Sorted!H5</f>
        <v>0.31274814994314687</v>
      </c>
      <c r="I20" s="320">
        <f>IS_Sorted!I20/IS_Sorted!I5</f>
        <v>0.27451207729468596</v>
      </c>
      <c r="J20" s="320">
        <f>IS_Sorted!J20/IS_Sorted!J5</f>
        <v>0.26073780662403362</v>
      </c>
      <c r="K20" s="320">
        <f>IS_Sorted!K20/IS_Sorted!K5</f>
        <v>0.34743135518157664</v>
      </c>
      <c r="L20" s="320">
        <f>IS_Sorted!L20/IS_Sorted!L5</f>
        <v>0.38209907305890561</v>
      </c>
      <c r="M20" s="493">
        <f>IS_Sorted!M20/IS_Sorted!M5</f>
        <v>0.18638178701091318</v>
      </c>
      <c r="N20" s="493">
        <f>IS_Sorted!N20/IS_Sorted!N5</f>
        <v>0.39449784322466147</v>
      </c>
      <c r="O20" s="493">
        <f>IS_Sorted!O20/IS_Sorted!O5</f>
        <v>0.39602098372761568</v>
      </c>
      <c r="P20" s="493">
        <f>IS_Sorted!P20/IS_Sorted!P5</f>
        <v>0.39496696751561605</v>
      </c>
      <c r="Q20" s="493">
        <f>IS_Sorted!Q20/IS_Sorted!Q5</f>
        <v>0.39366548531661144</v>
      </c>
      <c r="R20" s="493">
        <f>IS_Sorted!R20/IS_Sorted!R5</f>
        <v>0.3913859179668116</v>
      </c>
      <c r="S20" s="493">
        <f>IS_Sorted!S20/IS_Sorted!S5</f>
        <v>0.39116610808868679</v>
      </c>
      <c r="T20" s="493">
        <f>IS_Sorted!T20/IS_Sorted!T5</f>
        <v>0.39407123533909938</v>
      </c>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row>
    <row r="21" spans="1:60" x14ac:dyDescent="0.25">
      <c r="A21" s="304" t="s">
        <v>723</v>
      </c>
      <c r="B21" s="297"/>
      <c r="C21" s="297"/>
      <c r="D21" s="297"/>
      <c r="E21" s="297"/>
      <c r="F21" s="321">
        <f>IS_Sorted!F21/IS_Sorted!F$5</f>
        <v>0.15809101923368166</v>
      </c>
      <c r="G21" s="321">
        <f>IS_Sorted!G21/IS_Sorted!G$5</f>
        <v>0.23417576980169755</v>
      </c>
      <c r="H21" s="321">
        <f>IS_Sorted!H21/IS_Sorted!H$5</f>
        <v>0.22154081309299681</v>
      </c>
      <c r="I21" s="321">
        <f>IS_Sorted!I21/IS_Sorted!I$5</f>
        <v>0.34168115942028987</v>
      </c>
      <c r="J21" s="321">
        <f>IS_Sorted!J21/IS_Sorted!J$5</f>
        <v>0.17889185835639973</v>
      </c>
      <c r="K21" s="321">
        <f>IS_Sorted!K21/IS_Sorted!K$5</f>
        <v>0.29907243381556936</v>
      </c>
      <c r="L21" s="321">
        <f>IS_Sorted!L21/IS_Sorted!L$5</f>
        <v>0.34614771254858967</v>
      </c>
      <c r="M21" s="490">
        <f>IS_Sorted!M21/IS_Sorted!M$5</f>
        <v>0.18638178701091318</v>
      </c>
      <c r="N21" s="490">
        <f>IS_Sorted!N21/IS_Sorted!N$5</f>
        <v>0.31728682693296251</v>
      </c>
      <c r="O21" s="490">
        <f>IS_Sorted!O21/IS_Sorted!O$5</f>
        <v>0.31712305010206782</v>
      </c>
      <c r="P21" s="490">
        <f>IS_Sorted!P21/IS_Sorted!P$5</f>
        <v>0.31509599977368069</v>
      </c>
      <c r="Q21" s="490">
        <f>IS_Sorted!Q21/IS_Sorted!Q$5</f>
        <v>0.31767850050099317</v>
      </c>
      <c r="R21" s="490">
        <f>IS_Sorted!R21/IS_Sorted!R$5</f>
        <v>0.32953613594557085</v>
      </c>
      <c r="S21" s="490">
        <f>IS_Sorted!S21/IS_Sorted!S$5</f>
        <v>0.33441617176021426</v>
      </c>
      <c r="T21" s="490">
        <f>IS_Sorted!T21/IS_Sorted!T$5</f>
        <v>0.34399419188077868</v>
      </c>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row>
    <row r="22" spans="1:60" s="1" customFormat="1" x14ac:dyDescent="0.25">
      <c r="A22" s="186" t="s">
        <v>193</v>
      </c>
      <c r="B22" s="184"/>
      <c r="C22" s="184"/>
      <c r="D22" s="184"/>
      <c r="E22" s="184"/>
      <c r="F22" s="259">
        <f>IS_Sorted!F22/IS_Sorted!F$5</f>
        <v>2.1259276086627289E-2</v>
      </c>
      <c r="G22" s="259">
        <f>IS_Sorted!G22/IS_Sorted!G$5</f>
        <v>-0.1722110151105698</v>
      </c>
      <c r="H22" s="259">
        <f>IS_Sorted!H22/IS_Sorted!H$5</f>
        <v>1.3160102149234812E-2</v>
      </c>
      <c r="I22" s="259">
        <f>IS_Sorted!I22/IS_Sorted!I$5</f>
        <v>2.6743961352657004E-2</v>
      </c>
      <c r="J22" s="259">
        <f>IS_Sorted!J22/IS_Sorted!J$5</f>
        <v>1.1382075021475613E-2</v>
      </c>
      <c r="K22" s="259">
        <f>IS_Sorted!K22/IS_Sorted!K$5</f>
        <v>2.2783190630843421E-2</v>
      </c>
      <c r="L22" s="259">
        <f>IS_Sorted!L22/IS_Sorted!L$5</f>
        <v>3.3170537227150403E-2</v>
      </c>
      <c r="M22" s="491">
        <f>IS_Sorted!M22/IS_Sorted!M$5</f>
        <v>4.1003993142400899E-2</v>
      </c>
      <c r="N22" s="491">
        <f>IS_Sorted!N22/IS_Sorted!N$5</f>
        <v>6.9803101925251756E-2</v>
      </c>
      <c r="O22" s="491">
        <f>IS_Sorted!O22/IS_Sorted!O$5</f>
        <v>6.9767071022454927E-2</v>
      </c>
      <c r="P22" s="491">
        <f>IS_Sorted!P22/IS_Sorted!P$5</f>
        <v>6.9321119950209759E-2</v>
      </c>
      <c r="Q22" s="491">
        <f>IS_Sorted!Q22/IS_Sorted!Q$5</f>
        <v>6.9889270110218504E-2</v>
      </c>
      <c r="R22" s="491">
        <f>IS_Sorted!R22/IS_Sorted!R$5</f>
        <v>7.2497949908025577E-2</v>
      </c>
      <c r="S22" s="491">
        <f>IS_Sorted!S22/IS_Sorted!S$5</f>
        <v>7.3571557787247138E-2</v>
      </c>
      <c r="T22" s="491">
        <f>IS_Sorted!T22/IS_Sorted!T$5</f>
        <v>7.567872221377131E-2</v>
      </c>
    </row>
    <row r="23" spans="1:60" x14ac:dyDescent="0.25">
      <c r="A23" s="186" t="s">
        <v>194</v>
      </c>
      <c r="B23" s="184"/>
      <c r="C23" s="184"/>
      <c r="D23" s="184"/>
      <c r="E23" s="184"/>
      <c r="F23" s="259">
        <f>IS_Sorted!F23/IS_Sorted!F$5</f>
        <v>0.13685067393608966</v>
      </c>
      <c r="G23" s="259">
        <f>IS_Sorted!G23/IS_Sorted!G$5</f>
        <v>0.40636775396795188</v>
      </c>
      <c r="H23" s="259">
        <f>IS_Sorted!H23/IS_Sorted!H$5</f>
        <v>0.20838071094376201</v>
      </c>
      <c r="I23" s="259">
        <f>IS_Sorted!I23/IS_Sorted!I$5</f>
        <v>0.31493719806763287</v>
      </c>
      <c r="J23" s="259">
        <f>IS_Sorted!J23/IS_Sorted!J$5</f>
        <v>0.16753364512742197</v>
      </c>
      <c r="K23" s="259">
        <f>IS_Sorted!K23/IS_Sorted!K$5</f>
        <v>0.27628924318472592</v>
      </c>
      <c r="L23" s="259">
        <f>IS_Sorted!L23/IS_Sorted!L$5</f>
        <v>0.31297717532143926</v>
      </c>
      <c r="M23" s="491">
        <f>IS_Sorted!M23/IS_Sorted!M$5</f>
        <v>0.1453777938685123</v>
      </c>
      <c r="N23" s="491">
        <f>IS_Sorted!N23/IS_Sorted!N$5</f>
        <v>0.24748372500771074</v>
      </c>
      <c r="O23" s="491">
        <f>IS_Sorted!O23/IS_Sorted!O$5</f>
        <v>0.24735597907961293</v>
      </c>
      <c r="P23" s="491">
        <f>IS_Sorted!P23/IS_Sorted!P$5</f>
        <v>0.2457748798234709</v>
      </c>
      <c r="Q23" s="491">
        <f>IS_Sorted!Q23/IS_Sorted!Q$5</f>
        <v>0.24778923039077466</v>
      </c>
      <c r="R23" s="491">
        <f>IS_Sorted!R23/IS_Sorted!R$5</f>
        <v>0.25703818603754525</v>
      </c>
      <c r="S23" s="491">
        <f>IS_Sorted!S23/IS_Sorted!S$5</f>
        <v>0.26084461397296715</v>
      </c>
      <c r="T23" s="491">
        <f>IS_Sorted!T23/IS_Sorted!T$5</f>
        <v>0.26831546966700737</v>
      </c>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row>
    <row r="24" spans="1:60" x14ac:dyDescent="0.25">
      <c r="A24" s="186" t="s">
        <v>732</v>
      </c>
      <c r="B24" s="184"/>
      <c r="C24" s="184"/>
      <c r="D24" s="184"/>
      <c r="E24" s="184"/>
      <c r="F24" s="259">
        <f>IS_Sorted!F24/IS_Sorted!F$5</f>
        <v>3.0289262456459186E-4</v>
      </c>
      <c r="G24" s="259">
        <f>IS_Sorted!G24/IS_Sorted!G$5</f>
        <v>-1.9030944315456935E-5</v>
      </c>
      <c r="H24" s="259">
        <f>IS_Sorted!H24/IS_Sorted!H$5</f>
        <v>1.8640371316196619E-4</v>
      </c>
      <c r="I24" s="259">
        <f>IS_Sorted!I24/IS_Sorted!I$5</f>
        <v>7.7294685990338165E-5</v>
      </c>
      <c r="J24" s="259">
        <f>IS_Sorted!J24/IS_Sorted!J$5</f>
        <v>6.278037606184976E-2</v>
      </c>
      <c r="K24" s="240" t="s">
        <v>54</v>
      </c>
      <c r="L24" s="240" t="s">
        <v>54</v>
      </c>
      <c r="M24" s="463" t="s">
        <v>54</v>
      </c>
      <c r="N24" s="463" t="s">
        <v>54</v>
      </c>
      <c r="O24" s="463" t="s">
        <v>54</v>
      </c>
      <c r="P24" s="463" t="s">
        <v>54</v>
      </c>
      <c r="Q24" s="463" t="s">
        <v>54</v>
      </c>
      <c r="R24" s="463" t="s">
        <v>54</v>
      </c>
      <c r="S24" s="463" t="s">
        <v>54</v>
      </c>
      <c r="T24" s="463" t="s">
        <v>54</v>
      </c>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row>
    <row r="25" spans="1:60" x14ac:dyDescent="0.25">
      <c r="A25" s="186" t="s">
        <v>733</v>
      </c>
      <c r="B25" s="184"/>
      <c r="C25" s="184"/>
      <c r="D25" s="184"/>
      <c r="E25" s="184"/>
      <c r="F25" s="240" t="s">
        <v>54</v>
      </c>
      <c r="G25" s="259">
        <f>IS_Sorted!G25/IS_Sorted!G$5</f>
        <v>5.70928329463708E-5</v>
      </c>
      <c r="H25" s="240" t="s">
        <v>54</v>
      </c>
      <c r="I25" s="240" t="s">
        <v>54</v>
      </c>
      <c r="J25" s="240" t="s">
        <v>54</v>
      </c>
      <c r="K25" s="240" t="s">
        <v>54</v>
      </c>
      <c r="L25" s="240" t="s">
        <v>54</v>
      </c>
      <c r="M25" s="463" t="s">
        <v>54</v>
      </c>
      <c r="N25" s="463" t="s">
        <v>54</v>
      </c>
      <c r="O25" s="463" t="s">
        <v>54</v>
      </c>
      <c r="P25" s="463" t="s">
        <v>54</v>
      </c>
      <c r="Q25" s="463" t="s">
        <v>54</v>
      </c>
      <c r="R25" s="463" t="s">
        <v>54</v>
      </c>
      <c r="S25" s="463" t="s">
        <v>54</v>
      </c>
      <c r="T25" s="463" t="s">
        <v>54</v>
      </c>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row>
    <row r="26" spans="1:60" x14ac:dyDescent="0.25">
      <c r="A26" s="186" t="s">
        <v>734</v>
      </c>
      <c r="B26" s="184"/>
      <c r="C26" s="184"/>
      <c r="D26" s="184"/>
      <c r="E26" s="184"/>
      <c r="F26" s="259">
        <f>IS_Sorted!F26/IS_Sorted!F$5</f>
        <v>3.2182341359987884E-4</v>
      </c>
      <c r="G26" s="259">
        <f>IS_Sorted!G26/IS_Sorted!G$5</f>
        <v>3.8061888630913869E-5</v>
      </c>
      <c r="H26" s="259">
        <f>IS_Sorted!H26/IS_Sorted!H$5</f>
        <v>1.8640371316196619E-4</v>
      </c>
      <c r="I26" s="259">
        <f>IS_Sorted!I26/IS_Sorted!I$5</f>
        <v>7.7294685990338165E-5</v>
      </c>
      <c r="J26" s="240" t="s">
        <v>54</v>
      </c>
      <c r="K26" s="259">
        <f>IS_Sorted!K26/IS_Sorted!K$5</f>
        <v>-5.3390414329298301E-3</v>
      </c>
      <c r="L26" s="259">
        <f>IS_Sorted!L26/IS_Sorted!L$5</f>
        <v>5.980265125087212E-5</v>
      </c>
      <c r="M26" s="463" t="s">
        <v>54</v>
      </c>
      <c r="N26" s="463" t="s">
        <v>54</v>
      </c>
      <c r="O26" s="463" t="s">
        <v>54</v>
      </c>
      <c r="P26" s="463" t="s">
        <v>54</v>
      </c>
      <c r="Q26" s="463" t="s">
        <v>54</v>
      </c>
      <c r="R26" s="463" t="s">
        <v>54</v>
      </c>
      <c r="S26" s="463" t="s">
        <v>54</v>
      </c>
      <c r="T26" s="463" t="s">
        <v>54</v>
      </c>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row>
    <row r="27" spans="1:60" x14ac:dyDescent="0.25">
      <c r="A27" s="186" t="s">
        <v>198</v>
      </c>
      <c r="B27" s="184"/>
      <c r="C27" s="184"/>
      <c r="D27" s="184"/>
      <c r="E27" s="184"/>
      <c r="F27" s="259">
        <f>IS_Sorted!F27/IS_Sorted!F$5</f>
        <v>0.13717249734968953</v>
      </c>
      <c r="G27" s="259">
        <f>IS_Sorted!G27/IS_Sorted!G$5</f>
        <v>0.40640581585658281</v>
      </c>
      <c r="H27" s="259">
        <f>IS_Sorted!H27/IS_Sorted!H$5</f>
        <v>0.20854847428560777</v>
      </c>
      <c r="I27" s="259">
        <f>IS_Sorted!I27/IS_Sorted!I$5</f>
        <v>0.3150144927536232</v>
      </c>
      <c r="J27" s="259">
        <f>IS_Sorted!J27/IS_Sorted!J$5</f>
        <v>0.23031402118927174</v>
      </c>
      <c r="K27" s="259">
        <f>IS_Sorted!K27/IS_Sorted!K$5</f>
        <v>0.27095020175179607</v>
      </c>
      <c r="L27" s="259">
        <f>IS_Sorted!L27/IS_Sorted!L$5</f>
        <v>0.31303697797269014</v>
      </c>
      <c r="M27" s="491">
        <f>IS_Sorted!M27/IS_Sorted!M$5</f>
        <v>0.1453777938685123</v>
      </c>
      <c r="N27" s="491">
        <f>IS_Sorted!N27/IS_Sorted!N$5</f>
        <v>0.24748372500771074</v>
      </c>
      <c r="O27" s="491">
        <f>IS_Sorted!O27/IS_Sorted!O$5</f>
        <v>0.24735597907961293</v>
      </c>
      <c r="P27" s="491">
        <f>IS_Sorted!P27/IS_Sorted!P$5</f>
        <v>0.2457748798234709</v>
      </c>
      <c r="Q27" s="491">
        <f>IS_Sorted!Q27/IS_Sorted!Q$5</f>
        <v>0.24778923039077466</v>
      </c>
      <c r="R27" s="491">
        <f>IS_Sorted!R27/IS_Sorted!R$5</f>
        <v>0.25703818603754525</v>
      </c>
      <c r="S27" s="491">
        <f>IS_Sorted!S27/IS_Sorted!S$5</f>
        <v>0.26084461397296715</v>
      </c>
      <c r="T27" s="491">
        <f>IS_Sorted!T27/IS_Sorted!T$5</f>
        <v>0.26831546966700737</v>
      </c>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row>
    <row r="28" spans="1:60" x14ac:dyDescent="0.25">
      <c r="A28" s="186" t="s">
        <v>199</v>
      </c>
      <c r="B28" s="184"/>
      <c r="C28" s="184"/>
      <c r="D28" s="184"/>
      <c r="E28" s="184"/>
      <c r="F28" s="259">
        <f>IS_Sorted!F28/IS_Sorted!F$5</f>
        <v>-5.8685446009389673E-4</v>
      </c>
      <c r="G28" s="259">
        <f>IS_Sorted!G28/IS_Sorted!G$5</f>
        <v>-8.9445438282647585E-4</v>
      </c>
      <c r="H28" s="259">
        <f>IS_Sorted!H28/IS_Sorted!H$5</f>
        <v>-6.7105336738307829E-4</v>
      </c>
      <c r="I28" s="259">
        <f>IS_Sorted!I28/IS_Sorted!I$5</f>
        <v>-5.6038647342995167E-4</v>
      </c>
      <c r="J28" s="259">
        <f>IS_Sorted!J28/IS_Sorted!J$5</f>
        <v>-8.5902452992268777E-4</v>
      </c>
      <c r="K28" s="259">
        <f>IS_Sorted!K28/IS_Sorted!K$5</f>
        <v>-5.6588918413541978E-4</v>
      </c>
      <c r="L28" s="259">
        <f>IS_Sorted!L28/IS_Sorted!L$5</f>
        <v>-3.4884879896342072E-4</v>
      </c>
      <c r="M28" s="491">
        <f>IS_Sorted!M28/IS_Sorted!M$5</f>
        <v>-3.8231249206040435E-4</v>
      </c>
      <c r="N28" s="491">
        <f>IS_Sorted!N28/IS_Sorted!N$5</f>
        <v>-6.5082924382293039E-4</v>
      </c>
      <c r="O28" s="491">
        <f>IS_Sorted!O28/IS_Sorted!O$5</f>
        <v>-6.5049329936523815E-4</v>
      </c>
      <c r="P28" s="491">
        <f>IS_Sorted!P28/IS_Sorted!P$5</f>
        <v>-6.463353466220756E-4</v>
      </c>
      <c r="Q28" s="491">
        <f>IS_Sorted!Q28/IS_Sorted!Q$5</f>
        <v>-6.5163265761281552E-4</v>
      </c>
      <c r="R28" s="491">
        <f>IS_Sorted!R28/IS_Sorted!R$5</f>
        <v>-6.7595543200758411E-4</v>
      </c>
      <c r="S28" s="491">
        <f>IS_Sorted!S28/IS_Sorted!S$5</f>
        <v>-6.8596552303397352E-4</v>
      </c>
      <c r="T28" s="491">
        <f>IS_Sorted!T28/IS_Sorted!T$5</f>
        <v>-7.0561227500487965E-4</v>
      </c>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row>
    <row r="29" spans="1:60" x14ac:dyDescent="0.25">
      <c r="A29" s="305" t="s">
        <v>200</v>
      </c>
      <c r="B29" s="306"/>
      <c r="C29" s="306"/>
      <c r="D29" s="306"/>
      <c r="E29" s="306"/>
      <c r="F29" s="322">
        <f>IS_Sorted!F29/IS_Sorted!F$5</f>
        <v>0.13658564288959563</v>
      </c>
      <c r="G29" s="322">
        <f>IS_Sorted!G29/IS_Sorted!G$5</f>
        <v>0.40551136147375633</v>
      </c>
      <c r="H29" s="322">
        <f>IS_Sorted!H29/IS_Sorted!H$5</f>
        <v>0.20789606128954088</v>
      </c>
      <c r="I29" s="322">
        <f>IS_Sorted!I29/IS_Sorted!I$5</f>
        <v>0.31445410628019321</v>
      </c>
      <c r="J29" s="318" t="s">
        <v>54</v>
      </c>
      <c r="K29" s="318" t="s">
        <v>54</v>
      </c>
      <c r="L29" s="318" t="s">
        <v>54</v>
      </c>
      <c r="M29" s="494" t="s">
        <v>54</v>
      </c>
      <c r="N29" s="494" t="s">
        <v>54</v>
      </c>
      <c r="O29" s="494" t="s">
        <v>54</v>
      </c>
      <c r="P29" s="494" t="s">
        <v>54</v>
      </c>
      <c r="Q29" s="494" t="s">
        <v>54</v>
      </c>
      <c r="R29" s="494" t="s">
        <v>54</v>
      </c>
      <c r="S29" s="494" t="s">
        <v>54</v>
      </c>
      <c r="T29" s="494" t="s">
        <v>54</v>
      </c>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row>
    <row r="30" spans="1:60" x14ac:dyDescent="0.25">
      <c r="A30" s="186" t="s">
        <v>201</v>
      </c>
      <c r="B30" s="184"/>
      <c r="C30" s="184"/>
      <c r="D30" s="184"/>
      <c r="E30" s="184"/>
      <c r="F30" s="259">
        <f>IS_Sorted!F30/IS_Sorted!F$5</f>
        <v>1.8930789035286991E-5</v>
      </c>
      <c r="G30" s="259">
        <f>IS_Sorted!G30/IS_Sorted!G$5</f>
        <v>1.9030944315456935E-5</v>
      </c>
      <c r="H30" s="259">
        <f>IS_Sorted!H30/IS_Sorted!H$5</f>
        <v>1.8640371316196619E-5</v>
      </c>
      <c r="I30" s="240" t="s">
        <v>54</v>
      </c>
      <c r="J30" s="240" t="s">
        <v>54</v>
      </c>
      <c r="K30" s="240" t="s">
        <v>54</v>
      </c>
      <c r="L30" s="240" t="s">
        <v>54</v>
      </c>
      <c r="M30" s="463" t="s">
        <v>54</v>
      </c>
      <c r="N30" s="463" t="s">
        <v>54</v>
      </c>
      <c r="O30" s="463" t="s">
        <v>54</v>
      </c>
      <c r="P30" s="463" t="s">
        <v>54</v>
      </c>
      <c r="Q30" s="463" t="s">
        <v>54</v>
      </c>
      <c r="R30" s="463" t="s">
        <v>54</v>
      </c>
      <c r="S30" s="463" t="s">
        <v>54</v>
      </c>
      <c r="T30" s="463" t="s">
        <v>54</v>
      </c>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row>
    <row r="31" spans="1:60" ht="15.75" thickBot="1" x14ac:dyDescent="0.3">
      <c r="A31" s="250" t="s">
        <v>202</v>
      </c>
      <c r="B31" s="209"/>
      <c r="C31" s="209" t="s">
        <v>216</v>
      </c>
      <c r="D31" s="209" t="s">
        <v>216</v>
      </c>
      <c r="E31" s="209" t="s">
        <v>216</v>
      </c>
      <c r="F31" s="319">
        <f>IS_Sorted!F31/IS_Sorted!F$5</f>
        <v>0.13656671210056034</v>
      </c>
      <c r="G31" s="319">
        <f>IS_Sorted!G31/IS_Sorted!G$5</f>
        <v>0.40549233052944089</v>
      </c>
      <c r="H31" s="319">
        <f>IS_Sorted!H31/IS_Sorted!H$5</f>
        <v>0.2078774209182247</v>
      </c>
      <c r="I31" s="319">
        <f>IS_Sorted!I31/IS_Sorted!I$5</f>
        <v>0.31443478260869567</v>
      </c>
      <c r="J31" s="319">
        <f>IS_Sorted!J31/IS_Sorted!J$5</f>
        <v>0.22945499665934904</v>
      </c>
      <c r="K31" s="319">
        <f>IS_Sorted!K31/IS_Sorted!K$5</f>
        <v>0.27038431256766066</v>
      </c>
      <c r="L31" s="319">
        <f>IS_Sorted!L31/IS_Sorted!L$5</f>
        <v>0.31268812917372668</v>
      </c>
      <c r="M31" s="495">
        <f>IS_Sorted!M31/IS_Sorted!M$5</f>
        <v>0.14499548137645188</v>
      </c>
      <c r="N31" s="495">
        <f>IS_Sorted!N31/IS_Sorted!N$5</f>
        <v>0.24683289576388781</v>
      </c>
      <c r="O31" s="495">
        <f>IS_Sorted!O31/IS_Sorted!O$5</f>
        <v>0.24670548578024767</v>
      </c>
      <c r="P31" s="495">
        <f>IS_Sorted!P31/IS_Sorted!P$5</f>
        <v>0.24512854447684884</v>
      </c>
      <c r="Q31" s="495">
        <f>IS_Sorted!Q31/IS_Sorted!Q$5</f>
        <v>0.24713759773316185</v>
      </c>
      <c r="R31" s="495">
        <f>IS_Sorted!R31/IS_Sorted!R$5</f>
        <v>0.25636223060553764</v>
      </c>
      <c r="S31" s="495">
        <f>IS_Sorted!S31/IS_Sorted!S$5</f>
        <v>0.26015864844993319</v>
      </c>
      <c r="T31" s="495">
        <f>IS_Sorted!T31/IS_Sorted!T$5</f>
        <v>0.26760985739200249</v>
      </c>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row>
    <row r="32" spans="1:60" s="9" customFormat="1" ht="16.5" hidden="1" thickTop="1" thickBot="1" x14ac:dyDescent="0.3">
      <c r="A32" s="208" t="s">
        <v>223</v>
      </c>
      <c r="B32" s="210"/>
      <c r="C32" s="210"/>
      <c r="D32" s="210"/>
      <c r="E32" s="210"/>
      <c r="F32" s="489">
        <v>1.18</v>
      </c>
      <c r="G32" s="489">
        <v>3.57</v>
      </c>
      <c r="H32" s="489">
        <v>1.9</v>
      </c>
      <c r="I32" s="489">
        <v>2.92</v>
      </c>
      <c r="J32" s="489">
        <v>1.73</v>
      </c>
      <c r="K32" s="489">
        <v>3.92</v>
      </c>
      <c r="L32" s="489">
        <v>5.59</v>
      </c>
      <c r="M32" s="496" t="s">
        <v>54</v>
      </c>
      <c r="N32" s="496" t="s">
        <v>54</v>
      </c>
      <c r="O32" s="496" t="s">
        <v>54</v>
      </c>
      <c r="P32" s="496" t="s">
        <v>54</v>
      </c>
      <c r="Q32" s="496" t="s">
        <v>54</v>
      </c>
      <c r="R32" s="496" t="s">
        <v>54</v>
      </c>
      <c r="S32" s="496" t="s">
        <v>54</v>
      </c>
      <c r="T32" s="496" t="s">
        <v>54</v>
      </c>
      <c r="U32" s="235" t="s">
        <v>577</v>
      </c>
    </row>
    <row r="33" spans="1:60" s="9" customFormat="1" ht="15.75" thickTop="1" x14ac:dyDescent="0.25">
      <c r="A33" s="186" t="s">
        <v>203</v>
      </c>
      <c r="B33" s="184"/>
      <c r="C33" s="184"/>
      <c r="D33" s="184"/>
      <c r="E33" s="184"/>
      <c r="F33" s="259">
        <f>IS_Sorted!F33/IS_Sorted!F$5</f>
        <v>0.11526957443586248</v>
      </c>
      <c r="G33" s="259">
        <f>IS_Sorted!G33/IS_Sorted!G$5</f>
        <v>0.11361473756327789</v>
      </c>
      <c r="H33" s="259">
        <f>IS_Sorted!H33/IS_Sorted!H$5</f>
        <v>0.10945626036870655</v>
      </c>
      <c r="I33" s="259">
        <f>IS_Sorted!I33/IS_Sorted!I$5</f>
        <v>0.10761352657004832</v>
      </c>
      <c r="J33" s="259">
        <f>IS_Sorted!J33/IS_Sorted!J$5</f>
        <v>0.1325522573255703</v>
      </c>
      <c r="K33" s="259">
        <f>IS_Sorted!K33/IS_Sorted!K$5</f>
        <v>6.8903159137880129E-2</v>
      </c>
      <c r="L33" s="259">
        <f>IS_Sorted!L33/IS_Sorted!L$5</f>
        <v>5.5895544702481807E-2</v>
      </c>
      <c r="M33" s="491">
        <f>IS_Sorted!M33/IS_Sorted!M$5</f>
        <v>9.973224576646865E-2</v>
      </c>
      <c r="N33" s="491">
        <f>IS_Sorted!N33/IS_Sorted!N$5</f>
        <v>0.10932979085766269</v>
      </c>
      <c r="O33" s="491">
        <f>IS_Sorted!O33/IS_Sorted!O$5</f>
        <v>0.1176784197161224</v>
      </c>
      <c r="P33" s="491">
        <f>IS_Sorted!P33/IS_Sorted!P$5</f>
        <v>0.12108611264065512</v>
      </c>
      <c r="Q33" s="491">
        <f>IS_Sorted!Q33/IS_Sorted!Q$5</f>
        <v>0.12195656103416549</v>
      </c>
      <c r="R33" s="491">
        <f>IS_Sorted!R33/IS_Sorted!R$5</f>
        <v>0.12649600643835243</v>
      </c>
      <c r="S33" s="491">
        <f>IS_Sorted!S33/IS_Sorted!S$5</f>
        <v>0.1307426272524479</v>
      </c>
      <c r="T33" s="491">
        <f>IS_Sorted!T33/IS_Sorted!T$5</f>
        <v>0.1299579660157909</v>
      </c>
      <c r="U33" s="2"/>
    </row>
    <row r="34" spans="1:60" s="9" customFormat="1" ht="15.75" thickBot="1" x14ac:dyDescent="0.3">
      <c r="A34" s="301" t="s">
        <v>224</v>
      </c>
      <c r="B34" s="302"/>
      <c r="C34" s="302"/>
      <c r="D34" s="302"/>
      <c r="E34" s="302"/>
      <c r="F34" s="314">
        <f>IS_Sorted!F34/IS_Sorted!F$5</f>
        <v>0.11490988944419203</v>
      </c>
      <c r="G34" s="314">
        <f>IS_Sorted!G34/IS_Sorted!G$5</f>
        <v>0.113786016062117</v>
      </c>
      <c r="H34" s="314">
        <f>IS_Sorted!H34/IS_Sorted!H$5</f>
        <v>0.10656700281469607</v>
      </c>
      <c r="I34" s="314">
        <f>IS_Sorted!I34/IS_Sorted!I$5</f>
        <v>0.10693719806763285</v>
      </c>
      <c r="J34" s="314">
        <f>IS_Sorted!J34/IS_Sorted!J$5</f>
        <v>0.13283859883554452</v>
      </c>
      <c r="K34" s="314">
        <f>IS_Sorted!K34/IS_Sorted!K$5</f>
        <v>6.9136895974805629E-2</v>
      </c>
      <c r="L34" s="314">
        <f>IS_Sorted!L34/IS_Sorted!L$5</f>
        <v>5.5975281570816306E-2</v>
      </c>
      <c r="M34" s="497">
        <f>IS_Sorted!M34/IS_Sorted!M$5</f>
        <v>9.9881195141413248E-2</v>
      </c>
      <c r="N34" s="497">
        <f>IS_Sorted!N34/IS_Sorted!N$5</f>
        <v>0.10941210304969308</v>
      </c>
      <c r="O34" s="497">
        <f>IS_Sorted!O34/IS_Sorted!O$5</f>
        <v>0.11760922863612341</v>
      </c>
      <c r="P34" s="497">
        <f>IS_Sorted!P34/IS_Sorted!P$5</f>
        <v>0.12099678132525274</v>
      </c>
      <c r="Q34" s="497">
        <f>IS_Sorted!Q34/IS_Sorted!Q$5</f>
        <v>0.12186647713071164</v>
      </c>
      <c r="R34" s="497">
        <f>IS_Sorted!R34/IS_Sorted!R$5</f>
        <v>0.12640245461339242</v>
      </c>
      <c r="S34" s="497">
        <f>IS_Sorted!S34/IS_Sorted!S$5</f>
        <v>0.13064581577038023</v>
      </c>
      <c r="T34" s="497">
        <f>IS_Sorted!T34/IS_Sorted!T$5</f>
        <v>0.12986161693627066</v>
      </c>
      <c r="U34" s="2"/>
    </row>
    <row r="35" spans="1:60" s="16" customFormat="1" ht="15.75" thickTop="1" x14ac:dyDescent="0.25">
      <c r="D35" s="22"/>
      <c r="E35" s="23"/>
      <c r="F35" s="22"/>
      <c r="G35" s="22"/>
      <c r="H35" s="22"/>
      <c r="I35" s="22"/>
      <c r="J35" s="22"/>
      <c r="K35" s="22"/>
      <c r="L35" s="22"/>
      <c r="M35" s="22"/>
      <c r="U35" s="2"/>
    </row>
    <row r="36" spans="1:60" x14ac:dyDescent="0.25">
      <c r="B36" s="2"/>
      <c r="C36" s="2"/>
      <c r="N36" s="2"/>
      <c r="O36" s="2"/>
      <c r="P36" s="2"/>
      <c r="Q36" s="2"/>
      <c r="R36" s="2"/>
      <c r="S36" s="2"/>
      <c r="T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row>
    <row r="37" spans="1:60" x14ac:dyDescent="0.25">
      <c r="B37" s="2"/>
      <c r="C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row>
    <row r="38" spans="1:60" x14ac:dyDescent="0.25">
      <c r="B38" s="2"/>
      <c r="C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row>
    <row r="39" spans="1:60" x14ac:dyDescent="0.25">
      <c r="B39" s="2"/>
      <c r="C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row>
    <row r="40" spans="1:60" x14ac:dyDescent="0.25">
      <c r="B40" s="2"/>
      <c r="C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row>
    <row r="41" spans="1:60" x14ac:dyDescent="0.25">
      <c r="B41" s="2"/>
      <c r="C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row>
    <row r="42" spans="1:60" x14ac:dyDescent="0.25">
      <c r="B42" s="2"/>
      <c r="C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row>
    <row r="43" spans="1:60" x14ac:dyDescent="0.25">
      <c r="B43" s="2"/>
      <c r="C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row>
    <row r="44" spans="1:60" x14ac:dyDescent="0.25">
      <c r="B44" s="2"/>
      <c r="C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row>
    <row r="45" spans="1:60" x14ac:dyDescent="0.25">
      <c r="B45" s="2"/>
      <c r="C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row>
    <row r="46" spans="1:60" x14ac:dyDescent="0.25">
      <c r="B46" s="2"/>
      <c r="C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row>
    <row r="47" spans="1:60" x14ac:dyDescent="0.25">
      <c r="B47" s="2"/>
      <c r="C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row>
    <row r="48" spans="1:60" x14ac:dyDescent="0.25">
      <c r="B48" s="2"/>
      <c r="C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row>
    <row r="49" spans="2:60" x14ac:dyDescent="0.25">
      <c r="B49" s="2"/>
      <c r="C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row>
    <row r="50" spans="2:60" x14ac:dyDescent="0.25">
      <c r="B50" s="2"/>
      <c r="C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row>
    <row r="51" spans="2:60" x14ac:dyDescent="0.25">
      <c r="B51" s="2"/>
      <c r="C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row>
    <row r="52" spans="2:60" x14ac:dyDescent="0.25">
      <c r="B52" s="2"/>
      <c r="C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row>
    <row r="53" spans="2:60" x14ac:dyDescent="0.25">
      <c r="B53" s="2"/>
      <c r="C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row>
    <row r="54" spans="2:60" x14ac:dyDescent="0.25">
      <c r="B54" s="2"/>
      <c r="C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row>
    <row r="55" spans="2:60" x14ac:dyDescent="0.25">
      <c r="B55" s="2"/>
      <c r="C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row>
    <row r="56" spans="2:60" x14ac:dyDescent="0.25">
      <c r="B56" s="2"/>
      <c r="C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row>
    <row r="57" spans="2:60" x14ac:dyDescent="0.25">
      <c r="B57" s="2"/>
      <c r="C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row>
    <row r="58" spans="2:60" x14ac:dyDescent="0.25">
      <c r="B58" s="2"/>
      <c r="C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row>
    <row r="59" spans="2:60" x14ac:dyDescent="0.25">
      <c r="B59" s="2"/>
      <c r="C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row>
    <row r="60" spans="2:60" x14ac:dyDescent="0.25">
      <c r="B60" s="2"/>
      <c r="C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row>
    <row r="61" spans="2:60" x14ac:dyDescent="0.25">
      <c r="B61" s="2"/>
      <c r="C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row>
    <row r="62" spans="2:60" x14ac:dyDescent="0.25">
      <c r="B62" s="2"/>
      <c r="C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row>
    <row r="63" spans="2:60" x14ac:dyDescent="0.25">
      <c r="B63" s="2"/>
      <c r="C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row>
    <row r="64" spans="2:60" x14ac:dyDescent="0.25">
      <c r="B64" s="2"/>
      <c r="C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row>
    <row r="65" spans="2:60" x14ac:dyDescent="0.25">
      <c r="B65" s="2"/>
      <c r="C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row>
    <row r="66" spans="2:60" x14ac:dyDescent="0.25">
      <c r="B66" s="2"/>
      <c r="C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row>
    <row r="67" spans="2:60" x14ac:dyDescent="0.25">
      <c r="B67" s="2"/>
      <c r="C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row>
    <row r="68" spans="2:60" x14ac:dyDescent="0.25">
      <c r="B68" s="2"/>
      <c r="C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row>
    <row r="69" spans="2:60" x14ac:dyDescent="0.25">
      <c r="B69" s="2"/>
      <c r="C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row>
    <row r="70" spans="2:60" x14ac:dyDescent="0.25">
      <c r="B70" s="2"/>
      <c r="C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row>
    <row r="71" spans="2:60" x14ac:dyDescent="0.25">
      <c r="B71" s="2"/>
      <c r="C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row>
    <row r="72" spans="2:60" x14ac:dyDescent="0.25">
      <c r="B72" s="2"/>
      <c r="C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row>
    <row r="73" spans="2:60" x14ac:dyDescent="0.25">
      <c r="B73" s="2"/>
      <c r="C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row>
    <row r="74" spans="2:60" x14ac:dyDescent="0.25">
      <c r="B74" s="2"/>
      <c r="C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row>
    <row r="75" spans="2:60" x14ac:dyDescent="0.25">
      <c r="B75" s="2"/>
      <c r="C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row>
    <row r="76" spans="2:60" x14ac:dyDescent="0.25">
      <c r="B76" s="2"/>
      <c r="C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row>
    <row r="77" spans="2:60" x14ac:dyDescent="0.25">
      <c r="B77" s="2"/>
      <c r="C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row>
    <row r="78" spans="2:60" x14ac:dyDescent="0.25">
      <c r="B78" s="2"/>
      <c r="C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row>
    <row r="79" spans="2:60" x14ac:dyDescent="0.25">
      <c r="B79" s="2"/>
      <c r="C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row>
    <row r="80" spans="2:60" x14ac:dyDescent="0.25">
      <c r="B80" s="2"/>
      <c r="C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row>
    <row r="81" spans="2:60" x14ac:dyDescent="0.25">
      <c r="B81" s="2"/>
      <c r="C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row>
    <row r="82" spans="2:60" x14ac:dyDescent="0.25">
      <c r="B82" s="2"/>
      <c r="C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row>
    <row r="83" spans="2:60" x14ac:dyDescent="0.25">
      <c r="B83" s="2"/>
      <c r="C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row>
    <row r="84" spans="2:60" x14ac:dyDescent="0.25">
      <c r="B84" s="2"/>
      <c r="C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row>
    <row r="85" spans="2:60" x14ac:dyDescent="0.25">
      <c r="B85" s="2"/>
      <c r="C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row>
    <row r="86" spans="2:60" x14ac:dyDescent="0.25">
      <c r="B86" s="2"/>
      <c r="C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row>
    <row r="87" spans="2:60" x14ac:dyDescent="0.25">
      <c r="B87" s="2"/>
      <c r="C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row>
    <row r="88" spans="2:60" x14ac:dyDescent="0.25">
      <c r="B88" s="2"/>
      <c r="C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row>
    <row r="89" spans="2:60" x14ac:dyDescent="0.25">
      <c r="B89" s="2"/>
      <c r="C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row>
    <row r="90" spans="2:60" x14ac:dyDescent="0.25">
      <c r="B90" s="2"/>
      <c r="C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row>
    <row r="91" spans="2:60" x14ac:dyDescent="0.25">
      <c r="B91" s="2"/>
      <c r="C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row>
    <row r="92" spans="2:60" x14ac:dyDescent="0.25">
      <c r="B92" s="2"/>
      <c r="C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row>
    <row r="93" spans="2:60" x14ac:dyDescent="0.25">
      <c r="B93" s="2"/>
      <c r="C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row>
    <row r="94" spans="2:60" x14ac:dyDescent="0.25">
      <c r="B94" s="2"/>
      <c r="C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row>
    <row r="95" spans="2:60" x14ac:dyDescent="0.25">
      <c r="B95" s="2"/>
      <c r="C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row>
    <row r="96" spans="2:60" x14ac:dyDescent="0.25">
      <c r="B96" s="2"/>
      <c r="C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row>
    <row r="97" spans="2:60" x14ac:dyDescent="0.25">
      <c r="B97" s="2"/>
      <c r="C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row>
    <row r="98" spans="2:60" x14ac:dyDescent="0.25">
      <c r="B98" s="2"/>
      <c r="C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row>
    <row r="99" spans="2:60" x14ac:dyDescent="0.25">
      <c r="B99" s="2"/>
      <c r="C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row>
    <row r="100" spans="2:60" x14ac:dyDescent="0.25">
      <c r="B100" s="2"/>
      <c r="C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row>
    <row r="101" spans="2:60" x14ac:dyDescent="0.25">
      <c r="B101" s="2"/>
      <c r="C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row>
    <row r="102" spans="2:60" x14ac:dyDescent="0.25">
      <c r="B102" s="2"/>
      <c r="C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row>
    <row r="103" spans="2:60" x14ac:dyDescent="0.25">
      <c r="B103" s="2"/>
      <c r="C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row>
    <row r="104" spans="2:60" x14ac:dyDescent="0.25">
      <c r="B104" s="2"/>
      <c r="C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row>
    <row r="105" spans="2:60" x14ac:dyDescent="0.25">
      <c r="B105" s="2"/>
      <c r="C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row>
    <row r="106" spans="2:60" x14ac:dyDescent="0.25">
      <c r="B106" s="2"/>
      <c r="C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row>
    <row r="107" spans="2:60" x14ac:dyDescent="0.25">
      <c r="B107" s="2"/>
      <c r="C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row>
    <row r="108" spans="2:60" x14ac:dyDescent="0.25">
      <c r="B108" s="2"/>
      <c r="C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row>
    <row r="109" spans="2:60" x14ac:dyDescent="0.25">
      <c r="B109" s="2"/>
      <c r="C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row>
    <row r="110" spans="2:60" x14ac:dyDescent="0.25">
      <c r="B110" s="2"/>
      <c r="C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row>
    <row r="111" spans="2:60" x14ac:dyDescent="0.25">
      <c r="B111" s="2"/>
      <c r="C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row>
    <row r="112" spans="2:60" x14ac:dyDescent="0.25">
      <c r="B112" s="2"/>
      <c r="C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row>
    <row r="113" spans="2:60" x14ac:dyDescent="0.25">
      <c r="B113" s="2"/>
      <c r="C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row>
    <row r="114" spans="2:60" x14ac:dyDescent="0.25">
      <c r="B114" s="2"/>
      <c r="C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row>
    <row r="115" spans="2:60" x14ac:dyDescent="0.25">
      <c r="B115" s="2"/>
      <c r="C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row>
    <row r="116" spans="2:60" x14ac:dyDescent="0.25">
      <c r="B116" s="2"/>
      <c r="C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row>
    <row r="117" spans="2:60" x14ac:dyDescent="0.25">
      <c r="B117" s="2"/>
      <c r="C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row>
    <row r="118" spans="2:60" x14ac:dyDescent="0.25">
      <c r="B118" s="2"/>
      <c r="C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row>
    <row r="119" spans="2:60" x14ac:dyDescent="0.25">
      <c r="B119" s="2"/>
      <c r="C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row>
    <row r="120" spans="2:60" x14ac:dyDescent="0.25">
      <c r="B120" s="2"/>
      <c r="C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row>
    <row r="121" spans="2:60" x14ac:dyDescent="0.25">
      <c r="B121" s="2"/>
      <c r="C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row>
    <row r="122" spans="2:60" x14ac:dyDescent="0.25">
      <c r="B122" s="2"/>
      <c r="C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row>
    <row r="123" spans="2:60" x14ac:dyDescent="0.25">
      <c r="B123" s="2"/>
      <c r="C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row>
    <row r="124" spans="2:60" x14ac:dyDescent="0.25">
      <c r="B124" s="2"/>
      <c r="C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row>
    <row r="125" spans="2:60" x14ac:dyDescent="0.25">
      <c r="B125" s="2"/>
      <c r="C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row>
    <row r="126" spans="2:60" x14ac:dyDescent="0.25">
      <c r="B126" s="2"/>
      <c r="C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row>
    <row r="127" spans="2:60" x14ac:dyDescent="0.25">
      <c r="B127" s="2"/>
      <c r="C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row>
    <row r="128" spans="2:60" x14ac:dyDescent="0.25">
      <c r="B128" s="2"/>
      <c r="C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row>
    <row r="129" spans="2:60" x14ac:dyDescent="0.25">
      <c r="B129" s="2"/>
      <c r="C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row>
    <row r="130" spans="2:60" x14ac:dyDescent="0.25">
      <c r="B130" s="2"/>
      <c r="C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row>
    <row r="131" spans="2:60" x14ac:dyDescent="0.25">
      <c r="B131" s="2"/>
      <c r="C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row>
    <row r="132" spans="2:60" x14ac:dyDescent="0.25">
      <c r="B132" s="2"/>
      <c r="C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row>
    <row r="133" spans="2:60" x14ac:dyDescent="0.25">
      <c r="B133" s="2"/>
      <c r="C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row>
    <row r="134" spans="2:60" x14ac:dyDescent="0.25">
      <c r="B134" s="2"/>
      <c r="C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row>
    <row r="135" spans="2:60" x14ac:dyDescent="0.25">
      <c r="B135" s="2"/>
      <c r="C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row>
    <row r="136" spans="2:60" x14ac:dyDescent="0.25">
      <c r="B136" s="2"/>
      <c r="C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row>
    <row r="137" spans="2:60" x14ac:dyDescent="0.25">
      <c r="B137" s="2"/>
      <c r="C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row>
    <row r="138" spans="2:60" x14ac:dyDescent="0.25">
      <c r="B138" s="2"/>
      <c r="C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row>
    <row r="139" spans="2:60" x14ac:dyDescent="0.25">
      <c r="B139" s="2"/>
      <c r="C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row>
    <row r="140" spans="2:60" x14ac:dyDescent="0.25">
      <c r="B140" s="2"/>
      <c r="C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row>
    <row r="141" spans="2:60" x14ac:dyDescent="0.25">
      <c r="B141" s="2"/>
      <c r="C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row>
    <row r="142" spans="2:60" x14ac:dyDescent="0.25">
      <c r="B142" s="2"/>
      <c r="C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row>
    <row r="143" spans="2:60" x14ac:dyDescent="0.25">
      <c r="B143" s="2"/>
      <c r="C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row>
    <row r="144" spans="2:60" x14ac:dyDescent="0.25">
      <c r="B144" s="2"/>
      <c r="C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row>
    <row r="145" spans="2:60" x14ac:dyDescent="0.25">
      <c r="B145" s="2"/>
      <c r="C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row>
    <row r="146" spans="2:60" x14ac:dyDescent="0.25">
      <c r="B146" s="2"/>
      <c r="C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row>
    <row r="147" spans="2:60" x14ac:dyDescent="0.25">
      <c r="B147" s="2"/>
      <c r="C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row>
    <row r="148" spans="2:60" x14ac:dyDescent="0.25">
      <c r="B148" s="2"/>
      <c r="C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row>
    <row r="149" spans="2:60" x14ac:dyDescent="0.25">
      <c r="B149" s="2"/>
      <c r="C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row>
    <row r="150" spans="2:60" x14ac:dyDescent="0.25">
      <c r="B150" s="2"/>
      <c r="C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row>
    <row r="151" spans="2:60" x14ac:dyDescent="0.25">
      <c r="B151" s="2"/>
      <c r="C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row>
    <row r="152" spans="2:60" x14ac:dyDescent="0.25">
      <c r="B152" s="2"/>
      <c r="C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row>
    <row r="153" spans="2:60" x14ac:dyDescent="0.25">
      <c r="B153" s="2"/>
      <c r="C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row>
    <row r="154" spans="2:60" x14ac:dyDescent="0.25">
      <c r="B154" s="2"/>
      <c r="C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row>
    <row r="155" spans="2:60" x14ac:dyDescent="0.25">
      <c r="B155" s="2"/>
      <c r="C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row>
    <row r="156" spans="2:60" x14ac:dyDescent="0.25">
      <c r="B156" s="2"/>
      <c r="C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row>
    <row r="157" spans="2:60" x14ac:dyDescent="0.25">
      <c r="B157" s="2"/>
      <c r="C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row>
    <row r="158" spans="2:60" x14ac:dyDescent="0.25">
      <c r="B158" s="2"/>
      <c r="C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row>
    <row r="159" spans="2:60" x14ac:dyDescent="0.25">
      <c r="B159" s="2"/>
      <c r="C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row>
    <row r="160" spans="2:60" x14ac:dyDescent="0.25">
      <c r="B160" s="2"/>
      <c r="C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row>
    <row r="161" spans="2:60" x14ac:dyDescent="0.25">
      <c r="B161" s="2"/>
      <c r="C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row>
    <row r="162" spans="2:60" x14ac:dyDescent="0.25">
      <c r="B162" s="2"/>
      <c r="C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row>
    <row r="163" spans="2:60" x14ac:dyDescent="0.25">
      <c r="B163" s="2"/>
      <c r="C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row>
    <row r="164" spans="2:60" x14ac:dyDescent="0.25">
      <c r="B164" s="2"/>
      <c r="C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row>
    <row r="165" spans="2:60" x14ac:dyDescent="0.25">
      <c r="B165" s="2"/>
      <c r="C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row>
    <row r="166" spans="2:60" x14ac:dyDescent="0.25">
      <c r="B166" s="2"/>
      <c r="C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row>
    <row r="167" spans="2:60" x14ac:dyDescent="0.25">
      <c r="B167" s="2"/>
      <c r="C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row>
    <row r="168" spans="2:60" x14ac:dyDescent="0.25">
      <c r="B168" s="2"/>
      <c r="C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row>
    <row r="169" spans="2:60" x14ac:dyDescent="0.25">
      <c r="B169" s="2"/>
      <c r="C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row>
    <row r="170" spans="2:60" x14ac:dyDescent="0.25">
      <c r="B170" s="2"/>
      <c r="C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row>
    <row r="171" spans="2:60" x14ac:dyDescent="0.25">
      <c r="B171" s="2"/>
      <c r="C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row>
    <row r="172" spans="2:60" x14ac:dyDescent="0.25">
      <c r="B172" s="2"/>
      <c r="C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row>
    <row r="173" spans="2:60" x14ac:dyDescent="0.25">
      <c r="B173" s="2"/>
      <c r="C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row>
    <row r="174" spans="2:60" x14ac:dyDescent="0.25">
      <c r="B174" s="2"/>
      <c r="C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row>
    <row r="175" spans="2:60" x14ac:dyDescent="0.25">
      <c r="B175" s="2"/>
      <c r="C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row>
    <row r="176" spans="2:60" x14ac:dyDescent="0.25">
      <c r="B176" s="2"/>
      <c r="C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row>
    <row r="177" spans="2:60" x14ac:dyDescent="0.25">
      <c r="B177" s="2"/>
      <c r="C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row>
    <row r="178" spans="2:60" x14ac:dyDescent="0.25">
      <c r="B178" s="2"/>
      <c r="C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row>
    <row r="179" spans="2:60" x14ac:dyDescent="0.25">
      <c r="B179" s="2"/>
      <c r="C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row>
    <row r="180" spans="2:60" x14ac:dyDescent="0.25">
      <c r="B180" s="2"/>
      <c r="C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row>
    <row r="181" spans="2:60" x14ac:dyDescent="0.25">
      <c r="B181" s="2"/>
      <c r="C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row>
    <row r="182" spans="2:60" x14ac:dyDescent="0.25">
      <c r="B182" s="2"/>
      <c r="C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row>
    <row r="183" spans="2:60" x14ac:dyDescent="0.25">
      <c r="B183" s="2"/>
      <c r="C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row>
    <row r="184" spans="2:60" x14ac:dyDescent="0.25">
      <c r="B184" s="2"/>
      <c r="C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row>
    <row r="185" spans="2:60" x14ac:dyDescent="0.25">
      <c r="B185" s="2"/>
      <c r="C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row>
    <row r="186" spans="2:60" x14ac:dyDescent="0.25">
      <c r="B186" s="2"/>
      <c r="C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row>
    <row r="187" spans="2:60" x14ac:dyDescent="0.25">
      <c r="B187" s="2"/>
      <c r="C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row>
    <row r="188" spans="2:60" x14ac:dyDescent="0.25">
      <c r="B188" s="2"/>
      <c r="C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row>
    <row r="189" spans="2:60" x14ac:dyDescent="0.25">
      <c r="B189" s="2"/>
      <c r="C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row>
    <row r="190" spans="2:60" x14ac:dyDescent="0.25">
      <c r="B190" s="2"/>
      <c r="C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row>
    <row r="191" spans="2:60" x14ac:dyDescent="0.25">
      <c r="B191" s="2"/>
      <c r="C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row>
    <row r="192" spans="2:60" x14ac:dyDescent="0.25">
      <c r="B192" s="2"/>
      <c r="C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row>
    <row r="193" spans="2:60" x14ac:dyDescent="0.25">
      <c r="B193" s="2"/>
      <c r="C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row>
    <row r="194" spans="2:60" x14ac:dyDescent="0.25">
      <c r="B194" s="2"/>
      <c r="C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row>
    <row r="195" spans="2:60" x14ac:dyDescent="0.25">
      <c r="B195" s="2"/>
      <c r="C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row>
    <row r="196" spans="2:60" x14ac:dyDescent="0.25">
      <c r="B196" s="2"/>
      <c r="C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row>
    <row r="197" spans="2:60" x14ac:dyDescent="0.25">
      <c r="B197" s="2"/>
      <c r="C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row>
    <row r="198" spans="2:60" x14ac:dyDescent="0.25">
      <c r="B198" s="2"/>
      <c r="C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row>
    <row r="199" spans="2:60" x14ac:dyDescent="0.25">
      <c r="B199" s="2"/>
      <c r="C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row>
    <row r="200" spans="2:60" x14ac:dyDescent="0.25">
      <c r="B200" s="2"/>
      <c r="C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row>
    <row r="201" spans="2:60" x14ac:dyDescent="0.25">
      <c r="B201" s="2"/>
      <c r="C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row>
    <row r="202" spans="2:60" x14ac:dyDescent="0.25">
      <c r="B202" s="2"/>
      <c r="C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row>
    <row r="203" spans="2:60" x14ac:dyDescent="0.25">
      <c r="B203" s="2"/>
      <c r="C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row>
    <row r="204" spans="2:60" x14ac:dyDescent="0.25">
      <c r="B204" s="2"/>
      <c r="C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row>
    <row r="205" spans="2:60" x14ac:dyDescent="0.25">
      <c r="B205" s="2"/>
      <c r="C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row>
    <row r="206" spans="2:60" x14ac:dyDescent="0.25">
      <c r="B206" s="2"/>
      <c r="C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row>
    <row r="207" spans="2:60" x14ac:dyDescent="0.25">
      <c r="B207" s="2"/>
      <c r="C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row>
    <row r="208" spans="2:60" x14ac:dyDescent="0.25">
      <c r="B208" s="2"/>
      <c r="C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row>
    <row r="209" spans="2:60" x14ac:dyDescent="0.25">
      <c r="B209" s="2"/>
      <c r="C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row>
    <row r="210" spans="2:60" x14ac:dyDescent="0.25">
      <c r="B210" s="2"/>
      <c r="C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row>
    <row r="211" spans="2:60" x14ac:dyDescent="0.25">
      <c r="B211" s="2"/>
      <c r="C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row>
    <row r="212" spans="2:60" x14ac:dyDescent="0.25">
      <c r="B212" s="2"/>
      <c r="C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row>
    <row r="213" spans="2:60" x14ac:dyDescent="0.25">
      <c r="B213" s="2"/>
      <c r="C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row>
    <row r="214" spans="2:60" x14ac:dyDescent="0.25">
      <c r="B214" s="2"/>
      <c r="C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row>
    <row r="215" spans="2:60" x14ac:dyDescent="0.25">
      <c r="B215" s="2"/>
      <c r="C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row>
    <row r="216" spans="2:60" x14ac:dyDescent="0.25">
      <c r="B216" s="2"/>
      <c r="C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row>
    <row r="217" spans="2:60" x14ac:dyDescent="0.25">
      <c r="B217" s="2"/>
      <c r="C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row>
    <row r="218" spans="2:60" x14ac:dyDescent="0.25">
      <c r="B218" s="2"/>
      <c r="C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row>
    <row r="219" spans="2:60" x14ac:dyDescent="0.25">
      <c r="B219" s="2"/>
      <c r="C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row>
    <row r="220" spans="2:60" x14ac:dyDescent="0.25">
      <c r="B220" s="2"/>
      <c r="C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row>
    <row r="221" spans="2:60" x14ac:dyDescent="0.25">
      <c r="B221" s="2"/>
      <c r="C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row>
    <row r="222" spans="2:60" x14ac:dyDescent="0.25">
      <c r="B222" s="2"/>
      <c r="C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row>
    <row r="223" spans="2:60" x14ac:dyDescent="0.25">
      <c r="B223" s="2"/>
      <c r="C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row>
    <row r="224" spans="2:60" x14ac:dyDescent="0.25">
      <c r="B224" s="2"/>
      <c r="C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row>
    <row r="225" spans="2:60" x14ac:dyDescent="0.25">
      <c r="B225" s="2"/>
      <c r="C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row>
    <row r="226" spans="2:60" x14ac:dyDescent="0.25">
      <c r="B226" s="2"/>
      <c r="C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row>
    <row r="227" spans="2:60" x14ac:dyDescent="0.25">
      <c r="B227" s="2"/>
      <c r="C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row>
    <row r="228" spans="2:60" x14ac:dyDescent="0.25">
      <c r="B228" s="2"/>
      <c r="C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row>
    <row r="229" spans="2:60" x14ac:dyDescent="0.25">
      <c r="B229" s="2"/>
      <c r="C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row>
    <row r="230" spans="2:60" x14ac:dyDescent="0.25">
      <c r="B230" s="2"/>
      <c r="C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row>
    <row r="231" spans="2:60" x14ac:dyDescent="0.25">
      <c r="B231" s="2"/>
      <c r="C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row>
    <row r="232" spans="2:60" x14ac:dyDescent="0.25">
      <c r="B232" s="2"/>
      <c r="C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row>
    <row r="233" spans="2:60" x14ac:dyDescent="0.25">
      <c r="B233" s="2"/>
      <c r="C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row>
    <row r="234" spans="2:60" x14ac:dyDescent="0.25">
      <c r="B234" s="2"/>
      <c r="C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row>
    <row r="235" spans="2:60" x14ac:dyDescent="0.25">
      <c r="B235" s="2"/>
      <c r="C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row>
    <row r="236" spans="2:60" x14ac:dyDescent="0.25">
      <c r="B236" s="2"/>
      <c r="C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row>
    <row r="237" spans="2:60" x14ac:dyDescent="0.25">
      <c r="B237" s="2"/>
      <c r="C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row>
    <row r="238" spans="2:60" x14ac:dyDescent="0.25">
      <c r="B238" s="2"/>
      <c r="C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row>
    <row r="239" spans="2:60" x14ac:dyDescent="0.25">
      <c r="B239" s="2"/>
      <c r="C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row>
    <row r="240" spans="2:60" x14ac:dyDescent="0.25">
      <c r="B240" s="2"/>
      <c r="C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row>
    <row r="241" spans="2:60" x14ac:dyDescent="0.25">
      <c r="B241" s="2"/>
      <c r="C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row>
    <row r="242" spans="2:60" x14ac:dyDescent="0.25">
      <c r="B242" s="2"/>
      <c r="C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row>
    <row r="243" spans="2:60" x14ac:dyDescent="0.25">
      <c r="B243" s="2"/>
      <c r="C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row>
    <row r="244" spans="2:60" x14ac:dyDescent="0.25">
      <c r="B244" s="2"/>
      <c r="C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row>
    <row r="245" spans="2:60" x14ac:dyDescent="0.25">
      <c r="B245" s="2"/>
      <c r="C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row>
    <row r="246" spans="2:60" x14ac:dyDescent="0.25">
      <c r="B246" s="2"/>
      <c r="C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row>
    <row r="247" spans="2:60" x14ac:dyDescent="0.25">
      <c r="B247" s="2"/>
      <c r="C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row>
    <row r="248" spans="2:60" x14ac:dyDescent="0.25">
      <c r="B248" s="2"/>
      <c r="C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row>
    <row r="249" spans="2:60" x14ac:dyDescent="0.25">
      <c r="B249" s="2"/>
      <c r="C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row>
    <row r="250" spans="2:60" x14ac:dyDescent="0.25">
      <c r="B250" s="2"/>
      <c r="C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row>
    <row r="251" spans="2:60" x14ac:dyDescent="0.25">
      <c r="B251" s="2"/>
      <c r="C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row>
    <row r="252" spans="2:60" x14ac:dyDescent="0.25">
      <c r="B252" s="2"/>
      <c r="C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row>
    <row r="253" spans="2:60" x14ac:dyDescent="0.25">
      <c r="B253" s="2"/>
      <c r="C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row>
    <row r="254" spans="2:60" x14ac:dyDescent="0.25">
      <c r="B254" s="2"/>
      <c r="C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row>
    <row r="255" spans="2:60" x14ac:dyDescent="0.25">
      <c r="B255" s="2"/>
      <c r="C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row>
    <row r="256" spans="2:60" x14ac:dyDescent="0.25">
      <c r="B256" s="2"/>
      <c r="C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row>
    <row r="257" spans="2:60" x14ac:dyDescent="0.25">
      <c r="B257" s="2"/>
      <c r="C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row>
    <row r="258" spans="2:60" x14ac:dyDescent="0.25">
      <c r="B258" s="2"/>
      <c r="C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row>
    <row r="259" spans="2:60" x14ac:dyDescent="0.25">
      <c r="B259" s="2"/>
      <c r="C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row>
    <row r="260" spans="2:60" x14ac:dyDescent="0.25">
      <c r="B260" s="2"/>
      <c r="C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row>
    <row r="261" spans="2:60" x14ac:dyDescent="0.25">
      <c r="B261" s="2"/>
      <c r="C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row>
    <row r="262" spans="2:60" x14ac:dyDescent="0.25">
      <c r="B262" s="2"/>
      <c r="C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row>
    <row r="263" spans="2:60" x14ac:dyDescent="0.25">
      <c r="B263" s="2"/>
      <c r="C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row>
    <row r="264" spans="2:60" x14ac:dyDescent="0.25">
      <c r="B264" s="2"/>
      <c r="C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row>
    <row r="265" spans="2:60" x14ac:dyDescent="0.25">
      <c r="B265" s="2"/>
      <c r="C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row>
    <row r="266" spans="2:60" x14ac:dyDescent="0.25">
      <c r="B266" s="2"/>
      <c r="C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row>
    <row r="267" spans="2:60" x14ac:dyDescent="0.25">
      <c r="B267" s="2"/>
      <c r="C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row>
    <row r="268" spans="2:60" x14ac:dyDescent="0.25">
      <c r="B268" s="2"/>
      <c r="C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row>
    <row r="269" spans="2:60" x14ac:dyDescent="0.25">
      <c r="B269" s="2"/>
      <c r="C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row>
    <row r="270" spans="2:60" x14ac:dyDescent="0.25">
      <c r="B270" s="2"/>
      <c r="C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row>
    <row r="271" spans="2:60" x14ac:dyDescent="0.25">
      <c r="B271" s="2"/>
      <c r="C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row>
    <row r="272" spans="2:60" x14ac:dyDescent="0.25">
      <c r="B272" s="2"/>
      <c r="C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row>
    <row r="273" spans="2:60" x14ac:dyDescent="0.25">
      <c r="B273" s="2"/>
      <c r="C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row>
    <row r="274" spans="2:60" x14ac:dyDescent="0.25">
      <c r="B274" s="2"/>
      <c r="C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row>
    <row r="275" spans="2:60" x14ac:dyDescent="0.25">
      <c r="B275" s="2"/>
      <c r="C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row>
    <row r="276" spans="2:60" x14ac:dyDescent="0.25">
      <c r="B276" s="2"/>
      <c r="C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row>
    <row r="277" spans="2:60" x14ac:dyDescent="0.25">
      <c r="B277" s="2"/>
      <c r="C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row>
    <row r="278" spans="2:60" x14ac:dyDescent="0.25">
      <c r="B278" s="2"/>
      <c r="C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row>
    <row r="279" spans="2:60" x14ac:dyDescent="0.25">
      <c r="B279" s="2"/>
      <c r="C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row>
    <row r="280" spans="2:60" x14ac:dyDescent="0.25">
      <c r="B280" s="2"/>
      <c r="C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row>
    <row r="281" spans="2:60" x14ac:dyDescent="0.25">
      <c r="B281" s="2"/>
      <c r="C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row>
    <row r="282" spans="2:60" x14ac:dyDescent="0.25">
      <c r="B282" s="2"/>
      <c r="C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row>
    <row r="283" spans="2:60" x14ac:dyDescent="0.25">
      <c r="B283" s="2"/>
      <c r="C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row>
    <row r="284" spans="2:60" x14ac:dyDescent="0.25">
      <c r="B284" s="2"/>
      <c r="C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row>
    <row r="285" spans="2:60" x14ac:dyDescent="0.25">
      <c r="B285" s="2"/>
      <c r="C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row>
    <row r="286" spans="2:60" x14ac:dyDescent="0.25">
      <c r="B286" s="2"/>
      <c r="C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row>
    <row r="287" spans="2:60" x14ac:dyDescent="0.25">
      <c r="B287" s="2"/>
      <c r="C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row>
    <row r="288" spans="2:60" x14ac:dyDescent="0.25">
      <c r="B288" s="2"/>
      <c r="C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row>
    <row r="289" spans="2:60" x14ac:dyDescent="0.25">
      <c r="B289" s="2"/>
      <c r="C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row>
    <row r="290" spans="2:60" x14ac:dyDescent="0.25">
      <c r="B290" s="2"/>
      <c r="C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row>
    <row r="291" spans="2:60" x14ac:dyDescent="0.25">
      <c r="B291" s="2"/>
      <c r="C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row>
    <row r="292" spans="2:60" x14ac:dyDescent="0.25">
      <c r="B292" s="2"/>
      <c r="C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row>
    <row r="293" spans="2:60" x14ac:dyDescent="0.25">
      <c r="B293" s="2"/>
      <c r="C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row>
    <row r="294" spans="2:60" x14ac:dyDescent="0.25">
      <c r="B294" s="2"/>
      <c r="C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row>
    <row r="295" spans="2:60" x14ac:dyDescent="0.25">
      <c r="B295" s="2"/>
      <c r="C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row>
    <row r="296" spans="2:60" x14ac:dyDescent="0.25">
      <c r="B296" s="2"/>
      <c r="C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row>
    <row r="297" spans="2:60" x14ac:dyDescent="0.25">
      <c r="B297" s="2"/>
      <c r="C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row>
    <row r="298" spans="2:60" x14ac:dyDescent="0.25">
      <c r="B298" s="2"/>
      <c r="C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row>
    <row r="299" spans="2:60" x14ac:dyDescent="0.25">
      <c r="B299" s="2"/>
      <c r="C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row>
    <row r="300" spans="2:60" x14ac:dyDescent="0.25">
      <c r="B300" s="2"/>
      <c r="C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row>
    <row r="301" spans="2:60" x14ac:dyDescent="0.25">
      <c r="B301" s="2"/>
      <c r="C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row>
    <row r="302" spans="2:60" x14ac:dyDescent="0.25">
      <c r="B302" s="2"/>
      <c r="C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row>
    <row r="303" spans="2:60" x14ac:dyDescent="0.25">
      <c r="B303" s="2"/>
      <c r="C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row>
    <row r="304" spans="2:60" x14ac:dyDescent="0.25">
      <c r="B304" s="2"/>
      <c r="C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row>
    <row r="305" spans="2:60" x14ac:dyDescent="0.25">
      <c r="B305" s="2"/>
      <c r="C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row>
    <row r="306" spans="2:60" x14ac:dyDescent="0.25">
      <c r="B306" s="2"/>
      <c r="C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row>
    <row r="307" spans="2:60" x14ac:dyDescent="0.25">
      <c r="B307" s="2"/>
      <c r="C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row>
    <row r="308" spans="2:60" x14ac:dyDescent="0.25">
      <c r="B308" s="2"/>
      <c r="C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row>
    <row r="309" spans="2:60" x14ac:dyDescent="0.25">
      <c r="B309" s="2"/>
      <c r="C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row>
    <row r="310" spans="2:60" x14ac:dyDescent="0.25">
      <c r="B310" s="2"/>
      <c r="C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row>
    <row r="311" spans="2:60" x14ac:dyDescent="0.25">
      <c r="B311" s="2"/>
      <c r="C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row>
    <row r="312" spans="2:60" x14ac:dyDescent="0.25">
      <c r="B312" s="2"/>
      <c r="C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row>
    <row r="313" spans="2:60" x14ac:dyDescent="0.25">
      <c r="B313" s="2"/>
      <c r="C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row>
    <row r="314" spans="2:60" x14ac:dyDescent="0.25">
      <c r="B314" s="2"/>
      <c r="C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row>
    <row r="315" spans="2:60" x14ac:dyDescent="0.25">
      <c r="B315" s="2"/>
      <c r="C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row>
    <row r="316" spans="2:60" x14ac:dyDescent="0.25">
      <c r="B316" s="2"/>
      <c r="C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row>
    <row r="317" spans="2:60" x14ac:dyDescent="0.25">
      <c r="B317" s="2"/>
      <c r="C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row>
    <row r="318" spans="2:60" x14ac:dyDescent="0.25">
      <c r="B318" s="2"/>
      <c r="C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row>
    <row r="319" spans="2:60" x14ac:dyDescent="0.25">
      <c r="B319" s="2"/>
      <c r="C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row>
    <row r="320" spans="2:60" x14ac:dyDescent="0.25">
      <c r="B320" s="2"/>
      <c r="C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row>
    <row r="321" spans="2:60" x14ac:dyDescent="0.25">
      <c r="B321" s="2"/>
      <c r="C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row>
    <row r="322" spans="2:60" x14ac:dyDescent="0.25">
      <c r="B322" s="2"/>
      <c r="C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row>
    <row r="323" spans="2:60" x14ac:dyDescent="0.25">
      <c r="B323" s="2"/>
      <c r="C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row>
    <row r="324" spans="2:60" x14ac:dyDescent="0.25">
      <c r="B324" s="2"/>
      <c r="C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row>
    <row r="325" spans="2:60" x14ac:dyDescent="0.25">
      <c r="B325" s="2"/>
      <c r="C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row>
    <row r="326" spans="2:60" x14ac:dyDescent="0.25">
      <c r="B326" s="2"/>
      <c r="C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row>
    <row r="327" spans="2:60" x14ac:dyDescent="0.25">
      <c r="B327" s="2"/>
      <c r="C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row>
    <row r="328" spans="2:60" x14ac:dyDescent="0.25">
      <c r="B328" s="2"/>
      <c r="C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row>
    <row r="329" spans="2:60" x14ac:dyDescent="0.25">
      <c r="B329" s="2"/>
      <c r="C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row>
    <row r="330" spans="2:60" x14ac:dyDescent="0.25">
      <c r="B330" s="2"/>
      <c r="C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row>
    <row r="331" spans="2:60" x14ac:dyDescent="0.25">
      <c r="B331" s="2"/>
      <c r="C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row>
    <row r="332" spans="2:60" x14ac:dyDescent="0.25">
      <c r="B332" s="2"/>
      <c r="C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row>
    <row r="333" spans="2:60" x14ac:dyDescent="0.25">
      <c r="B333" s="2"/>
      <c r="C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row>
    <row r="334" spans="2:60" x14ac:dyDescent="0.25">
      <c r="B334" s="2"/>
      <c r="C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row>
    <row r="335" spans="2:60" x14ac:dyDescent="0.25">
      <c r="B335" s="2"/>
      <c r="C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row>
    <row r="336" spans="2:60" x14ac:dyDescent="0.25">
      <c r="B336" s="2"/>
      <c r="C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row>
    <row r="337" spans="2:60" x14ac:dyDescent="0.25">
      <c r="B337" s="2"/>
      <c r="C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row>
    <row r="338" spans="2:60" x14ac:dyDescent="0.25">
      <c r="B338" s="2"/>
      <c r="C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row>
    <row r="339" spans="2:60" x14ac:dyDescent="0.25">
      <c r="B339" s="2"/>
      <c r="C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row>
    <row r="340" spans="2:60" x14ac:dyDescent="0.25">
      <c r="B340" s="2"/>
      <c r="C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row>
    <row r="341" spans="2:60" x14ac:dyDescent="0.25">
      <c r="B341" s="2"/>
      <c r="C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row>
    <row r="342" spans="2:60" x14ac:dyDescent="0.25">
      <c r="B342" s="2"/>
      <c r="C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row>
    <row r="343" spans="2:60" x14ac:dyDescent="0.25">
      <c r="B343" s="2"/>
      <c r="C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row>
    <row r="344" spans="2:60" x14ac:dyDescent="0.25">
      <c r="B344" s="2"/>
      <c r="C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row>
    <row r="345" spans="2:60" x14ac:dyDescent="0.25">
      <c r="B345" s="2"/>
      <c r="C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row>
    <row r="346" spans="2:60" x14ac:dyDescent="0.25">
      <c r="B346" s="2"/>
      <c r="C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row>
    <row r="347" spans="2:60" x14ac:dyDescent="0.25">
      <c r="B347" s="2"/>
      <c r="C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row>
    <row r="348" spans="2:60" x14ac:dyDescent="0.25">
      <c r="B348" s="2"/>
      <c r="C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row>
    <row r="349" spans="2:60" x14ac:dyDescent="0.25">
      <c r="B349" s="2"/>
      <c r="C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row>
    <row r="350" spans="2:60" x14ac:dyDescent="0.25">
      <c r="B350" s="2"/>
      <c r="C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row>
    <row r="351" spans="2:60" x14ac:dyDescent="0.25">
      <c r="B351" s="2"/>
      <c r="C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row>
    <row r="352" spans="2:60" x14ac:dyDescent="0.25">
      <c r="B352" s="2"/>
      <c r="C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row>
    <row r="353" spans="2:60" x14ac:dyDescent="0.25">
      <c r="B353" s="2"/>
      <c r="C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row>
    <row r="354" spans="2:60" x14ac:dyDescent="0.25">
      <c r="B354" s="2"/>
      <c r="C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row>
    <row r="355" spans="2:60" x14ac:dyDescent="0.25">
      <c r="B355" s="2"/>
      <c r="C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row>
    <row r="356" spans="2:60" x14ac:dyDescent="0.25">
      <c r="B356" s="2"/>
      <c r="C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row>
    <row r="357" spans="2:60" x14ac:dyDescent="0.25">
      <c r="B357" s="2"/>
      <c r="C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row>
    <row r="358" spans="2:60" x14ac:dyDescent="0.25">
      <c r="B358" s="2"/>
      <c r="C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row>
    <row r="359" spans="2:60" x14ac:dyDescent="0.25">
      <c r="B359" s="2"/>
      <c r="C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row>
    <row r="360" spans="2:60" x14ac:dyDescent="0.25">
      <c r="B360" s="2"/>
      <c r="C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row>
    <row r="361" spans="2:60" x14ac:dyDescent="0.25">
      <c r="B361" s="2"/>
      <c r="C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row>
    <row r="362" spans="2:60" x14ac:dyDescent="0.25">
      <c r="B362" s="2"/>
      <c r="C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row>
    <row r="363" spans="2:60" x14ac:dyDescent="0.25">
      <c r="B363" s="2"/>
      <c r="C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row>
    <row r="364" spans="2:60" x14ac:dyDescent="0.25">
      <c r="B364" s="2"/>
      <c r="C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row>
    <row r="365" spans="2:60" x14ac:dyDescent="0.25">
      <c r="B365" s="2"/>
      <c r="C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row>
    <row r="366" spans="2:60" x14ac:dyDescent="0.25">
      <c r="B366" s="2"/>
      <c r="C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row>
    <row r="367" spans="2:60" x14ac:dyDescent="0.25">
      <c r="B367" s="2"/>
      <c r="C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row>
    <row r="368" spans="2:60" x14ac:dyDescent="0.25">
      <c r="B368" s="2"/>
      <c r="C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row>
    <row r="369" spans="2:60" x14ac:dyDescent="0.25">
      <c r="B369" s="2"/>
      <c r="C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row>
    <row r="370" spans="2:60" x14ac:dyDescent="0.25">
      <c r="B370" s="2"/>
      <c r="C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row>
    <row r="371" spans="2:60" x14ac:dyDescent="0.25">
      <c r="B371" s="2"/>
      <c r="C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row>
    <row r="372" spans="2:60" x14ac:dyDescent="0.25">
      <c r="B372" s="2"/>
      <c r="C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row>
    <row r="373" spans="2:60" x14ac:dyDescent="0.25">
      <c r="B373" s="2"/>
      <c r="C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row>
    <row r="374" spans="2:60" x14ac:dyDescent="0.25">
      <c r="B374" s="2"/>
      <c r="C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row>
    <row r="375" spans="2:60" x14ac:dyDescent="0.25">
      <c r="B375" s="2"/>
      <c r="C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row>
    <row r="376" spans="2:60" x14ac:dyDescent="0.25">
      <c r="B376" s="2"/>
      <c r="C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row>
    <row r="377" spans="2:60" x14ac:dyDescent="0.25">
      <c r="B377" s="2"/>
      <c r="C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row>
    <row r="378" spans="2:60" x14ac:dyDescent="0.25">
      <c r="B378" s="2"/>
      <c r="C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row>
    <row r="379" spans="2:60" x14ac:dyDescent="0.25">
      <c r="B379" s="2"/>
      <c r="C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row>
    <row r="380" spans="2:60" x14ac:dyDescent="0.25">
      <c r="B380" s="2"/>
      <c r="C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row>
    <row r="381" spans="2:60" x14ac:dyDescent="0.25">
      <c r="B381" s="2"/>
      <c r="C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row>
    <row r="382" spans="2:60" x14ac:dyDescent="0.25">
      <c r="B382" s="2"/>
      <c r="C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row>
    <row r="383" spans="2:60" x14ac:dyDescent="0.25">
      <c r="B383" s="2"/>
      <c r="C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row>
    <row r="384" spans="2:60" x14ac:dyDescent="0.25">
      <c r="B384" s="2"/>
      <c r="C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row>
    <row r="385" spans="2:60" x14ac:dyDescent="0.25">
      <c r="B385" s="2"/>
      <c r="C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row>
    <row r="386" spans="2:60" x14ac:dyDescent="0.25">
      <c r="B386" s="2"/>
      <c r="C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row>
    <row r="387" spans="2:60" x14ac:dyDescent="0.25">
      <c r="B387" s="2"/>
      <c r="C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row>
    <row r="388" spans="2:60" x14ac:dyDescent="0.25">
      <c r="B388" s="2"/>
      <c r="C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row>
    <row r="389" spans="2:60" x14ac:dyDescent="0.25">
      <c r="B389" s="2"/>
      <c r="C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row>
    <row r="390" spans="2:60" x14ac:dyDescent="0.25">
      <c r="B390" s="2"/>
      <c r="C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row>
    <row r="391" spans="2:60" x14ac:dyDescent="0.25">
      <c r="B391" s="2"/>
      <c r="C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row>
    <row r="392" spans="2:60" x14ac:dyDescent="0.25">
      <c r="B392" s="2"/>
      <c r="C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row>
    <row r="393" spans="2:60" x14ac:dyDescent="0.25">
      <c r="B393" s="2"/>
      <c r="C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row>
    <row r="394" spans="2:60" x14ac:dyDescent="0.25">
      <c r="B394" s="2"/>
      <c r="C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row>
    <row r="395" spans="2:60" x14ac:dyDescent="0.25">
      <c r="B395" s="2"/>
      <c r="C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row>
    <row r="396" spans="2:60" x14ac:dyDescent="0.25">
      <c r="B396" s="2"/>
      <c r="C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row>
    <row r="397" spans="2:60" x14ac:dyDescent="0.25">
      <c r="B397" s="2"/>
      <c r="C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row>
    <row r="398" spans="2:60" x14ac:dyDescent="0.25">
      <c r="B398" s="2"/>
      <c r="C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row>
    <row r="399" spans="2:60" x14ac:dyDescent="0.25">
      <c r="B399" s="2"/>
      <c r="C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row>
    <row r="400" spans="2:60" x14ac:dyDescent="0.25">
      <c r="B400" s="2"/>
      <c r="C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row>
    <row r="401" spans="2:60" x14ac:dyDescent="0.25">
      <c r="B401" s="2"/>
      <c r="C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row>
    <row r="402" spans="2:60" x14ac:dyDescent="0.25">
      <c r="B402" s="2"/>
      <c r="C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row>
    <row r="403" spans="2:60" x14ac:dyDescent="0.25">
      <c r="B403" s="2"/>
      <c r="C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row>
    <row r="404" spans="2:60" x14ac:dyDescent="0.25">
      <c r="B404" s="2"/>
      <c r="C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row>
    <row r="405" spans="2:60" x14ac:dyDescent="0.25">
      <c r="B405" s="2"/>
      <c r="C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row>
    <row r="406" spans="2:60" x14ac:dyDescent="0.25">
      <c r="B406" s="2"/>
      <c r="C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row>
    <row r="407" spans="2:60" x14ac:dyDescent="0.25">
      <c r="B407" s="2"/>
      <c r="C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row>
    <row r="408" spans="2:60" x14ac:dyDescent="0.25">
      <c r="B408" s="2"/>
      <c r="C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row>
    <row r="409" spans="2:60" x14ac:dyDescent="0.25">
      <c r="B409" s="2"/>
      <c r="C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row>
    <row r="410" spans="2:60" x14ac:dyDescent="0.25">
      <c r="B410" s="2"/>
      <c r="C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row>
    <row r="411" spans="2:60" x14ac:dyDescent="0.25">
      <c r="B411" s="2"/>
      <c r="C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row>
    <row r="412" spans="2:60" x14ac:dyDescent="0.25">
      <c r="B412" s="2"/>
      <c r="C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row>
    <row r="413" spans="2:60" x14ac:dyDescent="0.25">
      <c r="B413" s="2"/>
      <c r="C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row>
    <row r="414" spans="2:60" x14ac:dyDescent="0.25">
      <c r="B414" s="2"/>
      <c r="C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row>
    <row r="415" spans="2:60" x14ac:dyDescent="0.25">
      <c r="B415" s="2"/>
      <c r="C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row>
    <row r="416" spans="2:60" x14ac:dyDescent="0.25">
      <c r="B416" s="2"/>
      <c r="C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row>
    <row r="417" spans="2:60" x14ac:dyDescent="0.25">
      <c r="B417" s="2"/>
      <c r="C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row>
    <row r="418" spans="2:60" x14ac:dyDescent="0.25">
      <c r="B418" s="2"/>
      <c r="C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row>
    <row r="419" spans="2:60" x14ac:dyDescent="0.25">
      <c r="B419" s="2"/>
      <c r="C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row>
    <row r="420" spans="2:60" x14ac:dyDescent="0.25">
      <c r="B420" s="2"/>
      <c r="C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row>
    <row r="421" spans="2:60" x14ac:dyDescent="0.25">
      <c r="B421" s="2"/>
      <c r="C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row>
    <row r="422" spans="2:60" x14ac:dyDescent="0.25">
      <c r="B422" s="2"/>
      <c r="C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row>
    <row r="423" spans="2:60" x14ac:dyDescent="0.25">
      <c r="B423" s="2"/>
      <c r="C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row>
    <row r="424" spans="2:60" x14ac:dyDescent="0.25">
      <c r="B424" s="2"/>
      <c r="C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row>
    <row r="425" spans="2:60" x14ac:dyDescent="0.25">
      <c r="B425" s="2"/>
      <c r="C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row>
    <row r="426" spans="2:60" x14ac:dyDescent="0.25">
      <c r="B426" s="2"/>
      <c r="C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row>
    <row r="427" spans="2:60" x14ac:dyDescent="0.25">
      <c r="B427" s="2"/>
      <c r="C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row>
    <row r="428" spans="2:60" x14ac:dyDescent="0.25">
      <c r="B428" s="2"/>
      <c r="C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row>
    <row r="429" spans="2:60" x14ac:dyDescent="0.25">
      <c r="B429" s="2"/>
      <c r="C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row>
    <row r="430" spans="2:60" x14ac:dyDescent="0.25">
      <c r="B430" s="2"/>
      <c r="C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row>
    <row r="431" spans="2:60" x14ac:dyDescent="0.25">
      <c r="B431" s="2"/>
      <c r="C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row>
    <row r="432" spans="2:60" x14ac:dyDescent="0.25">
      <c r="B432" s="2"/>
      <c r="C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row>
    <row r="433" spans="2:60" x14ac:dyDescent="0.25">
      <c r="B433" s="2"/>
      <c r="C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row>
    <row r="434" spans="2:60" x14ac:dyDescent="0.25">
      <c r="B434" s="2"/>
      <c r="C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row>
    <row r="435" spans="2:60" x14ac:dyDescent="0.25">
      <c r="B435" s="2"/>
      <c r="C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row>
    <row r="436" spans="2:60" x14ac:dyDescent="0.25">
      <c r="B436" s="2"/>
      <c r="C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row>
    <row r="437" spans="2:60" x14ac:dyDescent="0.25">
      <c r="B437" s="2"/>
      <c r="C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row>
    <row r="438" spans="2:60" x14ac:dyDescent="0.25">
      <c r="B438" s="2"/>
      <c r="C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row>
    <row r="439" spans="2:60" x14ac:dyDescent="0.25">
      <c r="B439" s="2"/>
      <c r="C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row>
    <row r="440" spans="2:60" x14ac:dyDescent="0.25">
      <c r="B440" s="2"/>
      <c r="C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row>
    <row r="441" spans="2:60" x14ac:dyDescent="0.25">
      <c r="B441" s="2"/>
      <c r="C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row>
    <row r="442" spans="2:60" x14ac:dyDescent="0.25">
      <c r="B442" s="2"/>
      <c r="C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row>
    <row r="443" spans="2:60" x14ac:dyDescent="0.25">
      <c r="B443" s="2"/>
      <c r="C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row>
    <row r="444" spans="2:60" x14ac:dyDescent="0.25">
      <c r="B444" s="2"/>
      <c r="C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row>
    <row r="445" spans="2:60" x14ac:dyDescent="0.25">
      <c r="B445" s="2"/>
      <c r="C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row>
    <row r="446" spans="2:60" x14ac:dyDescent="0.25">
      <c r="B446" s="2"/>
      <c r="C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row>
    <row r="447" spans="2:60" x14ac:dyDescent="0.25">
      <c r="B447" s="2"/>
      <c r="C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row>
    <row r="448" spans="2:60" x14ac:dyDescent="0.25">
      <c r="B448" s="2"/>
      <c r="C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row>
    <row r="449" spans="2:60" x14ac:dyDescent="0.25">
      <c r="B449" s="2"/>
      <c r="C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row>
    <row r="450" spans="2:60" x14ac:dyDescent="0.25">
      <c r="B450" s="2"/>
      <c r="C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row>
    <row r="451" spans="2:60" x14ac:dyDescent="0.25">
      <c r="B451" s="2"/>
      <c r="C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row>
    <row r="452" spans="2:60" x14ac:dyDescent="0.25">
      <c r="B452" s="2"/>
      <c r="C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row>
    <row r="453" spans="2:60" x14ac:dyDescent="0.25">
      <c r="B453" s="2"/>
      <c r="C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row>
    <row r="454" spans="2:60" x14ac:dyDescent="0.25">
      <c r="B454" s="2"/>
      <c r="C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row>
    <row r="455" spans="2:60" x14ac:dyDescent="0.25">
      <c r="B455" s="2"/>
      <c r="C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row>
    <row r="456" spans="2:60" x14ac:dyDescent="0.25">
      <c r="B456" s="2"/>
      <c r="C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row>
    <row r="457" spans="2:60" x14ac:dyDescent="0.25">
      <c r="B457" s="2"/>
      <c r="C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row>
    <row r="458" spans="2:60" x14ac:dyDescent="0.25">
      <c r="B458" s="2"/>
      <c r="C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row>
    <row r="459" spans="2:60" x14ac:dyDescent="0.25">
      <c r="B459" s="2"/>
      <c r="C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row>
    <row r="460" spans="2:60" x14ac:dyDescent="0.25">
      <c r="B460" s="2"/>
      <c r="C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row>
    <row r="461" spans="2:60" x14ac:dyDescent="0.25">
      <c r="B461" s="2"/>
      <c r="C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row>
    <row r="462" spans="2:60" x14ac:dyDescent="0.25">
      <c r="B462" s="2"/>
      <c r="C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row>
    <row r="463" spans="2:60" x14ac:dyDescent="0.25">
      <c r="B463" s="2"/>
      <c r="C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row>
    <row r="464" spans="2:60" x14ac:dyDescent="0.25">
      <c r="B464" s="2"/>
      <c r="C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row>
    <row r="465" spans="2:60" x14ac:dyDescent="0.25">
      <c r="B465" s="2"/>
      <c r="C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row>
    <row r="466" spans="2:60" x14ac:dyDescent="0.25">
      <c r="B466" s="2"/>
      <c r="C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row>
    <row r="467" spans="2:60" x14ac:dyDescent="0.25">
      <c r="B467" s="2"/>
      <c r="C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row>
    <row r="468" spans="2:60" x14ac:dyDescent="0.25">
      <c r="B468" s="2"/>
      <c r="C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row>
    <row r="469" spans="2:60" x14ac:dyDescent="0.25">
      <c r="B469" s="2"/>
      <c r="C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row>
    <row r="470" spans="2:60" x14ac:dyDescent="0.25">
      <c r="B470" s="2"/>
      <c r="C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row>
    <row r="471" spans="2:60" x14ac:dyDescent="0.25">
      <c r="B471" s="2"/>
      <c r="C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row>
    <row r="472" spans="2:60" x14ac:dyDescent="0.25">
      <c r="B472" s="2"/>
      <c r="C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row>
    <row r="473" spans="2:60" x14ac:dyDescent="0.25">
      <c r="B473" s="2"/>
      <c r="C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row>
    <row r="474" spans="2:60" x14ac:dyDescent="0.25">
      <c r="B474" s="2"/>
      <c r="C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row>
    <row r="475" spans="2:60" x14ac:dyDescent="0.25">
      <c r="B475" s="2"/>
      <c r="C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row>
    <row r="476" spans="2:60" x14ac:dyDescent="0.25">
      <c r="B476" s="2"/>
      <c r="C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row>
    <row r="477" spans="2:60" x14ac:dyDescent="0.25">
      <c r="B477" s="2"/>
      <c r="C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row>
    <row r="478" spans="2:60" x14ac:dyDescent="0.25">
      <c r="B478" s="2"/>
      <c r="C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row>
    <row r="479" spans="2:60" x14ac:dyDescent="0.25">
      <c r="B479" s="2"/>
      <c r="C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row>
    <row r="480" spans="2:60" x14ac:dyDescent="0.25">
      <c r="B480" s="2"/>
      <c r="C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row>
    <row r="481" spans="2:60" x14ac:dyDescent="0.25">
      <c r="B481" s="2"/>
      <c r="C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row>
    <row r="482" spans="2:60" x14ac:dyDescent="0.25">
      <c r="B482" s="2"/>
      <c r="C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row>
    <row r="483" spans="2:60" x14ac:dyDescent="0.25">
      <c r="B483" s="2"/>
      <c r="C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row>
    <row r="484" spans="2:60" x14ac:dyDescent="0.25">
      <c r="B484" s="2"/>
      <c r="C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row>
    <row r="485" spans="2:60" x14ac:dyDescent="0.25">
      <c r="B485" s="2"/>
      <c r="C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row>
    <row r="486" spans="2:60" x14ac:dyDescent="0.25">
      <c r="B486" s="2"/>
      <c r="C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row>
    <row r="487" spans="2:60" x14ac:dyDescent="0.25">
      <c r="B487" s="2"/>
      <c r="C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row>
    <row r="488" spans="2:60" x14ac:dyDescent="0.25">
      <c r="B488" s="2"/>
      <c r="C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row>
    <row r="489" spans="2:60" x14ac:dyDescent="0.25">
      <c r="B489" s="2"/>
      <c r="C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row>
    <row r="490" spans="2:60" x14ac:dyDescent="0.25">
      <c r="B490" s="2"/>
      <c r="C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row>
    <row r="491" spans="2:60" x14ac:dyDescent="0.25">
      <c r="B491" s="2"/>
      <c r="C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row>
    <row r="492" spans="2:60" x14ac:dyDescent="0.25">
      <c r="B492" s="2"/>
      <c r="C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row>
    <row r="493" spans="2:60" x14ac:dyDescent="0.25">
      <c r="B493" s="2"/>
      <c r="C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row>
    <row r="494" spans="2:60" x14ac:dyDescent="0.25">
      <c r="B494" s="2"/>
      <c r="C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row>
    <row r="495" spans="2:60" x14ac:dyDescent="0.25">
      <c r="B495" s="2"/>
      <c r="C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row>
    <row r="496" spans="2:60" x14ac:dyDescent="0.25">
      <c r="B496" s="2"/>
      <c r="C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row>
    <row r="497" spans="2:60" x14ac:dyDescent="0.25">
      <c r="B497" s="2"/>
      <c r="C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row>
    <row r="498" spans="2:60" x14ac:dyDescent="0.25">
      <c r="B498" s="2"/>
      <c r="C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row>
    <row r="499" spans="2:60" x14ac:dyDescent="0.25">
      <c r="B499" s="2"/>
      <c r="C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row>
    <row r="500" spans="2:60" x14ac:dyDescent="0.25">
      <c r="B500" s="2"/>
      <c r="C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row>
    <row r="501" spans="2:60" x14ac:dyDescent="0.25">
      <c r="B501" s="2"/>
      <c r="C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row>
    <row r="502" spans="2:60" x14ac:dyDescent="0.25">
      <c r="B502" s="2"/>
      <c r="C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row>
    <row r="503" spans="2:60" x14ac:dyDescent="0.25">
      <c r="B503" s="2"/>
      <c r="C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row>
    <row r="504" spans="2:60" x14ac:dyDescent="0.25">
      <c r="B504" s="2"/>
      <c r="C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row>
    <row r="505" spans="2:60" x14ac:dyDescent="0.25">
      <c r="B505" s="2"/>
      <c r="C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row>
    <row r="506" spans="2:60" x14ac:dyDescent="0.25">
      <c r="B506" s="2"/>
      <c r="C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row>
    <row r="507" spans="2:60" x14ac:dyDescent="0.25">
      <c r="B507" s="2"/>
      <c r="C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row>
    <row r="508" spans="2:60" x14ac:dyDescent="0.25">
      <c r="B508" s="2"/>
      <c r="C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row>
    <row r="509" spans="2:60" x14ac:dyDescent="0.25">
      <c r="B509" s="2"/>
      <c r="C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row>
    <row r="510" spans="2:60" x14ac:dyDescent="0.25">
      <c r="B510" s="2"/>
      <c r="C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row>
    <row r="511" spans="2:60" x14ac:dyDescent="0.25">
      <c r="B511" s="2"/>
      <c r="C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row>
    <row r="512" spans="2:60" x14ac:dyDescent="0.25">
      <c r="B512" s="2"/>
      <c r="C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row>
    <row r="513" spans="2:60" x14ac:dyDescent="0.25">
      <c r="B513" s="2"/>
      <c r="C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row>
    <row r="514" spans="2:60" x14ac:dyDescent="0.25">
      <c r="B514" s="2"/>
      <c r="C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row>
    <row r="515" spans="2:60" x14ac:dyDescent="0.25">
      <c r="B515" s="2"/>
      <c r="C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row>
    <row r="516" spans="2:60" x14ac:dyDescent="0.25">
      <c r="B516" s="2"/>
      <c r="C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row>
    <row r="517" spans="2:60" x14ac:dyDescent="0.25">
      <c r="B517" s="2"/>
      <c r="C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row>
    <row r="518" spans="2:60" x14ac:dyDescent="0.25">
      <c r="B518" s="2"/>
      <c r="C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row>
    <row r="519" spans="2:60" x14ac:dyDescent="0.25">
      <c r="B519" s="2"/>
      <c r="C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row>
    <row r="520" spans="2:60" x14ac:dyDescent="0.25">
      <c r="B520" s="2"/>
      <c r="C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row>
    <row r="521" spans="2:60" x14ac:dyDescent="0.25">
      <c r="B521" s="2"/>
      <c r="C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row>
    <row r="522" spans="2:60" x14ac:dyDescent="0.25">
      <c r="B522" s="2"/>
      <c r="C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row>
    <row r="523" spans="2:60" x14ac:dyDescent="0.25">
      <c r="B523" s="2"/>
      <c r="C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row>
    <row r="524" spans="2:60" x14ac:dyDescent="0.25">
      <c r="B524" s="2"/>
      <c r="C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row>
    <row r="525" spans="2:60" x14ac:dyDescent="0.25">
      <c r="B525" s="2"/>
      <c r="C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row>
    <row r="526" spans="2:60" x14ac:dyDescent="0.25">
      <c r="B526" s="2"/>
      <c r="C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row>
    <row r="527" spans="2:60" x14ac:dyDescent="0.25">
      <c r="B527" s="2"/>
      <c r="C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row>
    <row r="528" spans="2:60" x14ac:dyDescent="0.25">
      <c r="B528" s="2"/>
      <c r="C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row>
    <row r="529" spans="2:60" x14ac:dyDescent="0.25">
      <c r="B529" s="2"/>
      <c r="C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row>
    <row r="530" spans="2:60" x14ac:dyDescent="0.25">
      <c r="B530" s="2"/>
      <c r="C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row>
    <row r="531" spans="2:60" x14ac:dyDescent="0.25">
      <c r="B531" s="2"/>
      <c r="C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row>
    <row r="532" spans="2:60" x14ac:dyDescent="0.25">
      <c r="B532" s="2"/>
      <c r="C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row>
    <row r="533" spans="2:60" x14ac:dyDescent="0.25">
      <c r="B533" s="2"/>
      <c r="C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row>
    <row r="534" spans="2:60" x14ac:dyDescent="0.25">
      <c r="B534" s="2"/>
      <c r="C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row>
    <row r="535" spans="2:60" x14ac:dyDescent="0.25">
      <c r="B535" s="2"/>
      <c r="C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row>
    <row r="536" spans="2:60" x14ac:dyDescent="0.25">
      <c r="B536" s="2"/>
      <c r="C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row>
    <row r="537" spans="2:60" x14ac:dyDescent="0.25">
      <c r="B537" s="2"/>
      <c r="C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row>
    <row r="538" spans="2:60" x14ac:dyDescent="0.25">
      <c r="B538" s="2"/>
      <c r="C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row>
    <row r="539" spans="2:60" x14ac:dyDescent="0.25">
      <c r="B539" s="2"/>
      <c r="C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row>
    <row r="540" spans="2:60" x14ac:dyDescent="0.25">
      <c r="B540" s="2"/>
      <c r="C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row>
    <row r="541" spans="2:60" x14ac:dyDescent="0.25">
      <c r="B541" s="2"/>
      <c r="C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row>
    <row r="542" spans="2:60" x14ac:dyDescent="0.25">
      <c r="B542" s="2"/>
      <c r="C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row>
    <row r="543" spans="2:60" x14ac:dyDescent="0.25">
      <c r="B543" s="2"/>
      <c r="C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row>
    <row r="544" spans="2:60" x14ac:dyDescent="0.25">
      <c r="B544" s="2"/>
      <c r="C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row>
    <row r="545" spans="2:60" x14ac:dyDescent="0.25">
      <c r="B545" s="2"/>
      <c r="C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row>
    <row r="546" spans="2:60" x14ac:dyDescent="0.25">
      <c r="B546" s="2"/>
      <c r="C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row>
    <row r="547" spans="2:60" x14ac:dyDescent="0.25">
      <c r="B547" s="2"/>
      <c r="C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row>
    <row r="548" spans="2:60" x14ac:dyDescent="0.25">
      <c r="B548" s="2"/>
      <c r="C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row>
    <row r="549" spans="2:60" x14ac:dyDescent="0.25">
      <c r="B549" s="2"/>
      <c r="C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row>
    <row r="550" spans="2:60" x14ac:dyDescent="0.25">
      <c r="B550" s="2"/>
      <c r="C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row>
    <row r="551" spans="2:60" x14ac:dyDescent="0.25">
      <c r="B551" s="2"/>
      <c r="C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row>
    <row r="552" spans="2:60" x14ac:dyDescent="0.25">
      <c r="B552" s="2"/>
      <c r="C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row>
    <row r="553" spans="2:60" x14ac:dyDescent="0.25">
      <c r="B553" s="2"/>
      <c r="C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row>
    <row r="554" spans="2:60" x14ac:dyDescent="0.25">
      <c r="B554" s="2"/>
      <c r="C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row>
    <row r="555" spans="2:60" x14ac:dyDescent="0.25">
      <c r="B555" s="2"/>
      <c r="C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row>
    <row r="556" spans="2:60" x14ac:dyDescent="0.25">
      <c r="B556" s="2"/>
      <c r="C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row>
    <row r="557" spans="2:60" x14ac:dyDescent="0.25">
      <c r="B557" s="2"/>
      <c r="C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row>
    <row r="558" spans="2:60" x14ac:dyDescent="0.25">
      <c r="B558" s="2"/>
      <c r="C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row>
    <row r="559" spans="2:60" x14ac:dyDescent="0.25">
      <c r="B559" s="2"/>
      <c r="C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row>
    <row r="560" spans="2:60" x14ac:dyDescent="0.25">
      <c r="B560" s="2"/>
      <c r="C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row>
    <row r="561" spans="2:60" x14ac:dyDescent="0.25">
      <c r="B561" s="2"/>
      <c r="C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row>
    <row r="562" spans="2:60" x14ac:dyDescent="0.25">
      <c r="B562" s="2"/>
      <c r="C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row>
    <row r="563" spans="2:60" x14ac:dyDescent="0.25">
      <c r="B563" s="2"/>
      <c r="C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row>
    <row r="564" spans="2:60" x14ac:dyDescent="0.25">
      <c r="B564" s="2"/>
      <c r="C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row>
    <row r="565" spans="2:60" x14ac:dyDescent="0.25">
      <c r="B565" s="2"/>
      <c r="C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row>
    <row r="566" spans="2:60" x14ac:dyDescent="0.25">
      <c r="B566" s="2"/>
      <c r="C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row>
    <row r="567" spans="2:60" x14ac:dyDescent="0.25">
      <c r="B567" s="2"/>
      <c r="C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row>
    <row r="568" spans="2:60" x14ac:dyDescent="0.25">
      <c r="B568" s="2"/>
      <c r="C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row>
    <row r="569" spans="2:60" x14ac:dyDescent="0.25">
      <c r="B569" s="2"/>
      <c r="C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row>
    <row r="570" spans="2:60" x14ac:dyDescent="0.25">
      <c r="B570" s="2"/>
      <c r="C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row>
    <row r="571" spans="2:60" x14ac:dyDescent="0.25">
      <c r="B571" s="2"/>
      <c r="C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row>
    <row r="572" spans="2:60" x14ac:dyDescent="0.25">
      <c r="B572" s="2"/>
      <c r="C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row>
    <row r="573" spans="2:60" x14ac:dyDescent="0.25">
      <c r="B573" s="2"/>
      <c r="C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row>
    <row r="574" spans="2:60" x14ac:dyDescent="0.25">
      <c r="B574" s="2"/>
      <c r="C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row>
    <row r="575" spans="2:60" x14ac:dyDescent="0.25">
      <c r="B575" s="2"/>
      <c r="C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row>
    <row r="576" spans="2:60" x14ac:dyDescent="0.25">
      <c r="B576" s="2"/>
      <c r="C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row>
    <row r="577" spans="2:60" x14ac:dyDescent="0.25">
      <c r="B577" s="2"/>
      <c r="C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row>
    <row r="578" spans="2:60" x14ac:dyDescent="0.25">
      <c r="B578" s="2"/>
      <c r="C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row>
    <row r="579" spans="2:60" x14ac:dyDescent="0.25">
      <c r="B579" s="2"/>
      <c r="C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row>
    <row r="580" spans="2:60" x14ac:dyDescent="0.25">
      <c r="B580" s="2"/>
      <c r="C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row>
    <row r="581" spans="2:60" x14ac:dyDescent="0.25">
      <c r="B581" s="2"/>
      <c r="C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row>
    <row r="582" spans="2:60" x14ac:dyDescent="0.25">
      <c r="B582" s="2"/>
      <c r="C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row>
    <row r="583" spans="2:60" x14ac:dyDescent="0.25">
      <c r="B583" s="2"/>
      <c r="C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row>
    <row r="584" spans="2:60" x14ac:dyDescent="0.25">
      <c r="B584" s="2"/>
      <c r="C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row>
    <row r="585" spans="2:60" x14ac:dyDescent="0.25">
      <c r="B585" s="2"/>
      <c r="C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row>
    <row r="586" spans="2:60" x14ac:dyDescent="0.25">
      <c r="B586" s="2"/>
      <c r="C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row>
    <row r="587" spans="2:60" x14ac:dyDescent="0.25">
      <c r="B587" s="2"/>
      <c r="C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row>
    <row r="588" spans="2:60" x14ac:dyDescent="0.25">
      <c r="B588" s="2"/>
      <c r="C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row>
    <row r="589" spans="2:60" x14ac:dyDescent="0.25">
      <c r="B589" s="2"/>
      <c r="C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row>
    <row r="590" spans="2:60" x14ac:dyDescent="0.25">
      <c r="B590" s="2"/>
      <c r="C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row>
    <row r="591" spans="2:60" x14ac:dyDescent="0.25">
      <c r="B591" s="2"/>
      <c r="C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row>
    <row r="592" spans="2:60" x14ac:dyDescent="0.25">
      <c r="B592" s="2"/>
      <c r="C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row>
    <row r="593" spans="2:60" x14ac:dyDescent="0.25">
      <c r="B593" s="2"/>
      <c r="C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row>
    <row r="594" spans="2:60" x14ac:dyDescent="0.25">
      <c r="B594" s="2"/>
      <c r="C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row>
    <row r="595" spans="2:60" x14ac:dyDescent="0.25">
      <c r="B595" s="2"/>
      <c r="C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row>
    <row r="596" spans="2:60" x14ac:dyDescent="0.25">
      <c r="B596" s="2"/>
      <c r="C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row>
    <row r="597" spans="2:60" x14ac:dyDescent="0.25">
      <c r="B597" s="2"/>
      <c r="C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row>
    <row r="598" spans="2:60" x14ac:dyDescent="0.25">
      <c r="B598" s="2"/>
      <c r="C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row>
    <row r="599" spans="2:60" x14ac:dyDescent="0.25">
      <c r="B599" s="2"/>
      <c r="C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row>
    <row r="600" spans="2:60" x14ac:dyDescent="0.25">
      <c r="B600" s="2"/>
      <c r="C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row>
    <row r="601" spans="2:60" x14ac:dyDescent="0.25">
      <c r="B601" s="2"/>
      <c r="C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row>
    <row r="602" spans="2:60" x14ac:dyDescent="0.25">
      <c r="B602" s="2"/>
      <c r="C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row>
    <row r="603" spans="2:60" x14ac:dyDescent="0.25">
      <c r="B603" s="2"/>
      <c r="C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row>
    <row r="604" spans="2:60" x14ac:dyDescent="0.25">
      <c r="B604" s="2"/>
      <c r="C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row>
    <row r="605" spans="2:60" x14ac:dyDescent="0.25">
      <c r="B605" s="2"/>
      <c r="C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row>
    <row r="606" spans="2:60" x14ac:dyDescent="0.25">
      <c r="B606" s="2"/>
      <c r="C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row>
    <row r="607" spans="2:60" x14ac:dyDescent="0.25">
      <c r="B607" s="2"/>
      <c r="C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row>
    <row r="608" spans="2:60" x14ac:dyDescent="0.25">
      <c r="B608" s="2"/>
      <c r="C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row>
    <row r="609" spans="2:60" x14ac:dyDescent="0.25">
      <c r="B609" s="2"/>
      <c r="C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row>
    <row r="610" spans="2:60" x14ac:dyDescent="0.25">
      <c r="B610" s="2"/>
      <c r="C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row>
    <row r="611" spans="2:60" x14ac:dyDescent="0.25">
      <c r="B611" s="2"/>
      <c r="C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row>
    <row r="612" spans="2:60" x14ac:dyDescent="0.25">
      <c r="B612" s="2"/>
      <c r="C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row>
    <row r="613" spans="2:60" x14ac:dyDescent="0.25">
      <c r="B613" s="2"/>
      <c r="C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row>
    <row r="614" spans="2:60" x14ac:dyDescent="0.25">
      <c r="B614" s="2"/>
      <c r="C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row>
    <row r="615" spans="2:60" x14ac:dyDescent="0.25">
      <c r="B615" s="2"/>
      <c r="C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row>
    <row r="616" spans="2:60" x14ac:dyDescent="0.25">
      <c r="B616" s="2"/>
      <c r="C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row>
    <row r="617" spans="2:60" x14ac:dyDescent="0.25">
      <c r="B617" s="2"/>
      <c r="C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row>
    <row r="618" spans="2:60" x14ac:dyDescent="0.25">
      <c r="B618" s="2"/>
      <c r="C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row>
    <row r="619" spans="2:60" x14ac:dyDescent="0.25">
      <c r="B619" s="2"/>
      <c r="C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row>
    <row r="620" spans="2:60" x14ac:dyDescent="0.25">
      <c r="B620" s="2"/>
      <c r="C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row>
    <row r="621" spans="2:60" x14ac:dyDescent="0.25">
      <c r="B621" s="2"/>
      <c r="C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row>
    <row r="622" spans="2:60" x14ac:dyDescent="0.25">
      <c r="B622" s="2"/>
      <c r="C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row>
    <row r="623" spans="2:60" x14ac:dyDescent="0.25">
      <c r="B623" s="2"/>
      <c r="C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row>
    <row r="624" spans="2:60" x14ac:dyDescent="0.25">
      <c r="B624" s="2"/>
      <c r="C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row>
    <row r="625" spans="2:60" x14ac:dyDescent="0.25">
      <c r="B625" s="2"/>
      <c r="C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row>
    <row r="626" spans="2:60" x14ac:dyDescent="0.25">
      <c r="B626" s="2"/>
      <c r="C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row>
    <row r="627" spans="2:60" x14ac:dyDescent="0.25">
      <c r="B627" s="2"/>
      <c r="C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row>
    <row r="628" spans="2:60" x14ac:dyDescent="0.25">
      <c r="B628" s="2"/>
      <c r="C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row>
    <row r="629" spans="2:60" x14ac:dyDescent="0.25">
      <c r="B629" s="2"/>
      <c r="C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row>
    <row r="630" spans="2:60" x14ac:dyDescent="0.25">
      <c r="B630" s="2"/>
      <c r="C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row>
    <row r="631" spans="2:60" x14ac:dyDescent="0.25">
      <c r="B631" s="2"/>
      <c r="C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row>
    <row r="632" spans="2:60" x14ac:dyDescent="0.25">
      <c r="B632" s="2"/>
      <c r="C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row>
    <row r="633" spans="2:60" x14ac:dyDescent="0.25">
      <c r="B633" s="2"/>
      <c r="C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row>
    <row r="634" spans="2:60" x14ac:dyDescent="0.25">
      <c r="B634" s="2"/>
      <c r="C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row>
    <row r="635" spans="2:60" x14ac:dyDescent="0.25">
      <c r="B635" s="2"/>
      <c r="C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row>
    <row r="636" spans="2:60" x14ac:dyDescent="0.25">
      <c r="B636" s="2"/>
      <c r="C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row>
    <row r="637" spans="2:60" x14ac:dyDescent="0.25">
      <c r="B637" s="2"/>
      <c r="C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row>
    <row r="638" spans="2:60" x14ac:dyDescent="0.25">
      <c r="B638" s="2"/>
      <c r="C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row>
    <row r="639" spans="2:60" x14ac:dyDescent="0.25">
      <c r="B639" s="2"/>
      <c r="C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row>
    <row r="640" spans="2:60" x14ac:dyDescent="0.25">
      <c r="B640" s="2"/>
      <c r="C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row>
    <row r="641" spans="2:60" x14ac:dyDescent="0.25">
      <c r="B641" s="2"/>
      <c r="C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row>
    <row r="642" spans="2:60" x14ac:dyDescent="0.25">
      <c r="B642" s="2"/>
      <c r="C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row>
    <row r="643" spans="2:60" x14ac:dyDescent="0.25">
      <c r="B643" s="2"/>
      <c r="C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row>
    <row r="644" spans="2:60" x14ac:dyDescent="0.25">
      <c r="B644" s="2"/>
      <c r="C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row>
    <row r="645" spans="2:60" x14ac:dyDescent="0.25">
      <c r="B645" s="2"/>
      <c r="C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row>
    <row r="646" spans="2:60" x14ac:dyDescent="0.25">
      <c r="B646" s="2"/>
      <c r="C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row>
    <row r="647" spans="2:60" x14ac:dyDescent="0.25">
      <c r="B647" s="2"/>
      <c r="C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row>
    <row r="648" spans="2:60" x14ac:dyDescent="0.25">
      <c r="B648" s="2"/>
      <c r="C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row>
    <row r="649" spans="2:60" x14ac:dyDescent="0.25">
      <c r="B649" s="2"/>
      <c r="C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row>
    <row r="650" spans="2:60" x14ac:dyDescent="0.25">
      <c r="B650" s="2"/>
      <c r="C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row>
    <row r="651" spans="2:60" x14ac:dyDescent="0.25">
      <c r="B651" s="2"/>
      <c r="C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row>
    <row r="652" spans="2:60" x14ac:dyDescent="0.25">
      <c r="B652" s="2"/>
      <c r="C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row>
    <row r="653" spans="2:60" x14ac:dyDescent="0.25">
      <c r="B653" s="2"/>
      <c r="C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row>
    <row r="654" spans="2:60" x14ac:dyDescent="0.25">
      <c r="B654" s="2"/>
      <c r="C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row>
    <row r="655" spans="2:60" x14ac:dyDescent="0.25">
      <c r="B655" s="2"/>
      <c r="C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row>
    <row r="656" spans="2:60" x14ac:dyDescent="0.25">
      <c r="B656" s="2"/>
      <c r="C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row>
    <row r="657" spans="2:60" x14ac:dyDescent="0.25">
      <c r="B657" s="2"/>
      <c r="C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row>
    <row r="658" spans="2:60" x14ac:dyDescent="0.25">
      <c r="B658" s="2"/>
      <c r="C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row>
    <row r="659" spans="2:60" x14ac:dyDescent="0.25">
      <c r="B659" s="2"/>
      <c r="C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row>
    <row r="660" spans="2:60" x14ac:dyDescent="0.25">
      <c r="B660" s="2"/>
      <c r="C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row>
    <row r="661" spans="2:60" x14ac:dyDescent="0.25">
      <c r="B661" s="2"/>
      <c r="C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row>
    <row r="662" spans="2:60" x14ac:dyDescent="0.25">
      <c r="B662" s="2"/>
      <c r="C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row>
    <row r="663" spans="2:60" x14ac:dyDescent="0.25">
      <c r="B663" s="2"/>
      <c r="C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row>
    <row r="664" spans="2:60" x14ac:dyDescent="0.25">
      <c r="B664" s="2"/>
      <c r="C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row>
    <row r="665" spans="2:60" x14ac:dyDescent="0.25">
      <c r="B665" s="2"/>
      <c r="C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row>
    <row r="666" spans="2:60" x14ac:dyDescent="0.25">
      <c r="B666" s="2"/>
      <c r="C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row>
    <row r="667" spans="2:60" x14ac:dyDescent="0.25">
      <c r="B667" s="2"/>
      <c r="C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row>
    <row r="668" spans="2:60" x14ac:dyDescent="0.25">
      <c r="B668" s="2"/>
      <c r="C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row>
    <row r="669" spans="2:60" x14ac:dyDescent="0.25">
      <c r="B669" s="2"/>
      <c r="C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row>
    <row r="670" spans="2:60" x14ac:dyDescent="0.25">
      <c r="B670" s="2"/>
      <c r="C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row>
    <row r="671" spans="2:60" x14ac:dyDescent="0.25">
      <c r="B671" s="2"/>
      <c r="C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row>
    <row r="672" spans="2:60" x14ac:dyDescent="0.25">
      <c r="B672" s="2"/>
      <c r="C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row>
    <row r="673" spans="2:60" x14ac:dyDescent="0.25">
      <c r="B673" s="2"/>
      <c r="C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row>
    <row r="674" spans="2:60" x14ac:dyDescent="0.25">
      <c r="B674" s="2"/>
      <c r="C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row>
    <row r="675" spans="2:60" x14ac:dyDescent="0.25">
      <c r="B675" s="2"/>
      <c r="C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row>
    <row r="676" spans="2:60" x14ac:dyDescent="0.25">
      <c r="B676" s="2"/>
      <c r="C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row>
    <row r="677" spans="2:60" x14ac:dyDescent="0.25">
      <c r="B677" s="2"/>
      <c r="C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row>
    <row r="678" spans="2:60" x14ac:dyDescent="0.25">
      <c r="B678" s="2"/>
      <c r="C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row>
    <row r="679" spans="2:60" x14ac:dyDescent="0.25">
      <c r="B679" s="2"/>
      <c r="C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row>
    <row r="680" spans="2:60" x14ac:dyDescent="0.25">
      <c r="B680" s="2"/>
      <c r="C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row>
    <row r="681" spans="2:60" x14ac:dyDescent="0.25">
      <c r="B681" s="2"/>
      <c r="C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row>
    <row r="682" spans="2:60" x14ac:dyDescent="0.25">
      <c r="B682" s="2"/>
      <c r="C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row>
    <row r="683" spans="2:60" x14ac:dyDescent="0.25">
      <c r="B683" s="2"/>
      <c r="C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row>
    <row r="684" spans="2:60" x14ac:dyDescent="0.25">
      <c r="B684" s="2"/>
      <c r="C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row>
    <row r="685" spans="2:60" x14ac:dyDescent="0.25">
      <c r="B685" s="2"/>
      <c r="C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row>
    <row r="686" spans="2:60" x14ac:dyDescent="0.25">
      <c r="B686" s="2"/>
      <c r="C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row>
    <row r="687" spans="2:60" x14ac:dyDescent="0.25">
      <c r="B687" s="2"/>
      <c r="C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row>
    <row r="688" spans="2:60" x14ac:dyDescent="0.25">
      <c r="B688" s="2"/>
      <c r="C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row>
    <row r="689" spans="2:60" x14ac:dyDescent="0.25">
      <c r="B689" s="2"/>
      <c r="C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row>
    <row r="690" spans="2:60" x14ac:dyDescent="0.25">
      <c r="B690" s="2"/>
      <c r="C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row>
    <row r="691" spans="2:60" x14ac:dyDescent="0.25">
      <c r="B691" s="2"/>
      <c r="C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row>
    <row r="692" spans="2:60" x14ac:dyDescent="0.25">
      <c r="B692" s="2"/>
      <c r="C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row>
    <row r="693" spans="2:60" x14ac:dyDescent="0.25">
      <c r="B693" s="2"/>
      <c r="C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row>
    <row r="694" spans="2:60" x14ac:dyDescent="0.25">
      <c r="B694" s="2"/>
      <c r="C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row>
    <row r="695" spans="2:60" x14ac:dyDescent="0.25">
      <c r="B695" s="2"/>
      <c r="C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row>
    <row r="696" spans="2:60" x14ac:dyDescent="0.25">
      <c r="B696" s="2"/>
      <c r="C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row>
    <row r="697" spans="2:60" x14ac:dyDescent="0.25">
      <c r="B697" s="2"/>
      <c r="C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row>
    <row r="698" spans="2:60" x14ac:dyDescent="0.25">
      <c r="B698" s="2"/>
      <c r="C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row>
    <row r="699" spans="2:60" x14ac:dyDescent="0.25">
      <c r="B699" s="2"/>
      <c r="C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row>
    <row r="700" spans="2:60" x14ac:dyDescent="0.25">
      <c r="B700" s="2"/>
      <c r="C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row>
    <row r="701" spans="2:60" x14ac:dyDescent="0.25">
      <c r="B701" s="2"/>
      <c r="C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row>
    <row r="702" spans="2:60" x14ac:dyDescent="0.25">
      <c r="B702" s="2"/>
      <c r="C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row>
    <row r="703" spans="2:60" x14ac:dyDescent="0.25">
      <c r="B703" s="2"/>
      <c r="C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row>
    <row r="704" spans="2:60" x14ac:dyDescent="0.25">
      <c r="B704" s="2"/>
      <c r="C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row>
    <row r="705" spans="2:60" x14ac:dyDescent="0.25">
      <c r="B705" s="2"/>
      <c r="C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row>
    <row r="706" spans="2:60" x14ac:dyDescent="0.25">
      <c r="B706" s="2"/>
      <c r="C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row>
    <row r="707" spans="2:60" x14ac:dyDescent="0.25">
      <c r="B707" s="2"/>
      <c r="C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row>
    <row r="708" spans="2:60" x14ac:dyDescent="0.25">
      <c r="B708" s="2"/>
      <c r="C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row>
    <row r="709" spans="2:60" x14ac:dyDescent="0.25">
      <c r="B709" s="2"/>
      <c r="C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row>
    <row r="710" spans="2:60" x14ac:dyDescent="0.25">
      <c r="B710" s="2"/>
      <c r="C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row>
    <row r="711" spans="2:60" x14ac:dyDescent="0.25">
      <c r="B711" s="2"/>
      <c r="C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row>
    <row r="712" spans="2:60" x14ac:dyDescent="0.25">
      <c r="B712" s="2"/>
      <c r="C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row>
    <row r="713" spans="2:60" x14ac:dyDescent="0.25">
      <c r="B713" s="2"/>
      <c r="C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row>
    <row r="714" spans="2:60" x14ac:dyDescent="0.25">
      <c r="B714" s="2"/>
      <c r="C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row>
    <row r="715" spans="2:60" x14ac:dyDescent="0.25">
      <c r="B715" s="2"/>
      <c r="C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row>
    <row r="716" spans="2:60" x14ac:dyDescent="0.25">
      <c r="B716" s="2"/>
      <c r="C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row>
    <row r="717" spans="2:60" x14ac:dyDescent="0.25">
      <c r="B717" s="2"/>
      <c r="C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row>
    <row r="718" spans="2:60" x14ac:dyDescent="0.25">
      <c r="B718" s="2"/>
      <c r="C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row>
    <row r="719" spans="2:60" x14ac:dyDescent="0.25">
      <c r="B719" s="2"/>
      <c r="C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row>
    <row r="720" spans="2:60" x14ac:dyDescent="0.25">
      <c r="B720" s="2"/>
      <c r="C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row>
    <row r="721" spans="2:60" x14ac:dyDescent="0.25">
      <c r="B721" s="2"/>
      <c r="C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row>
    <row r="722" spans="2:60" x14ac:dyDescent="0.25">
      <c r="B722" s="2"/>
      <c r="C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row>
    <row r="723" spans="2:60" x14ac:dyDescent="0.25">
      <c r="B723" s="2"/>
      <c r="C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row>
    <row r="724" spans="2:60" x14ac:dyDescent="0.25">
      <c r="B724" s="2"/>
      <c r="C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row>
    <row r="725" spans="2:60" x14ac:dyDescent="0.25">
      <c r="B725" s="2"/>
      <c r="C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row>
    <row r="726" spans="2:60" x14ac:dyDescent="0.25">
      <c r="B726" s="2"/>
      <c r="C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row>
    <row r="727" spans="2:60" x14ac:dyDescent="0.25">
      <c r="B727" s="2"/>
      <c r="C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row>
    <row r="728" spans="2:60" x14ac:dyDescent="0.25">
      <c r="B728" s="2"/>
      <c r="C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row>
    <row r="729" spans="2:60" x14ac:dyDescent="0.25">
      <c r="B729" s="2"/>
      <c r="C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row>
    <row r="730" spans="2:60" x14ac:dyDescent="0.25">
      <c r="B730" s="2"/>
      <c r="C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row>
    <row r="731" spans="2:60" x14ac:dyDescent="0.25">
      <c r="B731" s="2"/>
      <c r="C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row>
    <row r="732" spans="2:60" x14ac:dyDescent="0.25">
      <c r="B732" s="2"/>
      <c r="C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row>
    <row r="733" spans="2:60" x14ac:dyDescent="0.25">
      <c r="B733" s="2"/>
      <c r="C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row>
    <row r="734" spans="2:60" x14ac:dyDescent="0.25">
      <c r="B734" s="2"/>
      <c r="C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row>
    <row r="735" spans="2:60" x14ac:dyDescent="0.25">
      <c r="B735" s="2"/>
      <c r="C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row>
    <row r="736" spans="2:60" x14ac:dyDescent="0.25">
      <c r="B736" s="2"/>
      <c r="C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row>
    <row r="737" spans="2:60" x14ac:dyDescent="0.25">
      <c r="B737" s="2"/>
      <c r="C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row>
    <row r="738" spans="2:60" x14ac:dyDescent="0.25">
      <c r="B738" s="2"/>
      <c r="C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row>
    <row r="739" spans="2:60" x14ac:dyDescent="0.25">
      <c r="B739" s="2"/>
      <c r="C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row>
    <row r="740" spans="2:60" x14ac:dyDescent="0.25">
      <c r="B740" s="2"/>
      <c r="C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row>
    <row r="741" spans="2:60" x14ac:dyDescent="0.25">
      <c r="B741" s="2"/>
      <c r="C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row>
    <row r="742" spans="2:60" x14ac:dyDescent="0.25">
      <c r="B742" s="2"/>
      <c r="C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row>
    <row r="743" spans="2:60" x14ac:dyDescent="0.25">
      <c r="B743" s="2"/>
      <c r="C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row>
    <row r="744" spans="2:60" x14ac:dyDescent="0.25">
      <c r="B744" s="2"/>
      <c r="C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row>
    <row r="745" spans="2:60" x14ac:dyDescent="0.25">
      <c r="B745" s="2"/>
      <c r="C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row>
    <row r="746" spans="2:60" x14ac:dyDescent="0.25">
      <c r="B746" s="2"/>
      <c r="C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row>
    <row r="747" spans="2:60" x14ac:dyDescent="0.25">
      <c r="B747" s="2"/>
      <c r="C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row>
    <row r="748" spans="2:60" x14ac:dyDescent="0.25">
      <c r="B748" s="2"/>
      <c r="C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row>
    <row r="749" spans="2:60" x14ac:dyDescent="0.25">
      <c r="B749" s="2"/>
      <c r="C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row>
    <row r="750" spans="2:60" x14ac:dyDescent="0.25">
      <c r="B750" s="2"/>
      <c r="C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row>
    <row r="751" spans="2:60" x14ac:dyDescent="0.25">
      <c r="B751" s="2"/>
      <c r="C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row>
    <row r="752" spans="2:60" x14ac:dyDescent="0.25">
      <c r="B752" s="2"/>
      <c r="C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row>
    <row r="753" spans="2:60" x14ac:dyDescent="0.25">
      <c r="B753" s="2"/>
      <c r="C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row>
    <row r="754" spans="2:60" x14ac:dyDescent="0.25">
      <c r="B754" s="2"/>
      <c r="C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row>
    <row r="755" spans="2:60" x14ac:dyDescent="0.25">
      <c r="B755" s="2"/>
      <c r="C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row>
    <row r="756" spans="2:60" x14ac:dyDescent="0.25">
      <c r="B756" s="2"/>
      <c r="C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row>
    <row r="757" spans="2:60" x14ac:dyDescent="0.25">
      <c r="B757" s="2"/>
      <c r="C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row>
    <row r="758" spans="2:60" x14ac:dyDescent="0.25">
      <c r="B758" s="2"/>
      <c r="C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row>
    <row r="759" spans="2:60" x14ac:dyDescent="0.25">
      <c r="B759" s="2"/>
      <c r="C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row>
    <row r="760" spans="2:60" x14ac:dyDescent="0.25">
      <c r="B760" s="2"/>
      <c r="C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row>
    <row r="761" spans="2:60" x14ac:dyDescent="0.25">
      <c r="B761" s="2"/>
      <c r="C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row>
    <row r="762" spans="2:60" x14ac:dyDescent="0.25">
      <c r="B762" s="2"/>
      <c r="C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row>
    <row r="763" spans="2:60" x14ac:dyDescent="0.25">
      <c r="B763" s="2"/>
      <c r="C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row>
    <row r="764" spans="2:60" x14ac:dyDescent="0.25">
      <c r="B764" s="2"/>
      <c r="C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row>
    <row r="765" spans="2:60" x14ac:dyDescent="0.25">
      <c r="B765" s="2"/>
      <c r="C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row>
    <row r="766" spans="2:60" x14ac:dyDescent="0.25">
      <c r="B766" s="2"/>
      <c r="C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row>
    <row r="767" spans="2:60" x14ac:dyDescent="0.25">
      <c r="B767" s="2"/>
      <c r="C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row>
    <row r="768" spans="2:60" x14ac:dyDescent="0.25">
      <c r="B768" s="2"/>
      <c r="C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row>
    <row r="769" spans="2:60" x14ac:dyDescent="0.25">
      <c r="B769" s="2"/>
      <c r="C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row>
    <row r="770" spans="2:60" x14ac:dyDescent="0.25">
      <c r="B770" s="2"/>
      <c r="C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row>
    <row r="771" spans="2:60" x14ac:dyDescent="0.25">
      <c r="B771" s="2"/>
      <c r="C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row>
    <row r="772" spans="2:60" x14ac:dyDescent="0.25">
      <c r="B772" s="2"/>
      <c r="C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row>
    <row r="773" spans="2:60" x14ac:dyDescent="0.25">
      <c r="B773" s="2"/>
      <c r="C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row>
    <row r="774" spans="2:60" x14ac:dyDescent="0.25">
      <c r="B774" s="2"/>
      <c r="C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row>
    <row r="775" spans="2:60" x14ac:dyDescent="0.25">
      <c r="B775" s="2"/>
      <c r="C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row>
    <row r="776" spans="2:60" x14ac:dyDescent="0.25">
      <c r="B776" s="2"/>
      <c r="C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row>
    <row r="777" spans="2:60" x14ac:dyDescent="0.25">
      <c r="B777" s="2"/>
      <c r="C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row>
    <row r="778" spans="2:60" x14ac:dyDescent="0.25">
      <c r="B778" s="2"/>
      <c r="C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row>
    <row r="779" spans="2:60" x14ac:dyDescent="0.25">
      <c r="B779" s="2"/>
      <c r="C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row>
    <row r="780" spans="2:60" x14ac:dyDescent="0.25">
      <c r="B780" s="2"/>
      <c r="C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row>
    <row r="781" spans="2:60" x14ac:dyDescent="0.25">
      <c r="B781" s="2"/>
      <c r="C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row>
    <row r="782" spans="2:60" x14ac:dyDescent="0.25">
      <c r="B782" s="2"/>
      <c r="C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row>
    <row r="783" spans="2:60" x14ac:dyDescent="0.25">
      <c r="B783" s="2"/>
      <c r="C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row>
    <row r="784" spans="2:60" x14ac:dyDescent="0.25">
      <c r="B784" s="2"/>
      <c r="C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row>
    <row r="785" spans="2:60" x14ac:dyDescent="0.25">
      <c r="B785" s="2"/>
      <c r="C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row>
    <row r="786" spans="2:60" x14ac:dyDescent="0.25">
      <c r="B786" s="2"/>
      <c r="C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row>
    <row r="787" spans="2:60" x14ac:dyDescent="0.25">
      <c r="B787" s="2"/>
      <c r="C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row>
    <row r="788" spans="2:60" x14ac:dyDescent="0.25">
      <c r="B788" s="2"/>
      <c r="C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row>
    <row r="789" spans="2:60" x14ac:dyDescent="0.25">
      <c r="B789" s="2"/>
      <c r="C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row>
    <row r="790" spans="2:60" x14ac:dyDescent="0.25">
      <c r="B790" s="2"/>
      <c r="C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row>
    <row r="791" spans="2:60" x14ac:dyDescent="0.25">
      <c r="B791" s="2"/>
      <c r="C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row>
    <row r="792" spans="2:60" x14ac:dyDescent="0.25">
      <c r="B792" s="2"/>
      <c r="C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row>
    <row r="793" spans="2:60" x14ac:dyDescent="0.25">
      <c r="B793" s="2"/>
      <c r="C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row>
    <row r="794" spans="2:60" x14ac:dyDescent="0.25">
      <c r="B794" s="2"/>
      <c r="C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row>
    <row r="795" spans="2:60" x14ac:dyDescent="0.25">
      <c r="B795" s="2"/>
      <c r="C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row>
    <row r="796" spans="2:60" x14ac:dyDescent="0.25">
      <c r="B796" s="2"/>
      <c r="C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row>
    <row r="797" spans="2:60" x14ac:dyDescent="0.25">
      <c r="B797" s="2"/>
      <c r="C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row>
    <row r="798" spans="2:60" x14ac:dyDescent="0.25">
      <c r="B798" s="2"/>
      <c r="C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row>
    <row r="799" spans="2:60" x14ac:dyDescent="0.25">
      <c r="B799" s="2"/>
      <c r="C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row>
    <row r="800" spans="2:60" x14ac:dyDescent="0.25">
      <c r="B800" s="2"/>
      <c r="C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row>
    <row r="801" spans="2:60" x14ac:dyDescent="0.25">
      <c r="B801" s="2"/>
      <c r="C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row>
    <row r="802" spans="2:60" x14ac:dyDescent="0.25">
      <c r="B802" s="2"/>
      <c r="C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row>
    <row r="803" spans="2:60" x14ac:dyDescent="0.25">
      <c r="B803" s="2"/>
      <c r="C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row>
    <row r="804" spans="2:60" x14ac:dyDescent="0.25">
      <c r="B804" s="2"/>
      <c r="C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row>
    <row r="805" spans="2:60" x14ac:dyDescent="0.25">
      <c r="B805" s="2"/>
      <c r="C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row>
    <row r="806" spans="2:60" x14ac:dyDescent="0.25">
      <c r="B806" s="2"/>
      <c r="C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row>
    <row r="807" spans="2:60" x14ac:dyDescent="0.25">
      <c r="B807" s="2"/>
      <c r="C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row>
    <row r="808" spans="2:60" x14ac:dyDescent="0.25">
      <c r="B808" s="2"/>
      <c r="C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row>
    <row r="809" spans="2:60" x14ac:dyDescent="0.25">
      <c r="B809" s="2"/>
      <c r="C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row>
    <row r="810" spans="2:60" x14ac:dyDescent="0.25">
      <c r="B810" s="2"/>
      <c r="C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row>
    <row r="811" spans="2:60" x14ac:dyDescent="0.25">
      <c r="B811" s="2"/>
      <c r="C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row>
    <row r="812" spans="2:60" x14ac:dyDescent="0.25">
      <c r="B812" s="2"/>
      <c r="C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row>
    <row r="813" spans="2:60" x14ac:dyDescent="0.25">
      <c r="B813" s="2"/>
      <c r="C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row>
    <row r="814" spans="2:60" x14ac:dyDescent="0.25">
      <c r="B814" s="2"/>
      <c r="C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row>
    <row r="815" spans="2:60" x14ac:dyDescent="0.25">
      <c r="B815" s="2"/>
      <c r="C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row>
    <row r="816" spans="2:60" x14ac:dyDescent="0.25">
      <c r="B816" s="2"/>
      <c r="C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row>
    <row r="817" spans="2:60" x14ac:dyDescent="0.25">
      <c r="B817" s="2"/>
      <c r="C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row>
    <row r="818" spans="2:60" x14ac:dyDescent="0.25">
      <c r="B818" s="2"/>
      <c r="C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row>
    <row r="819" spans="2:60" x14ac:dyDescent="0.25">
      <c r="B819" s="2"/>
      <c r="C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row>
    <row r="820" spans="2:60" x14ac:dyDescent="0.25">
      <c r="B820" s="2"/>
      <c r="C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row>
    <row r="821" spans="2:60" x14ac:dyDescent="0.25">
      <c r="B821" s="2"/>
      <c r="C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row>
    <row r="822" spans="2:60" x14ac:dyDescent="0.25">
      <c r="B822" s="2"/>
      <c r="C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row>
    <row r="823" spans="2:60" x14ac:dyDescent="0.25">
      <c r="B823" s="2"/>
      <c r="C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row>
    <row r="824" spans="2:60" x14ac:dyDescent="0.25">
      <c r="B824" s="2"/>
      <c r="C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row>
    <row r="825" spans="2:60" x14ac:dyDescent="0.25">
      <c r="B825" s="2"/>
      <c r="C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row>
    <row r="826" spans="2:60" x14ac:dyDescent="0.25">
      <c r="B826" s="2"/>
      <c r="C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row>
    <row r="827" spans="2:60" x14ac:dyDescent="0.25">
      <c r="B827" s="2"/>
      <c r="C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row>
    <row r="828" spans="2:60" x14ac:dyDescent="0.25">
      <c r="B828" s="2"/>
      <c r="C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row>
    <row r="829" spans="2:60" x14ac:dyDescent="0.25">
      <c r="B829" s="2"/>
      <c r="C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row>
    <row r="830" spans="2:60" x14ac:dyDescent="0.25">
      <c r="B830" s="2"/>
      <c r="C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row>
    <row r="831" spans="2:60" x14ac:dyDescent="0.25">
      <c r="B831" s="2"/>
      <c r="C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row>
    <row r="832" spans="2:60" x14ac:dyDescent="0.25">
      <c r="B832" s="2"/>
      <c r="C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row>
    <row r="833" spans="2:60" x14ac:dyDescent="0.25">
      <c r="B833" s="2"/>
      <c r="C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row>
    <row r="834" spans="2:60" x14ac:dyDescent="0.25">
      <c r="B834" s="2"/>
      <c r="C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row>
    <row r="835" spans="2:60" x14ac:dyDescent="0.25">
      <c r="B835" s="2"/>
      <c r="C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row>
    <row r="836" spans="2:60" x14ac:dyDescent="0.25">
      <c r="B836" s="2"/>
      <c r="C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row>
    <row r="837" spans="2:60" x14ac:dyDescent="0.25">
      <c r="B837" s="2"/>
      <c r="C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row>
    <row r="838" spans="2:60" x14ac:dyDescent="0.25">
      <c r="B838" s="2"/>
      <c r="C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row>
    <row r="839" spans="2:60" x14ac:dyDescent="0.25">
      <c r="B839" s="2"/>
      <c r="C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row>
    <row r="840" spans="2:60" x14ac:dyDescent="0.25">
      <c r="B840" s="2"/>
      <c r="C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row>
    <row r="841" spans="2:60" x14ac:dyDescent="0.25">
      <c r="B841" s="2"/>
      <c r="C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row>
    <row r="842" spans="2:60" x14ac:dyDescent="0.25">
      <c r="B842" s="2"/>
      <c r="C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row>
    <row r="843" spans="2:60" x14ac:dyDescent="0.25">
      <c r="B843" s="2"/>
      <c r="C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row>
    <row r="844" spans="2:60" x14ac:dyDescent="0.25">
      <c r="B844" s="2"/>
      <c r="C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row>
    <row r="845" spans="2:60" x14ac:dyDescent="0.25">
      <c r="B845" s="2"/>
      <c r="C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row>
    <row r="846" spans="2:60" x14ac:dyDescent="0.25">
      <c r="B846" s="2"/>
      <c r="C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row>
    <row r="847" spans="2:60" x14ac:dyDescent="0.25">
      <c r="B847" s="2"/>
      <c r="C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row>
    <row r="848" spans="2:60" x14ac:dyDescent="0.25">
      <c r="B848" s="2"/>
      <c r="C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row>
    <row r="849" spans="2:60" x14ac:dyDescent="0.25">
      <c r="B849" s="2"/>
      <c r="C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row>
    <row r="850" spans="2:60" x14ac:dyDescent="0.25">
      <c r="B850" s="2"/>
      <c r="C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row>
    <row r="851" spans="2:60" x14ac:dyDescent="0.25">
      <c r="B851" s="2"/>
      <c r="C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row>
    <row r="852" spans="2:60" x14ac:dyDescent="0.25">
      <c r="B852" s="2"/>
      <c r="C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row>
    <row r="853" spans="2:60" x14ac:dyDescent="0.25">
      <c r="B853" s="2"/>
      <c r="C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row>
    <row r="854" spans="2:60" x14ac:dyDescent="0.25">
      <c r="B854" s="2"/>
      <c r="C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row>
    <row r="855" spans="2:60" x14ac:dyDescent="0.25">
      <c r="B855" s="2"/>
      <c r="C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row>
    <row r="856" spans="2:60" x14ac:dyDescent="0.25">
      <c r="B856" s="2"/>
      <c r="C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row>
    <row r="857" spans="2:60" x14ac:dyDescent="0.25">
      <c r="B857" s="2"/>
      <c r="C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row>
    <row r="858" spans="2:60" x14ac:dyDescent="0.25">
      <c r="B858" s="2"/>
      <c r="C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row>
    <row r="859" spans="2:60" x14ac:dyDescent="0.25">
      <c r="B859" s="2"/>
      <c r="C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row>
    <row r="860" spans="2:60" x14ac:dyDescent="0.25">
      <c r="B860" s="2"/>
      <c r="C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row>
    <row r="861" spans="2:60" x14ac:dyDescent="0.25">
      <c r="B861" s="2"/>
      <c r="C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row>
    <row r="862" spans="2:60" x14ac:dyDescent="0.25">
      <c r="B862" s="2"/>
      <c r="C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row>
    <row r="863" spans="2:60" x14ac:dyDescent="0.25">
      <c r="B863" s="2"/>
      <c r="C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row>
    <row r="864" spans="2:60" x14ac:dyDescent="0.25">
      <c r="B864" s="2"/>
      <c r="C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row>
    <row r="865" spans="2:60" x14ac:dyDescent="0.25">
      <c r="B865" s="2"/>
      <c r="C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row>
    <row r="866" spans="2:60" x14ac:dyDescent="0.25">
      <c r="B866" s="2"/>
      <c r="C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row>
    <row r="867" spans="2:60" x14ac:dyDescent="0.25">
      <c r="B867" s="2"/>
      <c r="C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row>
    <row r="868" spans="2:60" x14ac:dyDescent="0.25">
      <c r="B868" s="2"/>
      <c r="C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row>
    <row r="869" spans="2:60" x14ac:dyDescent="0.25">
      <c r="B869" s="2"/>
      <c r="C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row>
    <row r="870" spans="2:60" x14ac:dyDescent="0.25">
      <c r="B870" s="2"/>
      <c r="C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row>
    <row r="871" spans="2:60" x14ac:dyDescent="0.25">
      <c r="B871" s="2"/>
      <c r="C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row>
    <row r="872" spans="2:60" x14ac:dyDescent="0.25">
      <c r="B872" s="2"/>
      <c r="C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row>
    <row r="873" spans="2:60" x14ac:dyDescent="0.25">
      <c r="B873" s="2"/>
      <c r="C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row>
    <row r="874" spans="2:60" x14ac:dyDescent="0.25">
      <c r="B874" s="2"/>
      <c r="C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row>
    <row r="875" spans="2:60" x14ac:dyDescent="0.25">
      <c r="B875" s="2"/>
      <c r="C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row>
    <row r="876" spans="2:60" x14ac:dyDescent="0.25">
      <c r="B876" s="2"/>
      <c r="C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row>
    <row r="877" spans="2:60" x14ac:dyDescent="0.25">
      <c r="B877" s="2"/>
      <c r="C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row>
    <row r="878" spans="2:60" x14ac:dyDescent="0.25">
      <c r="B878" s="2"/>
      <c r="C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row>
    <row r="879" spans="2:60" x14ac:dyDescent="0.25">
      <c r="B879" s="2"/>
      <c r="C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row>
    <row r="880" spans="2:60" x14ac:dyDescent="0.25">
      <c r="B880" s="2"/>
      <c r="C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row>
    <row r="881" spans="2:60" x14ac:dyDescent="0.25">
      <c r="B881" s="2"/>
      <c r="C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row>
    <row r="882" spans="2:60" x14ac:dyDescent="0.25">
      <c r="B882" s="2"/>
      <c r="C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row>
    <row r="883" spans="2:60" x14ac:dyDescent="0.25">
      <c r="B883" s="2"/>
      <c r="C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row>
    <row r="884" spans="2:60" x14ac:dyDescent="0.25">
      <c r="B884" s="2"/>
      <c r="C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row>
    <row r="885" spans="2:60" x14ac:dyDescent="0.25">
      <c r="B885" s="2"/>
      <c r="C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row>
    <row r="886" spans="2:60" x14ac:dyDescent="0.25">
      <c r="B886" s="2"/>
      <c r="C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row>
    <row r="887" spans="2:60" x14ac:dyDescent="0.25">
      <c r="B887" s="2"/>
      <c r="C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row>
    <row r="888" spans="2:60" x14ac:dyDescent="0.25">
      <c r="B888" s="2"/>
      <c r="C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row>
    <row r="889" spans="2:60" x14ac:dyDescent="0.25">
      <c r="B889" s="2"/>
      <c r="C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row>
    <row r="890" spans="2:60" x14ac:dyDescent="0.25">
      <c r="B890" s="2"/>
      <c r="C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row>
    <row r="891" spans="2:60" x14ac:dyDescent="0.25">
      <c r="B891" s="2"/>
      <c r="C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row>
    <row r="892" spans="2:60" x14ac:dyDescent="0.25">
      <c r="B892" s="2"/>
      <c r="C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row>
    <row r="893" spans="2:60" x14ac:dyDescent="0.25">
      <c r="B893" s="2"/>
      <c r="C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row>
    <row r="894" spans="2:60" x14ac:dyDescent="0.25">
      <c r="B894" s="2"/>
      <c r="C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row>
    <row r="895" spans="2:60" x14ac:dyDescent="0.25">
      <c r="B895" s="2"/>
      <c r="C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row>
    <row r="896" spans="2:60" x14ac:dyDescent="0.25">
      <c r="B896" s="2"/>
      <c r="C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row>
    <row r="897" spans="2:60" x14ac:dyDescent="0.25">
      <c r="B897" s="2"/>
      <c r="C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row>
    <row r="898" spans="2:60" x14ac:dyDescent="0.25">
      <c r="B898" s="2"/>
      <c r="C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row>
    <row r="899" spans="2:60" x14ac:dyDescent="0.25">
      <c r="B899" s="2"/>
      <c r="C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row>
    <row r="900" spans="2:60" x14ac:dyDescent="0.25">
      <c r="B900" s="2"/>
      <c r="C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row>
    <row r="901" spans="2:60" x14ac:dyDescent="0.25">
      <c r="B901" s="2"/>
      <c r="C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row>
    <row r="902" spans="2:60" x14ac:dyDescent="0.25">
      <c r="B902" s="2"/>
      <c r="C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row>
    <row r="903" spans="2:60" x14ac:dyDescent="0.25">
      <c r="B903" s="2"/>
      <c r="C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row>
    <row r="904" spans="2:60" x14ac:dyDescent="0.25">
      <c r="B904" s="2"/>
      <c r="C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row>
    <row r="905" spans="2:60" x14ac:dyDescent="0.25">
      <c r="B905" s="2"/>
      <c r="C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row>
    <row r="906" spans="2:60" x14ac:dyDescent="0.25">
      <c r="B906" s="2"/>
      <c r="C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row>
    <row r="907" spans="2:60" x14ac:dyDescent="0.25">
      <c r="B907" s="2"/>
      <c r="C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row>
    <row r="908" spans="2:60" x14ac:dyDescent="0.25">
      <c r="B908" s="2"/>
      <c r="C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row>
    <row r="909" spans="2:60" x14ac:dyDescent="0.25">
      <c r="B909" s="2"/>
      <c r="C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row>
    <row r="910" spans="2:60" x14ac:dyDescent="0.25">
      <c r="B910" s="2"/>
      <c r="C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row>
    <row r="911" spans="2:60" x14ac:dyDescent="0.25">
      <c r="B911" s="2"/>
      <c r="C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row>
    <row r="912" spans="2:60" x14ac:dyDescent="0.25">
      <c r="B912" s="2"/>
      <c r="C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row>
    <row r="913" spans="2:60" x14ac:dyDescent="0.25">
      <c r="B913" s="2"/>
      <c r="C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row>
    <row r="914" spans="2:60" x14ac:dyDescent="0.25">
      <c r="B914" s="2"/>
      <c r="C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row>
    <row r="915" spans="2:60" x14ac:dyDescent="0.25">
      <c r="B915" s="2"/>
      <c r="C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row>
    <row r="916" spans="2:60" x14ac:dyDescent="0.25">
      <c r="B916" s="2"/>
      <c r="C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row>
    <row r="917" spans="2:60" x14ac:dyDescent="0.25">
      <c r="B917" s="2"/>
      <c r="C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row>
    <row r="918" spans="2:60" x14ac:dyDescent="0.25">
      <c r="B918" s="2"/>
      <c r="C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row>
    <row r="919" spans="2:60" x14ac:dyDescent="0.25">
      <c r="B919" s="2"/>
      <c r="C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row>
    <row r="920" spans="2:60" x14ac:dyDescent="0.25">
      <c r="B920" s="2"/>
      <c r="C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row>
    <row r="921" spans="2:60" x14ac:dyDescent="0.25">
      <c r="B921" s="2"/>
      <c r="C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row>
    <row r="922" spans="2:60" x14ac:dyDescent="0.25">
      <c r="B922" s="2"/>
      <c r="C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row>
    <row r="923" spans="2:60" x14ac:dyDescent="0.25">
      <c r="B923" s="2"/>
      <c r="C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row>
    <row r="924" spans="2:60" x14ac:dyDescent="0.25">
      <c r="B924" s="2"/>
      <c r="C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row>
    <row r="925" spans="2:60" x14ac:dyDescent="0.25">
      <c r="B925" s="2"/>
      <c r="C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row>
    <row r="926" spans="2:60" x14ac:dyDescent="0.25">
      <c r="B926" s="2"/>
      <c r="C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row>
    <row r="927" spans="2:60" x14ac:dyDescent="0.25">
      <c r="B927" s="2"/>
      <c r="C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row>
    <row r="928" spans="2:60" x14ac:dyDescent="0.25">
      <c r="B928" s="2"/>
      <c r="C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row>
    <row r="929" spans="2:60" x14ac:dyDescent="0.25">
      <c r="B929" s="2"/>
      <c r="C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row>
    <row r="930" spans="2:60" x14ac:dyDescent="0.25">
      <c r="B930" s="2"/>
      <c r="C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row>
    <row r="931" spans="2:60" x14ac:dyDescent="0.25">
      <c r="B931" s="2"/>
      <c r="C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row>
    <row r="932" spans="2:60" x14ac:dyDescent="0.25">
      <c r="B932" s="2"/>
      <c r="C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row>
    <row r="933" spans="2:60" x14ac:dyDescent="0.25">
      <c r="B933" s="2"/>
      <c r="C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row>
    <row r="934" spans="2:60" x14ac:dyDescent="0.25">
      <c r="B934" s="2"/>
      <c r="C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row>
    <row r="935" spans="2:60" x14ac:dyDescent="0.25">
      <c r="B935" s="2"/>
      <c r="C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row>
    <row r="936" spans="2:60" x14ac:dyDescent="0.25">
      <c r="B936" s="2"/>
      <c r="C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row>
    <row r="937" spans="2:60" x14ac:dyDescent="0.25">
      <c r="B937" s="2"/>
      <c r="C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row>
    <row r="938" spans="2:60" x14ac:dyDescent="0.25">
      <c r="B938" s="2"/>
      <c r="C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row>
    <row r="939" spans="2:60" x14ac:dyDescent="0.25">
      <c r="B939" s="2"/>
      <c r="C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row>
    <row r="940" spans="2:60" x14ac:dyDescent="0.25">
      <c r="B940" s="2"/>
      <c r="C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row>
    <row r="941" spans="2:60" x14ac:dyDescent="0.25">
      <c r="B941" s="2"/>
      <c r="C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row>
    <row r="942" spans="2:60" x14ac:dyDescent="0.25">
      <c r="B942" s="2"/>
      <c r="C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row>
    <row r="943" spans="2:60" x14ac:dyDescent="0.25">
      <c r="B943" s="2"/>
      <c r="C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row>
    <row r="944" spans="2:60" x14ac:dyDescent="0.25">
      <c r="B944" s="2"/>
      <c r="C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row>
    <row r="945" spans="2:60" x14ac:dyDescent="0.25">
      <c r="B945" s="2"/>
      <c r="C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row>
    <row r="946" spans="2:60" x14ac:dyDescent="0.25">
      <c r="B946" s="2"/>
      <c r="C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row>
    <row r="947" spans="2:60" x14ac:dyDescent="0.25">
      <c r="B947" s="2"/>
      <c r="C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row>
    <row r="948" spans="2:60" x14ac:dyDescent="0.25">
      <c r="B948" s="2"/>
      <c r="C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row>
    <row r="949" spans="2:60" x14ac:dyDescent="0.25">
      <c r="B949" s="2"/>
      <c r="C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row>
    <row r="950" spans="2:60" x14ac:dyDescent="0.25">
      <c r="B950" s="2"/>
      <c r="C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row>
    <row r="951" spans="2:60" x14ac:dyDescent="0.25">
      <c r="B951" s="2"/>
      <c r="C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row>
    <row r="952" spans="2:60" x14ac:dyDescent="0.25">
      <c r="B952" s="2"/>
      <c r="C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row>
    <row r="953" spans="2:60" x14ac:dyDescent="0.25">
      <c r="B953" s="2"/>
      <c r="C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row>
    <row r="954" spans="2:60" x14ac:dyDescent="0.25">
      <c r="B954" s="2"/>
      <c r="C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row>
    <row r="955" spans="2:60" x14ac:dyDescent="0.25">
      <c r="B955" s="2"/>
      <c r="C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row>
    <row r="956" spans="2:60" x14ac:dyDescent="0.25">
      <c r="B956" s="2"/>
      <c r="C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row>
    <row r="957" spans="2:60" x14ac:dyDescent="0.25">
      <c r="B957" s="2"/>
      <c r="C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row>
    <row r="958" spans="2:60" x14ac:dyDescent="0.25">
      <c r="B958" s="2"/>
      <c r="C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row>
    <row r="959" spans="2:60" x14ac:dyDescent="0.25">
      <c r="B959" s="2"/>
      <c r="C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row>
    <row r="960" spans="2:60" x14ac:dyDescent="0.25">
      <c r="B960" s="2"/>
      <c r="C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row>
    <row r="961" spans="2:60" x14ac:dyDescent="0.25">
      <c r="B961" s="2"/>
      <c r="C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row>
    <row r="962" spans="2:60" x14ac:dyDescent="0.25">
      <c r="B962" s="2"/>
      <c r="C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row>
    <row r="963" spans="2:60" x14ac:dyDescent="0.25">
      <c r="B963" s="2"/>
      <c r="C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row>
    <row r="964" spans="2:60" x14ac:dyDescent="0.25">
      <c r="B964" s="2"/>
      <c r="C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row>
    <row r="965" spans="2:60" x14ac:dyDescent="0.25">
      <c r="B965" s="2"/>
      <c r="C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row>
    <row r="966" spans="2:60" x14ac:dyDescent="0.25">
      <c r="B966" s="2"/>
      <c r="C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row>
    <row r="967" spans="2:60" x14ac:dyDescent="0.25">
      <c r="B967" s="2"/>
      <c r="C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row>
    <row r="968" spans="2:60" x14ac:dyDescent="0.25">
      <c r="B968" s="2"/>
      <c r="C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row>
    <row r="969" spans="2:60" x14ac:dyDescent="0.25">
      <c r="B969" s="2"/>
      <c r="C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row>
    <row r="970" spans="2:60" x14ac:dyDescent="0.25">
      <c r="B970" s="2"/>
      <c r="C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row>
    <row r="971" spans="2:60" x14ac:dyDescent="0.25">
      <c r="B971" s="2"/>
      <c r="C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row>
    <row r="972" spans="2:60" x14ac:dyDescent="0.25">
      <c r="B972" s="2"/>
      <c r="C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row>
    <row r="973" spans="2:60" x14ac:dyDescent="0.25">
      <c r="B973" s="2"/>
      <c r="C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row>
    <row r="974" spans="2:60" x14ac:dyDescent="0.25">
      <c r="B974" s="2"/>
      <c r="C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row>
    <row r="975" spans="2:60" x14ac:dyDescent="0.25">
      <c r="B975" s="2"/>
      <c r="C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row>
    <row r="976" spans="2:60" x14ac:dyDescent="0.25">
      <c r="B976" s="2"/>
      <c r="C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row>
    <row r="977" spans="2:60" x14ac:dyDescent="0.25">
      <c r="B977" s="2"/>
      <c r="C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row>
    <row r="978" spans="2:60" x14ac:dyDescent="0.25">
      <c r="B978" s="2"/>
      <c r="C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row>
    <row r="979" spans="2:60" x14ac:dyDescent="0.25">
      <c r="B979" s="2"/>
      <c r="C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row>
    <row r="980" spans="2:60" x14ac:dyDescent="0.25">
      <c r="B980" s="2"/>
      <c r="C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row>
    <row r="981" spans="2:60" x14ac:dyDescent="0.25">
      <c r="B981" s="2"/>
      <c r="C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row>
    <row r="982" spans="2:60" x14ac:dyDescent="0.25">
      <c r="B982" s="2"/>
      <c r="C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row>
    <row r="983" spans="2:60" x14ac:dyDescent="0.25">
      <c r="B983" s="2"/>
      <c r="C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row>
    <row r="984" spans="2:60" x14ac:dyDescent="0.25">
      <c r="B984" s="2"/>
      <c r="C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row>
    <row r="985" spans="2:60" x14ac:dyDescent="0.25">
      <c r="B985" s="2"/>
      <c r="C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row>
    <row r="986" spans="2:60" x14ac:dyDescent="0.25">
      <c r="B986" s="2"/>
      <c r="C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row>
    <row r="987" spans="2:60" x14ac:dyDescent="0.25">
      <c r="B987" s="2"/>
      <c r="C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row>
    <row r="988" spans="2:60" x14ac:dyDescent="0.25">
      <c r="B988" s="2"/>
      <c r="C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row>
    <row r="989" spans="2:60" x14ac:dyDescent="0.25">
      <c r="B989" s="2"/>
      <c r="C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row>
    <row r="990" spans="2:60" x14ac:dyDescent="0.25">
      <c r="B990" s="2"/>
      <c r="C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row>
    <row r="991" spans="2:60" x14ac:dyDescent="0.25">
      <c r="B991" s="2"/>
      <c r="C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row>
    <row r="992" spans="2:60" x14ac:dyDescent="0.25">
      <c r="B992" s="2"/>
      <c r="C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row>
    <row r="993" spans="2:60" x14ac:dyDescent="0.25">
      <c r="B993" s="2"/>
      <c r="C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row>
    <row r="994" spans="2:60" x14ac:dyDescent="0.25">
      <c r="B994" s="2"/>
      <c r="C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row>
    <row r="995" spans="2:60" x14ac:dyDescent="0.25">
      <c r="B995" s="2"/>
      <c r="C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row>
    <row r="996" spans="2:60" x14ac:dyDescent="0.25">
      <c r="B996" s="2"/>
      <c r="C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row>
    <row r="997" spans="2:60" x14ac:dyDescent="0.25">
      <c r="B997" s="2"/>
      <c r="C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row>
    <row r="998" spans="2:60" x14ac:dyDescent="0.25">
      <c r="B998" s="2"/>
      <c r="C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row>
    <row r="999" spans="2:60" x14ac:dyDescent="0.25">
      <c r="B999" s="2"/>
      <c r="C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row>
    <row r="1000" spans="2:60" x14ac:dyDescent="0.25">
      <c r="B1000" s="2"/>
      <c r="C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row>
    <row r="1001" spans="2:60" x14ac:dyDescent="0.25">
      <c r="B1001" s="2"/>
      <c r="C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row>
    <row r="1002" spans="2:60" x14ac:dyDescent="0.25">
      <c r="B1002" s="2"/>
      <c r="C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row>
    <row r="1003" spans="2:60" x14ac:dyDescent="0.25">
      <c r="B1003" s="2"/>
      <c r="C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row>
    <row r="1004" spans="2:60" x14ac:dyDescent="0.25">
      <c r="B1004" s="2"/>
      <c r="C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row>
    <row r="1005" spans="2:60" x14ac:dyDescent="0.25">
      <c r="B1005" s="2"/>
      <c r="C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row>
    <row r="1006" spans="2:60" x14ac:dyDescent="0.25">
      <c r="B1006" s="2"/>
      <c r="C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row>
    <row r="1007" spans="2:60" x14ac:dyDescent="0.25">
      <c r="B1007" s="2"/>
      <c r="C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row>
    <row r="1008" spans="2:60" x14ac:dyDescent="0.25">
      <c r="B1008" s="2"/>
      <c r="C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row>
    <row r="1009" spans="2:60" x14ac:dyDescent="0.25">
      <c r="B1009" s="2"/>
      <c r="C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row>
    <row r="1010" spans="2:60" x14ac:dyDescent="0.25">
      <c r="B1010" s="2"/>
      <c r="C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row>
    <row r="1011" spans="2:60" x14ac:dyDescent="0.25">
      <c r="B1011" s="2"/>
      <c r="C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row>
    <row r="1012" spans="2:60" x14ac:dyDescent="0.25">
      <c r="B1012" s="2"/>
      <c r="C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row>
    <row r="1013" spans="2:60" x14ac:dyDescent="0.25">
      <c r="B1013" s="2"/>
      <c r="C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row>
    <row r="1014" spans="2:60" x14ac:dyDescent="0.25">
      <c r="B1014" s="2"/>
      <c r="C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row>
    <row r="1015" spans="2:60" x14ac:dyDescent="0.25">
      <c r="B1015" s="2"/>
      <c r="C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row>
    <row r="1016" spans="2:60" x14ac:dyDescent="0.25">
      <c r="B1016" s="2"/>
      <c r="C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row>
    <row r="1017" spans="2:60" x14ac:dyDescent="0.25">
      <c r="B1017" s="2"/>
      <c r="C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row>
    <row r="1018" spans="2:60" x14ac:dyDescent="0.25">
      <c r="B1018" s="2"/>
      <c r="C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row>
    <row r="1019" spans="2:60" x14ac:dyDescent="0.25">
      <c r="B1019" s="2"/>
      <c r="C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row>
    <row r="1020" spans="2:60" x14ac:dyDescent="0.25">
      <c r="B1020" s="2"/>
      <c r="C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row>
    <row r="1021" spans="2:60" x14ac:dyDescent="0.25">
      <c r="B1021" s="2"/>
      <c r="C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row>
    <row r="1022" spans="2:60" x14ac:dyDescent="0.25">
      <c r="B1022" s="2"/>
      <c r="C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row>
    <row r="1023" spans="2:60" x14ac:dyDescent="0.25">
      <c r="B1023" s="2"/>
      <c r="C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row>
    <row r="1024" spans="2:60" x14ac:dyDescent="0.25">
      <c r="B1024" s="2"/>
      <c r="C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row>
    <row r="1025" spans="2:60" x14ac:dyDescent="0.25">
      <c r="B1025" s="2"/>
      <c r="C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row>
    <row r="1026" spans="2:60" x14ac:dyDescent="0.25">
      <c r="B1026" s="2"/>
      <c r="C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row>
    <row r="1027" spans="2:60" x14ac:dyDescent="0.25">
      <c r="B1027" s="2"/>
      <c r="C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row>
    <row r="1028" spans="2:60" x14ac:dyDescent="0.25">
      <c r="B1028" s="2"/>
      <c r="C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row>
    <row r="1029" spans="2:60" x14ac:dyDescent="0.25">
      <c r="B1029" s="2"/>
      <c r="C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row>
    <row r="1030" spans="2:60" x14ac:dyDescent="0.25">
      <c r="B1030" s="2"/>
      <c r="C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row>
    <row r="1031" spans="2:60" x14ac:dyDescent="0.25">
      <c r="B1031" s="2"/>
      <c r="C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row>
    <row r="1032" spans="2:60" x14ac:dyDescent="0.25">
      <c r="B1032" s="2"/>
      <c r="C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row>
    <row r="1033" spans="2:60" x14ac:dyDescent="0.25">
      <c r="B1033" s="2"/>
      <c r="C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row>
    <row r="1034" spans="2:60" x14ac:dyDescent="0.25">
      <c r="B1034" s="2"/>
      <c r="C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row>
    <row r="1035" spans="2:60" x14ac:dyDescent="0.25">
      <c r="B1035" s="2"/>
      <c r="C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row>
    <row r="1036" spans="2:60" x14ac:dyDescent="0.25">
      <c r="B1036" s="2"/>
      <c r="C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row>
    <row r="1037" spans="2:60" x14ac:dyDescent="0.25">
      <c r="B1037" s="2"/>
      <c r="C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row>
    <row r="1038" spans="2:60" x14ac:dyDescent="0.25">
      <c r="B1038" s="2"/>
      <c r="C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row>
    <row r="1039" spans="2:60" x14ac:dyDescent="0.25">
      <c r="B1039" s="2"/>
      <c r="C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row>
    <row r="1040" spans="2:60" x14ac:dyDescent="0.25">
      <c r="B1040" s="2"/>
      <c r="C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row>
    <row r="1041" spans="2:60" x14ac:dyDescent="0.25">
      <c r="B1041" s="2"/>
      <c r="C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row>
    <row r="1042" spans="2:60" x14ac:dyDescent="0.25">
      <c r="B1042" s="2"/>
      <c r="C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row>
    <row r="1043" spans="2:60" x14ac:dyDescent="0.25">
      <c r="B1043" s="2"/>
      <c r="C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row>
    <row r="1044" spans="2:60" x14ac:dyDescent="0.25">
      <c r="B1044" s="2"/>
      <c r="C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row>
    <row r="1045" spans="2:60" x14ac:dyDescent="0.25">
      <c r="B1045" s="2"/>
      <c r="C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row>
    <row r="1046" spans="2:60" x14ac:dyDescent="0.25">
      <c r="B1046" s="2"/>
      <c r="C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row>
    <row r="1047" spans="2:60" x14ac:dyDescent="0.25">
      <c r="B1047" s="2"/>
      <c r="C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row>
    <row r="1048" spans="2:60" x14ac:dyDescent="0.25">
      <c r="B1048" s="2"/>
      <c r="C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row>
    <row r="1049" spans="2:60" x14ac:dyDescent="0.25">
      <c r="B1049" s="2"/>
      <c r="C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row>
    <row r="1050" spans="2:60" x14ac:dyDescent="0.25">
      <c r="B1050" s="2"/>
      <c r="C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row>
    <row r="1051" spans="2:60" x14ac:dyDescent="0.25">
      <c r="B1051" s="2"/>
      <c r="C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row>
    <row r="1052" spans="2:60" x14ac:dyDescent="0.25">
      <c r="B1052" s="2"/>
      <c r="C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row>
    <row r="1053" spans="2:60" x14ac:dyDescent="0.25">
      <c r="B1053" s="2"/>
      <c r="C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row>
    <row r="1054" spans="2:60" x14ac:dyDescent="0.25">
      <c r="B1054" s="2"/>
      <c r="C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row>
    <row r="1055" spans="2:60" x14ac:dyDescent="0.25">
      <c r="B1055" s="2"/>
      <c r="C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row>
    <row r="1056" spans="2:60" x14ac:dyDescent="0.25">
      <c r="B1056" s="2"/>
      <c r="C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row>
    <row r="1057" spans="2:60" x14ac:dyDescent="0.25">
      <c r="B1057" s="2"/>
      <c r="C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row>
    <row r="1058" spans="2:60" x14ac:dyDescent="0.25">
      <c r="B1058" s="2"/>
      <c r="C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row>
    <row r="1059" spans="2:60" x14ac:dyDescent="0.25">
      <c r="B1059" s="2"/>
      <c r="C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row>
    <row r="1060" spans="2:60" x14ac:dyDescent="0.25">
      <c r="B1060" s="2"/>
      <c r="C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row>
    <row r="1061" spans="2:60" x14ac:dyDescent="0.25">
      <c r="B1061" s="2"/>
      <c r="C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row>
    <row r="1062" spans="2:60" x14ac:dyDescent="0.25">
      <c r="B1062" s="2"/>
      <c r="C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row>
    <row r="1063" spans="2:60" x14ac:dyDescent="0.25">
      <c r="B1063" s="2"/>
      <c r="C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row>
    <row r="1064" spans="2:60" x14ac:dyDescent="0.25">
      <c r="B1064" s="2"/>
      <c r="C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row>
    <row r="1065" spans="2:60" x14ac:dyDescent="0.25">
      <c r="B1065" s="2"/>
      <c r="C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row>
    <row r="1066" spans="2:60" x14ac:dyDescent="0.25">
      <c r="B1066" s="2"/>
      <c r="C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row>
    <row r="1067" spans="2:60" x14ac:dyDescent="0.25">
      <c r="B1067" s="2"/>
      <c r="C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row>
    <row r="1068" spans="2:60" x14ac:dyDescent="0.25">
      <c r="B1068" s="2"/>
      <c r="C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row>
    <row r="1069" spans="2:60" x14ac:dyDescent="0.25">
      <c r="B1069" s="2"/>
      <c r="C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row>
    <row r="1070" spans="2:60" x14ac:dyDescent="0.25">
      <c r="B1070" s="2"/>
      <c r="C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row>
    <row r="1071" spans="2:60" x14ac:dyDescent="0.25">
      <c r="B1071" s="2"/>
      <c r="C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row>
    <row r="1072" spans="2:60" x14ac:dyDescent="0.25">
      <c r="B1072" s="2"/>
      <c r="C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row>
    <row r="1073" spans="2:60" x14ac:dyDescent="0.25">
      <c r="B1073" s="2"/>
      <c r="C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row>
    <row r="1074" spans="2:60" x14ac:dyDescent="0.25">
      <c r="B1074" s="2"/>
      <c r="C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row>
    <row r="1075" spans="2:60" x14ac:dyDescent="0.25">
      <c r="B1075" s="2"/>
      <c r="C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row>
    <row r="1076" spans="2:60" x14ac:dyDescent="0.25">
      <c r="B1076" s="2"/>
      <c r="C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row>
    <row r="1077" spans="2:60" x14ac:dyDescent="0.25">
      <c r="B1077" s="2"/>
      <c r="C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row>
    <row r="1078" spans="2:60" x14ac:dyDescent="0.25">
      <c r="B1078" s="2"/>
      <c r="C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row>
    <row r="1079" spans="2:60" x14ac:dyDescent="0.25">
      <c r="B1079" s="2"/>
      <c r="C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c r="BH1079" s="2"/>
    </row>
    <row r="1080" spans="2:60" x14ac:dyDescent="0.25">
      <c r="B1080" s="2"/>
      <c r="C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row>
    <row r="1081" spans="2:60" x14ac:dyDescent="0.25">
      <c r="B1081" s="2"/>
      <c r="C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c r="BH1081" s="2"/>
    </row>
    <row r="1082" spans="2:60" x14ac:dyDescent="0.25">
      <c r="B1082" s="2"/>
      <c r="C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row>
    <row r="1083" spans="2:60" x14ac:dyDescent="0.25">
      <c r="B1083" s="2"/>
      <c r="C1083" s="2"/>
      <c r="N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c r="BH1083" s="2"/>
    </row>
  </sheetData>
  <pageMargins left="0.7" right="0.7" top="0.75" bottom="0.75" header="0.3" footer="0.3"/>
  <pageSetup scale="48"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032E5-97BC-4670-8DDB-86AE56C10FD0}">
  <sheetPr>
    <tabColor theme="4"/>
    <pageSetUpPr fitToPage="1"/>
  </sheetPr>
  <dimension ref="A1:BH1100"/>
  <sheetViews>
    <sheetView workbookViewId="0"/>
  </sheetViews>
  <sheetFormatPr defaultColWidth="9.140625" defaultRowHeight="15" x14ac:dyDescent="0.25"/>
  <cols>
    <col min="1" max="1" width="57.140625" style="6" customWidth="1"/>
    <col min="2" max="3" width="10.7109375" style="7" hidden="1" customWidth="1"/>
    <col min="4" max="4" width="10.7109375" style="17" hidden="1" customWidth="1"/>
    <col min="5" max="5" width="10.7109375" style="18" hidden="1" customWidth="1"/>
    <col min="6" max="9" width="10.7109375" style="17" hidden="1" customWidth="1"/>
    <col min="10" max="13" width="10.7109375" style="17" customWidth="1"/>
    <col min="14" max="28" width="10.7109375" style="7" customWidth="1"/>
    <col min="29" max="60" width="9.140625" style="7"/>
    <col min="61" max="16384" width="9.140625" style="2"/>
  </cols>
  <sheetData>
    <row r="1" spans="1:60" x14ac:dyDescent="0.25">
      <c r="A1" s="4" t="str">
        <f>Inputs!A1</f>
        <v>Pfizer</v>
      </c>
      <c r="B1" s="2"/>
      <c r="C1" s="2"/>
      <c r="N1" s="254"/>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row>
    <row r="2" spans="1:60" x14ac:dyDescent="0.25">
      <c r="A2" s="5" t="s">
        <v>356</v>
      </c>
      <c r="B2" s="2"/>
      <c r="C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row>
    <row r="4" spans="1:60" s="81" customFormat="1" ht="15.75" thickBot="1" x14ac:dyDescent="0.3">
      <c r="A4" s="80" t="str">
        <f>CONCATENATE("Fiscal Years Ending ",Inputs!B7)</f>
        <v>Fiscal Years Ending Dec. 31</v>
      </c>
      <c r="B4" s="81">
        <v>2012</v>
      </c>
      <c r="C4" s="81">
        <v>2013</v>
      </c>
      <c r="D4" s="81">
        <v>2014</v>
      </c>
      <c r="E4" s="81">
        <v>2015</v>
      </c>
      <c r="F4" s="81">
        <v>2016</v>
      </c>
      <c r="G4" s="81">
        <v>2017</v>
      </c>
      <c r="H4" s="81">
        <v>2018</v>
      </c>
      <c r="I4" s="81">
        <v>2019</v>
      </c>
      <c r="J4" s="81">
        <v>2020</v>
      </c>
      <c r="K4" s="81">
        <v>2021</v>
      </c>
      <c r="L4" s="81">
        <v>2022</v>
      </c>
      <c r="M4" s="81" t="s">
        <v>28</v>
      </c>
      <c r="N4" s="81" t="s">
        <v>29</v>
      </c>
      <c r="O4" s="81" t="s">
        <v>30</v>
      </c>
      <c r="P4" s="81" t="s">
        <v>31</v>
      </c>
      <c r="Q4" s="81" t="s">
        <v>32</v>
      </c>
      <c r="R4" s="81" t="s">
        <v>33</v>
      </c>
      <c r="S4" s="81" t="s">
        <v>34</v>
      </c>
      <c r="T4" s="81" t="s">
        <v>35</v>
      </c>
    </row>
    <row r="5" spans="1:60" s="9" customFormat="1" x14ac:dyDescent="0.25">
      <c r="A5" s="174" t="s">
        <v>291</v>
      </c>
      <c r="F5" s="400"/>
      <c r="G5" s="400"/>
      <c r="H5" s="400"/>
      <c r="I5" s="400"/>
      <c r="J5" s="400"/>
      <c r="K5" s="400"/>
      <c r="L5" s="400"/>
      <c r="M5" s="19"/>
    </row>
    <row r="6" spans="1:60" s="9" customFormat="1" x14ac:dyDescent="0.25">
      <c r="A6" s="168" t="s">
        <v>226</v>
      </c>
      <c r="F6" s="257">
        <f>BS_Sorted!F6/IS_Sorted!F$5</f>
        <v>4.9125397546569742E-2</v>
      </c>
      <c r="G6" s="257">
        <f>BS_Sorted!G6/IS_Sorted!G$5</f>
        <v>2.5539527271343204E-2</v>
      </c>
      <c r="H6" s="257">
        <f>BS_Sorted!H6/IS_Sorted!H$5</f>
        <v>2.123138292914795E-2</v>
      </c>
      <c r="I6" s="257">
        <f>BS_Sorted!I6/IS_Sorted!I$5</f>
        <v>2.5217391304347827E-2</v>
      </c>
      <c r="J6" s="257">
        <f>BS_Sorted!J6/IS_Sorted!J$5</f>
        <v>4.2569437816168752E-2</v>
      </c>
      <c r="K6" s="257">
        <f>BS_Sorted!K6/IS_Sorted!K$5</f>
        <v>2.3914968999114262E-2</v>
      </c>
      <c r="L6" s="257">
        <f>BS_Sorted!L6/IS_Sorted!L$5</f>
        <v>4.1463171533938003E-3</v>
      </c>
      <c r="M6" s="498">
        <f>BS_Sorted!M6/IS_Sorted!M$5</f>
        <v>0.13353337202924387</v>
      </c>
      <c r="N6" s="498">
        <f>BS_Sorted!N6/IS_Sorted!N$5</f>
        <v>8.355353905349433E-2</v>
      </c>
      <c r="O6" s="498">
        <f>BS_Sorted!O6/IS_Sorted!O$5</f>
        <v>0.10446222025022181</v>
      </c>
      <c r="P6" s="498">
        <f>BS_Sorted!P6/IS_Sorted!P$5</f>
        <v>0.14400743474480154</v>
      </c>
      <c r="Q6" s="498">
        <f>BS_Sorted!Q6/IS_Sorted!Q$5</f>
        <v>0.18230481030843168</v>
      </c>
      <c r="R6" s="498">
        <f>BS_Sorted!R6/IS_Sorted!R$5</f>
        <v>0.17760273362320744</v>
      </c>
      <c r="S6" s="498">
        <f>BS_Sorted!S6/IS_Sorted!S$5</f>
        <v>0.13071212567348087</v>
      </c>
      <c r="T6" s="498">
        <f>BS_Sorted!T6/IS_Sorted!T$5</f>
        <v>6.8717636579344668E-2</v>
      </c>
    </row>
    <row r="7" spans="1:60" s="9" customFormat="1" x14ac:dyDescent="0.25">
      <c r="A7" s="168" t="s">
        <v>227</v>
      </c>
      <c r="B7" s="163"/>
      <c r="C7" s="163"/>
      <c r="D7" s="18"/>
      <c r="E7" s="18"/>
      <c r="F7" s="257">
        <f>BS_Sorted!F7/IS_Sorted!F$5</f>
        <v>0.28878918673330306</v>
      </c>
      <c r="G7" s="257">
        <f>BS_Sorted!G7/IS_Sorted!G$5</f>
        <v>0.35492711148327177</v>
      </c>
      <c r="H7" s="257">
        <f>BS_Sorted!H7/IS_Sorted!H$5</f>
        <v>0.32982273006878299</v>
      </c>
      <c r="I7" s="257">
        <f>BS_Sorted!I7/IS_Sorted!I$5</f>
        <v>0.16473429951690821</v>
      </c>
      <c r="J7" s="257">
        <f>BS_Sorted!J7/IS_Sorted!J$5</f>
        <v>0.24904552830008589</v>
      </c>
      <c r="K7" s="257">
        <f>BS_Sorted!K7/IS_Sorted!K$5</f>
        <v>0.35829396712921957</v>
      </c>
      <c r="L7" s="257">
        <f>BS_Sorted!L7/IS_Sorted!L$5</f>
        <v>0.22242599421907705</v>
      </c>
      <c r="M7" s="498">
        <f>BS_Sorted!M7/IS_Sorted!M$5</f>
        <v>0.8041356645092651</v>
      </c>
      <c r="N7" s="498">
        <f>BS_Sorted!N7/IS_Sorted!N$5</f>
        <v>0.92026571346082242</v>
      </c>
      <c r="O7" s="498">
        <f>BS_Sorted!O7/IS_Sorted!O$5</f>
        <v>1.0362301036245805</v>
      </c>
      <c r="P7" s="498">
        <f>BS_Sorted!P7/IS_Sorted!P$5</f>
        <v>1.1170835285184326</v>
      </c>
      <c r="Q7" s="498">
        <f>BS_Sorted!Q7/IS_Sorted!Q$5</f>
        <v>1.1789459665689994</v>
      </c>
      <c r="R7" s="498">
        <f>BS_Sorted!R7/IS_Sorted!R$5</f>
        <v>1.2813381410152038</v>
      </c>
      <c r="S7" s="498">
        <f>BS_Sorted!S7/IS_Sorted!S$5</f>
        <v>1.3877241427961269</v>
      </c>
      <c r="T7" s="498">
        <f>BS_Sorted!T7/IS_Sorted!T$5</f>
        <v>1.4454019309217625</v>
      </c>
    </row>
    <row r="8" spans="1:60" s="9" customFormat="1" x14ac:dyDescent="0.25">
      <c r="A8" s="196" t="s">
        <v>230</v>
      </c>
      <c r="B8" s="163"/>
      <c r="C8" s="163"/>
      <c r="D8" s="18"/>
      <c r="E8" s="18"/>
      <c r="F8" s="257">
        <f>BS_Sorted!F8/IS_Sorted!F$5</f>
        <v>0.1557057398152355</v>
      </c>
      <c r="G8" s="257">
        <f>BS_Sorted!G8/IS_Sorted!G$5</f>
        <v>0.15645339321737145</v>
      </c>
      <c r="H8" s="257">
        <f>BS_Sorted!H8/IS_Sorted!H$5</f>
        <v>0.14958897981247787</v>
      </c>
      <c r="I8" s="257">
        <f>BS_Sorted!I8/IS_Sorted!I$5</f>
        <v>0.16857971014492754</v>
      </c>
      <c r="J8" s="257">
        <f>BS_Sorted!J8/IS_Sorted!J$5</f>
        <v>0.18922401450796983</v>
      </c>
      <c r="K8" s="257">
        <f>BS_Sorted!K8/IS_Sorted!K$5</f>
        <v>0.14121395531935832</v>
      </c>
      <c r="L8" s="257">
        <f>BS_Sorted!L8/IS_Sorted!L$5</f>
        <v>0.10915977274992525</v>
      </c>
      <c r="M8" s="498">
        <f>BS_Sorted!M8/IS_Sorted!M$5</f>
        <v>0.15284650936675223</v>
      </c>
      <c r="N8" s="498">
        <f>BS_Sorted!N8/IS_Sorted!N$5</f>
        <v>0.1528465093667522</v>
      </c>
      <c r="O8" s="498">
        <f>BS_Sorted!O8/IS_Sorted!O$5</f>
        <v>0.15284650936675223</v>
      </c>
      <c r="P8" s="498">
        <f>BS_Sorted!P8/IS_Sorted!P$5</f>
        <v>0.1528465093667522</v>
      </c>
      <c r="Q8" s="498">
        <f>BS_Sorted!Q8/IS_Sorted!Q$5</f>
        <v>0.15284650936675223</v>
      </c>
      <c r="R8" s="498">
        <f>BS_Sorted!R8/IS_Sorted!R$5</f>
        <v>0.15284650936675223</v>
      </c>
      <c r="S8" s="498">
        <f>BS_Sorted!S8/IS_Sorted!S$5</f>
        <v>0.15284650936675223</v>
      </c>
      <c r="T8" s="498">
        <f>BS_Sorted!T8/IS_Sorted!T$5</f>
        <v>0.15284650936675223</v>
      </c>
    </row>
    <row r="9" spans="1:60" s="9" customFormat="1" x14ac:dyDescent="0.25">
      <c r="A9" s="224" t="s">
        <v>228</v>
      </c>
      <c r="B9" s="89"/>
      <c r="C9" s="89"/>
      <c r="D9" s="89"/>
      <c r="E9" s="89"/>
      <c r="F9" s="257">
        <f>BS_Sorted!F9/IS_Sorted!F$5</f>
        <v>0.16723459033772528</v>
      </c>
      <c r="G9" s="257">
        <f>BS_Sorted!G9/IS_Sorted!G$5</f>
        <v>0.16756746469759828</v>
      </c>
      <c r="H9" s="257">
        <f>BS_Sorted!H9/IS_Sorted!H$5</f>
        <v>0.15967342069454024</v>
      </c>
      <c r="I9" s="257">
        <f>BS_Sorted!I9/IS_Sorted!I$5</f>
        <v>0.17876328502415459</v>
      </c>
      <c r="J9" s="257">
        <f>BS_Sorted!J9/IS_Sorted!J$5</f>
        <v>0.20134580509687888</v>
      </c>
      <c r="K9" s="257">
        <f>BS_Sorted!K9/IS_Sorted!K$5</f>
        <v>0.14726650920185022</v>
      </c>
      <c r="L9" s="257">
        <f>BS_Sorted!L9/IS_Sorted!L$5</f>
        <v>0.11363500448519884</v>
      </c>
      <c r="M9" s="498">
        <f>BS_Sorted!M9/IS_Sorted!M$5</f>
        <v>0.16221229707684945</v>
      </c>
      <c r="N9" s="498">
        <f>BS_Sorted!N9/IS_Sorted!N$5</f>
        <v>0.16221229707684945</v>
      </c>
      <c r="O9" s="498">
        <f>BS_Sorted!O9/IS_Sorted!O$5</f>
        <v>0.16221229707684945</v>
      </c>
      <c r="P9" s="498">
        <f>BS_Sorted!P9/IS_Sorted!P$5</f>
        <v>0.16221229707684945</v>
      </c>
      <c r="Q9" s="498">
        <f>BS_Sorted!Q9/IS_Sorted!Q$5</f>
        <v>0.16221229707684945</v>
      </c>
      <c r="R9" s="498">
        <f>BS_Sorted!R9/IS_Sorted!R$5</f>
        <v>0.16221229707684945</v>
      </c>
      <c r="S9" s="498">
        <f>BS_Sorted!S9/IS_Sorted!S$5</f>
        <v>0.16221229707684945</v>
      </c>
      <c r="T9" s="498">
        <f>BS_Sorted!T9/IS_Sorted!T$5</f>
        <v>0.16221229707684945</v>
      </c>
    </row>
    <row r="10" spans="1:60" s="9" customFormat="1" x14ac:dyDescent="0.25">
      <c r="A10" s="224" t="s">
        <v>229</v>
      </c>
      <c r="B10" s="73"/>
      <c r="C10" s="73"/>
      <c r="D10" s="73"/>
      <c r="E10" s="73"/>
      <c r="F10" s="257">
        <f>BS_Sorted!F10/IS_Sorted!F$5</f>
        <v>1.1528850522489777E-2</v>
      </c>
      <c r="G10" s="257">
        <f>BS_Sorted!G10/IS_Sorted!G$5</f>
        <v>1.1114071480226849E-2</v>
      </c>
      <c r="H10" s="257">
        <f>BS_Sorted!H10/IS_Sorted!H$5</f>
        <v>1.0084440882062371E-2</v>
      </c>
      <c r="I10" s="257">
        <f>BS_Sorted!I10/IS_Sorted!I$5</f>
        <v>1.0183574879227053E-2</v>
      </c>
      <c r="J10" s="257">
        <f>BS_Sorted!J10/IS_Sorted!J$5</f>
        <v>1.2121790588909038E-2</v>
      </c>
      <c r="K10" s="257">
        <f>BS_Sorted!K10/IS_Sorted!K$5</f>
        <v>6.0525538824918804E-3</v>
      </c>
      <c r="L10" s="257">
        <f>BS_Sorted!L10/IS_Sorted!L$5</f>
        <v>4.4752317352735969E-3</v>
      </c>
      <c r="M10" s="498">
        <f>BS_Sorted!M10/IS_Sorted!M$5</f>
        <v>9.3657877100972228E-3</v>
      </c>
      <c r="N10" s="498">
        <f>BS_Sorted!N10/IS_Sorted!N$5</f>
        <v>9.3657877100972228E-3</v>
      </c>
      <c r="O10" s="498">
        <f>BS_Sorted!O10/IS_Sorted!O$5</f>
        <v>9.3657877100972228E-3</v>
      </c>
      <c r="P10" s="498">
        <f>BS_Sorted!P10/IS_Sorted!P$5</f>
        <v>9.3657877100972228E-3</v>
      </c>
      <c r="Q10" s="498">
        <f>BS_Sorted!Q10/IS_Sorted!Q$5</f>
        <v>9.3657877100972228E-3</v>
      </c>
      <c r="R10" s="498">
        <f>BS_Sorted!R10/IS_Sorted!R$5</f>
        <v>9.3657877100972228E-3</v>
      </c>
      <c r="S10" s="498">
        <f>BS_Sorted!S10/IS_Sorted!S$5</f>
        <v>9.3657877100972228E-3</v>
      </c>
      <c r="T10" s="498">
        <f>BS_Sorted!T10/IS_Sorted!T$5</f>
        <v>9.3657877100972228E-3</v>
      </c>
    </row>
    <row r="11" spans="1:60" x14ac:dyDescent="0.25">
      <c r="A11" s="168" t="s">
        <v>234</v>
      </c>
      <c r="B11" s="73"/>
      <c r="C11" s="73"/>
      <c r="D11" s="73"/>
      <c r="E11" s="73"/>
      <c r="F11" s="257">
        <f>BS_Sorted!F11/IS_Sorted!F$5</f>
        <v>0.12840754202635166</v>
      </c>
      <c r="G11" s="257">
        <f>BS_Sorted!G11/IS_Sorted!G$5</f>
        <v>0.14421649602253264</v>
      </c>
      <c r="H11" s="257">
        <f>BS_Sorted!H11/IS_Sorted!H$5</f>
        <v>0.1399519078420042</v>
      </c>
      <c r="I11" s="257">
        <f>BS_Sorted!I11/IS_Sorted!I$5</f>
        <v>0.16005797101449276</v>
      </c>
      <c r="J11" s="257">
        <f>BS_Sorted!J11/IS_Sorted!J$5</f>
        <v>0.19199198243772073</v>
      </c>
      <c r="K11" s="257">
        <f>BS_Sorted!K11/IS_Sorted!K$5</f>
        <v>0.11144326345832103</v>
      </c>
      <c r="L11" s="257">
        <f>BS_Sorted!L11/IS_Sorted!L$5</f>
        <v>8.9514601814013758E-2</v>
      </c>
      <c r="M11" s="498">
        <f>BS_Sorted!M11/IS_Sorted!M$5</f>
        <v>0.13794053780220525</v>
      </c>
      <c r="N11" s="498">
        <f>BS_Sorted!N11/IS_Sorted!N$5</f>
        <v>0.13794053780220525</v>
      </c>
      <c r="O11" s="498">
        <f>BS_Sorted!O11/IS_Sorted!O$5</f>
        <v>0.13794053780220525</v>
      </c>
      <c r="P11" s="498">
        <f>BS_Sorted!P11/IS_Sorted!P$5</f>
        <v>0.13794053780220525</v>
      </c>
      <c r="Q11" s="498">
        <f>BS_Sorted!Q11/IS_Sorted!Q$5</f>
        <v>0.13794053780220525</v>
      </c>
      <c r="R11" s="498">
        <f>BS_Sorted!R11/IS_Sorted!R$5</f>
        <v>0.13794053780220525</v>
      </c>
      <c r="S11" s="498">
        <f>BS_Sorted!S11/IS_Sorted!S$5</f>
        <v>0.13794053780220525</v>
      </c>
      <c r="T11" s="498">
        <f>BS_Sorted!T11/IS_Sorted!T$5</f>
        <v>0.13794053780220525</v>
      </c>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row>
    <row r="12" spans="1:60" x14ac:dyDescent="0.25">
      <c r="A12" s="168" t="s">
        <v>235</v>
      </c>
      <c r="B12" s="31"/>
      <c r="C12" s="31"/>
      <c r="D12" s="31"/>
      <c r="E12" s="31"/>
      <c r="F12" s="257">
        <f>BS_Sorted!F12/IS_Sorted!F$5</f>
        <v>5.7568529456307742E-2</v>
      </c>
      <c r="G12" s="257">
        <f>BS_Sorted!G12/IS_Sorted!G$5</f>
        <v>5.8044380162143645E-2</v>
      </c>
      <c r="H12" s="257">
        <f>BS_Sorted!H12/IS_Sorted!H$5</f>
        <v>6.2892612820847391E-2</v>
      </c>
      <c r="I12" s="257">
        <f>BS_Sorted!I12/IS_Sorted!I$5</f>
        <v>6.4618357487922704E-2</v>
      </c>
      <c r="J12" s="257">
        <f>BS_Sorted!J12/IS_Sorted!J$5</f>
        <v>7.7884890712990359E-2</v>
      </c>
      <c r="K12" s="257">
        <f>BS_Sorted!K12/IS_Sorted!K$5</f>
        <v>5.2480070859167408E-2</v>
      </c>
      <c r="L12" s="257">
        <f>BS_Sorted!L12/IS_Sorted!L$5</f>
        <v>3.5652347254061599E-2</v>
      </c>
      <c r="M12" s="498">
        <f>BS_Sorted!M12/IS_Sorted!M$5</f>
        <v>0.11590736931595534</v>
      </c>
      <c r="N12" s="498">
        <f>BS_Sorted!N12/IS_Sorted!N$5</f>
        <v>0.19731478068859354</v>
      </c>
      <c r="O12" s="498">
        <f>BS_Sorted!O12/IS_Sorted!O$5</f>
        <v>0.19721293092135855</v>
      </c>
      <c r="P12" s="498">
        <f>BS_Sorted!P12/IS_Sorted!P$5</f>
        <v>0.19595234599617678</v>
      </c>
      <c r="Q12" s="498">
        <f>BS_Sorted!Q12/IS_Sorted!Q$5</f>
        <v>0.19755835520104509</v>
      </c>
      <c r="R12" s="498">
        <f>BS_Sorted!R12/IS_Sorted!R$5</f>
        <v>0.20493239830219934</v>
      </c>
      <c r="S12" s="498">
        <f>BS_Sorted!S12/IS_Sorted!S$5</f>
        <v>0.20796720187670228</v>
      </c>
      <c r="T12" s="498">
        <f>BS_Sorted!T12/IS_Sorted!T$5</f>
        <v>0.21392359457597879</v>
      </c>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row>
    <row r="13" spans="1:60" s="1" customFormat="1" x14ac:dyDescent="0.25">
      <c r="A13" s="168" t="s">
        <v>738</v>
      </c>
      <c r="B13" s="167"/>
      <c r="C13" s="167"/>
      <c r="D13" s="167"/>
      <c r="E13" s="167"/>
      <c r="F13" s="260" t="s">
        <v>54</v>
      </c>
      <c r="G13" s="260" t="s">
        <v>54</v>
      </c>
      <c r="H13" s="260" t="s">
        <v>54</v>
      </c>
      <c r="I13" s="260" t="s">
        <v>54</v>
      </c>
      <c r="J13" s="257">
        <f>BS_Sorted!J13/IS_Sorted!J$5</f>
        <v>3.9849193471413573E-3</v>
      </c>
      <c r="K13" s="260" t="s">
        <v>54</v>
      </c>
      <c r="L13" s="260" t="s">
        <v>54</v>
      </c>
      <c r="M13" s="499" t="s">
        <v>54</v>
      </c>
      <c r="N13" s="499" t="s">
        <v>54</v>
      </c>
      <c r="O13" s="499" t="s">
        <v>54</v>
      </c>
      <c r="P13" s="499" t="s">
        <v>54</v>
      </c>
      <c r="Q13" s="499" t="s">
        <v>54</v>
      </c>
      <c r="R13" s="499" t="s">
        <v>54</v>
      </c>
      <c r="S13" s="499" t="s">
        <v>54</v>
      </c>
      <c r="T13" s="499" t="s">
        <v>54</v>
      </c>
    </row>
    <row r="14" spans="1:60" s="1" customFormat="1" x14ac:dyDescent="0.25">
      <c r="A14" s="168" t="s">
        <v>237</v>
      </c>
      <c r="B14" s="167"/>
      <c r="C14" s="167"/>
      <c r="D14" s="167"/>
      <c r="E14" s="167"/>
      <c r="F14" s="257">
        <f>BS_Sorted!F14/IS_Sorted!F$5</f>
        <v>1.5163562017264879E-2</v>
      </c>
      <c r="G14" s="257">
        <f>BS_Sorted!G14/IS_Sorted!G$5</f>
        <v>2.283713317854832E-4</v>
      </c>
      <c r="H14" s="257">
        <f>BS_Sorted!H14/IS_Sorted!H$5</f>
        <v>0.18127761105001211</v>
      </c>
      <c r="I14" s="257">
        <f>BS_Sorted!I14/IS_Sorted!I$5</f>
        <v>4.0579710144927536E-4</v>
      </c>
      <c r="J14" s="260" t="s">
        <v>54</v>
      </c>
      <c r="K14" s="260" t="s">
        <v>54</v>
      </c>
      <c r="L14" s="260" t="s">
        <v>54</v>
      </c>
      <c r="M14" s="499" t="s">
        <v>54</v>
      </c>
      <c r="N14" s="499" t="s">
        <v>54</v>
      </c>
      <c r="O14" s="499" t="s">
        <v>54</v>
      </c>
      <c r="P14" s="499" t="s">
        <v>54</v>
      </c>
      <c r="Q14" s="499" t="s">
        <v>54</v>
      </c>
      <c r="R14" s="499" t="s">
        <v>54</v>
      </c>
      <c r="S14" s="499" t="s">
        <v>54</v>
      </c>
      <c r="T14" s="499" t="s">
        <v>54</v>
      </c>
    </row>
    <row r="15" spans="1:60" s="1" customFormat="1" x14ac:dyDescent="0.25">
      <c r="A15" s="198" t="s">
        <v>236</v>
      </c>
      <c r="B15" s="164" t="s">
        <v>216</v>
      </c>
      <c r="C15" s="164" t="s">
        <v>216</v>
      </c>
      <c r="D15" s="164" t="s">
        <v>216</v>
      </c>
      <c r="E15" s="164" t="s">
        <v>216</v>
      </c>
      <c r="F15" s="261">
        <f>BS_Sorted!F15/IS_Sorted!F$5</f>
        <v>4.2575344540360445E-2</v>
      </c>
      <c r="G15" s="261">
        <f>BS_Sorted!G15/IS_Sorted!G$5</f>
        <v>4.3561831538080922E-2</v>
      </c>
      <c r="H15" s="261">
        <f>BS_Sorted!H15/IS_Sorted!H$5</f>
        <v>4.587395380915988E-2</v>
      </c>
      <c r="I15" s="261">
        <f>BS_Sorted!I15/IS_Sorted!I$5</f>
        <v>5.0241545893719805E-2</v>
      </c>
      <c r="J15" s="261">
        <f>BS_Sorted!J15/IS_Sorted!J$5</f>
        <v>8.2036842607616678E-2</v>
      </c>
      <c r="K15" s="261">
        <f>BS_Sorted!K15/IS_Sorted!K$5</f>
        <v>4.6993406160810942E-2</v>
      </c>
      <c r="L15" s="261">
        <f>BS_Sorted!L15/IS_Sorted!L$5</f>
        <v>5.0004983554270903E-2</v>
      </c>
      <c r="M15" s="500">
        <f>BS_Sorted!M15/IS_Sorted!M$5</f>
        <v>9.3080718148772057E-2</v>
      </c>
      <c r="N15" s="500">
        <f>BS_Sorted!N15/IS_Sorted!N$5</f>
        <v>0.10652306231051203</v>
      </c>
      <c r="O15" s="500">
        <f>BS_Sorted!O15/IS_Sorted!O$5</f>
        <v>0.11994623105246086</v>
      </c>
      <c r="P15" s="500">
        <f>BS_Sorted!P15/IS_Sorted!P$5</f>
        <v>0.12930521758429234</v>
      </c>
      <c r="Q15" s="500">
        <f>BS_Sorted!Q15/IS_Sorted!Q$5</f>
        <v>0.13646594980190227</v>
      </c>
      <c r="R15" s="500">
        <f>BS_Sorted!R15/IS_Sorted!R$5</f>
        <v>0.14831810056564598</v>
      </c>
      <c r="S15" s="500">
        <f>BS_Sorted!S15/IS_Sorted!S$5</f>
        <v>0.16063254685101003</v>
      </c>
      <c r="T15" s="500">
        <f>BS_Sorted!T15/IS_Sorted!T$5</f>
        <v>0.16730889535402438</v>
      </c>
    </row>
    <row r="16" spans="1:60" x14ac:dyDescent="0.25">
      <c r="A16" s="298" t="s">
        <v>239</v>
      </c>
      <c r="B16" s="213"/>
      <c r="C16" s="213"/>
      <c r="D16" s="213"/>
      <c r="E16" s="316"/>
      <c r="F16" s="317">
        <f>BS_Sorted!F16/IS_Sorted!F$5</f>
        <v>0.737335302135393</v>
      </c>
      <c r="G16" s="317">
        <f>BS_Sorted!G16/IS_Sorted!G$5</f>
        <v>0.78297111102652917</v>
      </c>
      <c r="H16" s="317">
        <f>BS_Sorted!H16/IS_Sorted!H$5</f>
        <v>0.93063917833243237</v>
      </c>
      <c r="I16" s="317">
        <f>BS_Sorted!I16/IS_Sorted!I$5</f>
        <v>0.63385507246376815</v>
      </c>
      <c r="J16" s="317">
        <f>BS_Sorted!J16/IS_Sorted!J$5</f>
        <v>0.83673761572969363</v>
      </c>
      <c r="K16" s="317">
        <f>BS_Sorted!K16/IS_Sorted!K$5</f>
        <v>0.7343396319259915</v>
      </c>
      <c r="L16" s="317">
        <f>BS_Sorted!L16/IS_Sorted!L$5</f>
        <v>0.5109040167447424</v>
      </c>
      <c r="M16" s="501">
        <f>BS_Sorted!M16/IS_Sorted!M$5</f>
        <v>1.4374441711721939</v>
      </c>
      <c r="N16" s="501">
        <f>BS_Sorted!N16/IS_Sorted!N$5</f>
        <v>1.5984441426823797</v>
      </c>
      <c r="O16" s="501">
        <f>BS_Sorted!O16/IS_Sorted!O$5</f>
        <v>1.7486385330175789</v>
      </c>
      <c r="P16" s="501">
        <f>BS_Sorted!P16/IS_Sorted!P$5</f>
        <v>1.877135574012661</v>
      </c>
      <c r="Q16" s="501">
        <f>BS_Sorted!Q16/IS_Sorted!Q$5</f>
        <v>1.9860621290493359</v>
      </c>
      <c r="R16" s="501">
        <f>BS_Sorted!R16/IS_Sorted!R$5</f>
        <v>2.102978420675214</v>
      </c>
      <c r="S16" s="501">
        <f>BS_Sorted!S16/IS_Sorted!S$5</f>
        <v>2.1778230643662773</v>
      </c>
      <c r="T16" s="501">
        <f>BS_Sorted!T16/IS_Sorted!T$5</f>
        <v>2.186139104600068</v>
      </c>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row>
    <row r="17" spans="1:60" s="1" customFormat="1" x14ac:dyDescent="0.25">
      <c r="A17" s="168" t="s">
        <v>240</v>
      </c>
      <c r="B17" s="31"/>
      <c r="C17" s="31"/>
      <c r="D17" s="31"/>
      <c r="E17" s="31"/>
      <c r="F17" s="260" t="s">
        <v>54</v>
      </c>
      <c r="G17" s="260" t="s">
        <v>54</v>
      </c>
      <c r="H17" s="260" t="s">
        <v>54</v>
      </c>
      <c r="I17" s="257">
        <f>BS_Sorted!I17/IS_Sorted!I$5</f>
        <v>0.33107246376811594</v>
      </c>
      <c r="J17" s="257">
        <f>BS_Sorted!J17/IS_Sorted!J$5</f>
        <v>0.4022143743438007</v>
      </c>
      <c r="K17" s="257">
        <f>BS_Sorted!K17/IS_Sorted!K$5</f>
        <v>0.20263753567562248</v>
      </c>
      <c r="L17" s="257">
        <f>BS_Sorted!L17/IS_Sorted!L$5</f>
        <v>0.10996710854181202</v>
      </c>
      <c r="M17" s="498">
        <f>BS_Sorted!M17/IS_Sorted!M$5</f>
        <v>0.20444161716464224</v>
      </c>
      <c r="N17" s="498">
        <f>BS_Sorted!N17/IS_Sorted!N$5</f>
        <v>0.23367555905740878</v>
      </c>
      <c r="O17" s="498">
        <f>BS_Sorted!O17/IS_Sorted!O$5</f>
        <v>0.262794528430912</v>
      </c>
      <c r="P17" s="498">
        <f>BS_Sorted!P17/IS_Sorted!P$5</f>
        <v>0.28294747786442193</v>
      </c>
      <c r="Q17" s="498">
        <f>BS_Sorted!Q17/IS_Sorted!Q$5</f>
        <v>0.29824566850600692</v>
      </c>
      <c r="R17" s="498">
        <f>BS_Sorted!R17/IS_Sorted!R$5</f>
        <v>0.32374574036598985</v>
      </c>
      <c r="S17" s="498">
        <f>BS_Sorted!S17/IS_Sorted!S$5</f>
        <v>0.35018982100355794</v>
      </c>
      <c r="T17" s="498">
        <f>BS_Sorted!T17/IS_Sorted!T$5</f>
        <v>0.36429152684992538</v>
      </c>
    </row>
    <row r="18" spans="1:60" s="1" customFormat="1" x14ac:dyDescent="0.25">
      <c r="A18" s="168" t="s">
        <v>241</v>
      </c>
      <c r="B18" s="73"/>
      <c r="C18" s="73"/>
      <c r="D18" s="73"/>
      <c r="E18" s="73"/>
      <c r="F18" s="257">
        <f>BS_Sorted!F18/IS_Sorted!F$5</f>
        <v>0.13471149477510222</v>
      </c>
      <c r="G18" s="257">
        <f>BS_Sorted!G18/IS_Sorted!G$5</f>
        <v>0.13350207437293038</v>
      </c>
      <c r="H18" s="257">
        <f>BS_Sorted!H18/IS_Sorted!H$5</f>
        <v>5.1577907431916044E-2</v>
      </c>
      <c r="I18" s="257">
        <f>BS_Sorted!I18/IS_Sorted!I$5</f>
        <v>5.8241545893719805E-2</v>
      </c>
      <c r="J18" s="257">
        <f>BS_Sorted!J18/IS_Sorted!J$5</f>
        <v>8.1273265247685411E-2</v>
      </c>
      <c r="K18" s="257">
        <f>BS_Sorted!K18/IS_Sorted!K$5</f>
        <v>6.2173998622182855E-2</v>
      </c>
      <c r="L18" s="257">
        <f>BS_Sorted!L18/IS_Sorted!L$5</f>
        <v>4.0227250074753314E-2</v>
      </c>
      <c r="M18" s="498">
        <f>BS_Sorted!M18/IS_Sorted!M$5</f>
        <v>7.4880163135029695E-2</v>
      </c>
      <c r="N18" s="498">
        <f>BS_Sorted!N18/IS_Sorted!N$5</f>
        <v>8.5694056106283931E-2</v>
      </c>
      <c r="O18" s="498">
        <f>BS_Sorted!O18/IS_Sorted!O$5</f>
        <v>9.6492523126914878E-2</v>
      </c>
      <c r="P18" s="498">
        <f>BS_Sorted!P18/IS_Sorted!P$5</f>
        <v>0.10402149853900811</v>
      </c>
      <c r="Q18" s="498">
        <f>BS_Sorted!Q18/IS_Sorted!Q$5</f>
        <v>0.10978205569074696</v>
      </c>
      <c r="R18" s="498">
        <f>BS_Sorted!R18/IS_Sorted!R$5</f>
        <v>0.11931669401693185</v>
      </c>
      <c r="S18" s="498">
        <f>BS_Sorted!S18/IS_Sorted!S$5</f>
        <v>0.12922323282652509</v>
      </c>
      <c r="T18" s="498">
        <f>BS_Sorted!T18/IS_Sorted!T$5</f>
        <v>0.13459412032067816</v>
      </c>
    </row>
    <row r="19" spans="1:60" s="1" customFormat="1" x14ac:dyDescent="0.25">
      <c r="A19" s="168" t="s">
        <v>294</v>
      </c>
      <c r="B19" s="31"/>
      <c r="C19" s="31"/>
      <c r="D19" s="31"/>
      <c r="E19" s="31"/>
      <c r="F19" s="257">
        <f>BS_Sorted!F19/IS_Sorted!F$5</f>
        <v>0.25212024837195213</v>
      </c>
      <c r="G19" s="257">
        <f>BS_Sorted!G19/IS_Sorted!G$5</f>
        <v>0.26386404293381038</v>
      </c>
      <c r="H19" s="257">
        <f>BS_Sorted!H19/IS_Sorted!H$5</f>
        <v>0.24950137006729173</v>
      </c>
      <c r="I19" s="257">
        <f>BS_Sorted!I19/IS_Sorted!I$5</f>
        <v>0.2698937198067633</v>
      </c>
      <c r="J19" s="257">
        <f>BS_Sorted!J19/IS_Sorted!J$5</f>
        <v>0.3316789157201489</v>
      </c>
      <c r="K19" s="257">
        <f>BS_Sorted!K19/IS_Sorted!K$5</f>
        <v>0.18307745300659384</v>
      </c>
      <c r="L19" s="257">
        <f>BS_Sorted!L19/IS_Sorted!L$5</f>
        <v>0.16220472440944883</v>
      </c>
      <c r="M19" s="498">
        <f>BS_Sorted!M19/IS_Sorted!M$5</f>
        <v>0.27556269973798109</v>
      </c>
      <c r="N19" s="498">
        <f>BS_Sorted!N19/IS_Sorted!N$5</f>
        <v>0.28931628685049493</v>
      </c>
      <c r="O19" s="498">
        <f>BS_Sorted!O19/IS_Sorted!O$5</f>
        <v>0.30043869649581301</v>
      </c>
      <c r="P19" s="498">
        <f>BS_Sorted!P19/IS_Sorted!P$5</f>
        <v>0.3002525045014886</v>
      </c>
      <c r="Q19" s="498">
        <f>BS_Sorted!Q19/IS_Sorted!Q$5</f>
        <v>0.29527325984218217</v>
      </c>
      <c r="R19" s="498">
        <f>BS_Sorted!R19/IS_Sorted!R$5</f>
        <v>0.30053554228206475</v>
      </c>
      <c r="S19" s="498">
        <f>BS_Sorted!S19/IS_Sorted!S$5</f>
        <v>0.30629140271040545</v>
      </c>
      <c r="T19" s="498">
        <f>BS_Sorted!T19/IS_Sorted!T$5</f>
        <v>0.30159615093331366</v>
      </c>
      <c r="U19" s="2"/>
    </row>
    <row r="20" spans="1:60" x14ac:dyDescent="0.25">
      <c r="A20" s="205" t="s">
        <v>293</v>
      </c>
      <c r="B20" s="165"/>
      <c r="C20" s="165"/>
      <c r="D20" s="165"/>
      <c r="E20" s="165"/>
      <c r="F20" s="262">
        <f>BS_Sorted!F20/IS_Sorted!F$5</f>
        <v>0.53242844161744662</v>
      </c>
      <c r="G20" s="262">
        <f>BS_Sorted!G20/IS_Sorted!G$5</f>
        <v>0.57163247440337994</v>
      </c>
      <c r="H20" s="262">
        <f>BS_Sorted!H20/IS_Sorted!H$5</f>
        <v>0.55878241094562608</v>
      </c>
      <c r="I20" s="262">
        <f>BS_Sorted!I20/IS_Sorted!I$5</f>
        <v>0.59431884057971018</v>
      </c>
      <c r="J20" s="262">
        <f>BS_Sorted!J20/IS_Sorted!J$5</f>
        <v>0.68509592440584133</v>
      </c>
      <c r="K20" s="262">
        <f>BS_Sorted!K20/IS_Sorted!K$5</f>
        <v>0.36850457632122824</v>
      </c>
      <c r="L20" s="262">
        <f>BS_Sorted!L20/IS_Sorted!L$5</f>
        <v>0.31344562942290444</v>
      </c>
      <c r="M20" s="502">
        <f>BS_Sorted!M20/IS_Sorted!M$5</f>
        <v>0.57476726660164912</v>
      </c>
      <c r="N20" s="502">
        <f>BS_Sorted!N20/IS_Sorted!N$5</f>
        <v>0.64805682699767253</v>
      </c>
      <c r="O20" s="502">
        <f>BS_Sorted!O20/IS_Sorted!O$5</f>
        <v>0.71902762158213318</v>
      </c>
      <c r="P20" s="502">
        <f>BS_Sorted!P20/IS_Sorted!P$5</f>
        <v>0.76386311434946241</v>
      </c>
      <c r="Q20" s="502">
        <f>BS_Sorted!Q20/IS_Sorted!Q$5</f>
        <v>0.79453670359769524</v>
      </c>
      <c r="R20" s="502">
        <f>BS_Sorted!R20/IS_Sorted!R$5</f>
        <v>0.85118177122822514</v>
      </c>
      <c r="S20" s="502">
        <f>BS_Sorted!S20/IS_Sorted!S$5</f>
        <v>0.90875586361183514</v>
      </c>
      <c r="T20" s="502">
        <f>BS_Sorted!T20/IS_Sorted!T$5</f>
        <v>0.93317690782888185</v>
      </c>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row>
    <row r="21" spans="1:60" x14ac:dyDescent="0.25">
      <c r="A21" s="205" t="s">
        <v>248</v>
      </c>
      <c r="B21" s="166"/>
      <c r="C21" s="166"/>
      <c r="D21" s="166"/>
      <c r="E21" s="166"/>
      <c r="F21" s="262">
        <f>BS_Sorted!F21/IS_Sorted!F$5</f>
        <v>0.2803081932454945</v>
      </c>
      <c r="G21" s="262">
        <f>BS_Sorted!G21/IS_Sorted!G$5</f>
        <v>0.3077684314695695</v>
      </c>
      <c r="H21" s="262">
        <f>BS_Sorted!H21/IS_Sorted!H$5</f>
        <v>0.30926240050701809</v>
      </c>
      <c r="I21" s="262">
        <f>BS_Sorted!I21/IS_Sorted!I$5</f>
        <v>0.32442512077294688</v>
      </c>
      <c r="J21" s="262">
        <f>BS_Sorted!J21/IS_Sorted!J$5</f>
        <v>0.35344087047819034</v>
      </c>
      <c r="K21" s="262">
        <f>BS_Sorted!K21/IS_Sorted!K$5</f>
        <v>0.18543942525341994</v>
      </c>
      <c r="L21" s="262">
        <f>BS_Sorted!L21/IS_Sorted!L$5</f>
        <v>0.15124090501345561</v>
      </c>
      <c r="M21" s="502">
        <f>BS_Sorted!M21/IS_Sorted!M$5</f>
        <v>0.29920456686366798</v>
      </c>
      <c r="N21" s="502">
        <f>BS_Sorted!N21/IS_Sorted!N$5</f>
        <v>0.35874054014717766</v>
      </c>
      <c r="O21" s="502">
        <f>BS_Sorted!O21/IS_Sorted!O$5</f>
        <v>0.41858892508632017</v>
      </c>
      <c r="P21" s="502">
        <f>BS_Sorted!P21/IS_Sorted!P$5</f>
        <v>0.46361060984797381</v>
      </c>
      <c r="Q21" s="502">
        <f>BS_Sorted!Q21/IS_Sorted!Q$5</f>
        <v>0.49926344375551307</v>
      </c>
      <c r="R21" s="502">
        <f>BS_Sorted!R21/IS_Sorted!R$5</f>
        <v>0.55064622894616044</v>
      </c>
      <c r="S21" s="502">
        <f>BS_Sorted!S21/IS_Sorted!S$5</f>
        <v>0.6024644609014298</v>
      </c>
      <c r="T21" s="502">
        <f>BS_Sorted!T21/IS_Sorted!T$5</f>
        <v>0.63158075689556814</v>
      </c>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row>
    <row r="22" spans="1:60" x14ac:dyDescent="0.25">
      <c r="A22" s="168" t="s">
        <v>250</v>
      </c>
      <c r="B22" s="31"/>
      <c r="C22" s="31"/>
      <c r="D22" s="31"/>
      <c r="E22" s="31"/>
      <c r="F22" s="257">
        <f>BS_Sorted!F22/IS_Sorted!F$5</f>
        <v>0.9966681811297895</v>
      </c>
      <c r="G22" s="257">
        <f>BS_Sorted!G22/IS_Sorted!G$5</f>
        <v>0.92758725687968635</v>
      </c>
      <c r="H22" s="257">
        <f>BS_Sorted!H22/IS_Sorted!H$5</f>
        <v>0.65634611441459911</v>
      </c>
      <c r="I22" s="257">
        <f>BS_Sorted!I22/IS_Sorted!I$5</f>
        <v>0.6834782608695652</v>
      </c>
      <c r="J22" s="257">
        <f>BS_Sorted!J22/IS_Sorted!J$5</f>
        <v>0.67936909420635683</v>
      </c>
      <c r="K22" s="257">
        <f>BS_Sorted!K22/IS_Sorted!K$5</f>
        <v>0.30934455270150574</v>
      </c>
      <c r="L22" s="257">
        <f>BS_Sorted!L22/IS_Sorted!L$5</f>
        <v>0.43227349745838733</v>
      </c>
      <c r="M22" s="498">
        <f>BS_Sorted!M22/IS_Sorted!M$5</f>
        <v>0.69415728344711414</v>
      </c>
      <c r="N22" s="498">
        <f>BS_Sorted!N22/IS_Sorted!N$5</f>
        <v>0.68204034134988367</v>
      </c>
      <c r="O22" s="498">
        <f>BS_Sorted!O22/IS_Sorted!O$5</f>
        <v>0.65510331872260485</v>
      </c>
      <c r="P22" s="498">
        <f>BS_Sorted!P22/IS_Sorted!P$5</f>
        <v>0.59509677419354834</v>
      </c>
      <c r="Q22" s="498">
        <f>BS_Sorted!Q22/IS_Sorted!Q$5</f>
        <v>0.52427331887201734</v>
      </c>
      <c r="R22" s="498">
        <f>BS_Sorted!R22/IS_Sorted!R$5</f>
        <v>0.48274237660877267</v>
      </c>
      <c r="S22" s="498">
        <f>BS_Sorted!S22/IS_Sorted!S$5</f>
        <v>0.44293768288779167</v>
      </c>
      <c r="T22" s="498">
        <f>BS_Sorted!T22/IS_Sorted!T$5</f>
        <v>0.39085523315681908</v>
      </c>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row>
    <row r="23" spans="1:60" x14ac:dyDescent="0.25">
      <c r="A23" s="168" t="s">
        <v>251</v>
      </c>
      <c r="B23" s="31"/>
      <c r="C23" s="31"/>
      <c r="D23" s="31"/>
      <c r="E23" s="31"/>
      <c r="F23" s="257">
        <f>BS_Sorted!F23/IS_Sorted!F$5</f>
        <v>1.0307625321823413</v>
      </c>
      <c r="G23" s="257">
        <f>BS_Sorted!G23/IS_Sorted!G$5</f>
        <v>1.0648193963384462</v>
      </c>
      <c r="H23" s="257">
        <f>BS_Sorted!H23/IS_Sorted!H$5</f>
        <v>0.99560087236937755</v>
      </c>
      <c r="I23" s="257">
        <f>BS_Sorted!I23/IS_Sorted!I$5</f>
        <v>1.1333913043478261</v>
      </c>
      <c r="J23" s="257">
        <f>BS_Sorted!J23/IS_Sorted!J$5</f>
        <v>1.1829960866660303</v>
      </c>
      <c r="K23" s="257">
        <f>BS_Sorted!K23/IS_Sorted!K$5</f>
        <v>0.60535380375947245</v>
      </c>
      <c r="L23" s="257">
        <f>BS_Sorted!L23/IS_Sorted!L$5</f>
        <v>0.51206020133559249</v>
      </c>
      <c r="M23" s="498">
        <f>BS_Sorted!M23/IS_Sorted!M$5</f>
        <v>0.91098501640216334</v>
      </c>
      <c r="N23" s="498">
        <f>BS_Sorted!N23/IS_Sorted!N$5</f>
        <v>0.99641194724592708</v>
      </c>
      <c r="O23" s="498">
        <f>BS_Sorted!O23/IS_Sorted!O$5</f>
        <v>1.0723231058234188</v>
      </c>
      <c r="P23" s="498">
        <f>BS_Sorted!P23/IS_Sorted!P$5</f>
        <v>1.1048387096774193</v>
      </c>
      <c r="Q23" s="498">
        <f>BS_Sorted!Q23/IS_Sorted!Q$5</f>
        <v>1.1144251626898047</v>
      </c>
      <c r="R23" s="498">
        <f>BS_Sorted!R23/IS_Sorted!R$5</f>
        <v>1.1576160432627309</v>
      </c>
      <c r="S23" s="498">
        <f>BS_Sorted!S23/IS_Sorted!S$5</f>
        <v>1.1982507288629738</v>
      </c>
      <c r="T23" s="498">
        <f>BS_Sorted!T23/IS_Sorted!T$5</f>
        <v>1.1928256326909681</v>
      </c>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row>
    <row r="24" spans="1:60" x14ac:dyDescent="0.25">
      <c r="A24" s="168" t="s">
        <v>739</v>
      </c>
      <c r="B24" s="31"/>
      <c r="C24" s="31"/>
      <c r="D24" s="31"/>
      <c r="E24" s="31"/>
      <c r="F24" s="257">
        <f>BS_Sorted!F24/IS_Sorted!F$5</f>
        <v>3.4302589731940024E-2</v>
      </c>
      <c r="G24" s="257">
        <f>BS_Sorted!G24/IS_Sorted!G$5</f>
        <v>3.5302401705172612E-2</v>
      </c>
      <c r="H24" s="257">
        <f>BS_Sorted!H24/IS_Sorted!H$5</f>
        <v>3.5864074412362293E-2</v>
      </c>
      <c r="I24" s="257">
        <f>BS_Sorted!I24/IS_Sorted!I$5</f>
        <v>4.0560386473429952E-2</v>
      </c>
      <c r="J24" s="257">
        <f>BS_Sorted!J24/IS_Sorted!J$5</f>
        <v>5.686265152238236E-2</v>
      </c>
      <c r="K24" s="257">
        <f>BS_Sorted!K24/IS_Sorted!K$5</f>
        <v>4.1100777482531249E-2</v>
      </c>
      <c r="L24" s="257">
        <f>BS_Sorted!L24/IS_Sorted!L$5</f>
        <v>6.6709857470347855E-2</v>
      </c>
      <c r="M24" s="498">
        <f>BS_Sorted!M24/IS_Sorted!M$5</f>
        <v>3.8176659970477901E-2</v>
      </c>
      <c r="N24" s="498">
        <f>BS_Sorted!N24/IS_Sorted!N$5</f>
        <v>6.4989994458108352E-2</v>
      </c>
      <c r="O24" s="498">
        <f>BS_Sorted!O24/IS_Sorted!O$5</f>
        <v>6.4956447980824381E-2</v>
      </c>
      <c r="P24" s="498">
        <f>BS_Sorted!P24/IS_Sorted!P$5</f>
        <v>6.4541246407908079E-2</v>
      </c>
      <c r="Q24" s="498">
        <f>BS_Sorted!Q24/IS_Sorted!Q$5</f>
        <v>6.507022112009038E-2</v>
      </c>
      <c r="R24" s="498">
        <f>BS_Sorted!R24/IS_Sorted!R$5</f>
        <v>6.7499025584740246E-2</v>
      </c>
      <c r="S24" s="498">
        <f>BS_Sorted!S24/IS_Sorted!S$5</f>
        <v>6.8498605376989416E-2</v>
      </c>
      <c r="T24" s="498">
        <f>BS_Sorted!T24/IS_Sorted!T$5</f>
        <v>7.0460475274243761E-2</v>
      </c>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row>
    <row r="25" spans="1:60" s="1" customFormat="1" x14ac:dyDescent="0.25">
      <c r="A25" s="168" t="s">
        <v>253</v>
      </c>
      <c r="B25" s="31"/>
      <c r="C25" s="31"/>
      <c r="D25" s="31"/>
      <c r="E25" s="31"/>
      <c r="F25" s="257">
        <f>BS_Sorted!F25/IS_Sorted!F$5</f>
        <v>6.2907011964258672E-2</v>
      </c>
      <c r="G25" s="257">
        <f>BS_Sorted!G25/IS_Sorted!G$5</f>
        <v>6.1412857305979521E-2</v>
      </c>
      <c r="H25" s="257">
        <f>BS_Sorted!H25/IS_Sorted!H$5</f>
        <v>5.2174399314034337E-2</v>
      </c>
      <c r="I25" s="257">
        <f>BS_Sorted!I25/IS_Sorted!I$5</f>
        <v>8.5990338164251209E-2</v>
      </c>
      <c r="J25" s="257">
        <f>BS_Sorted!J25/IS_Sorted!J$5</f>
        <v>0.1090245299226878</v>
      </c>
      <c r="K25" s="257">
        <f>BS_Sorted!K25/IS_Sorted!K$5</f>
        <v>9.4466587934258439E-2</v>
      </c>
      <c r="L25" s="257">
        <f>BS_Sorted!L25/IS_Sorted!L$5</f>
        <v>0.13119704973587162</v>
      </c>
      <c r="M25" s="498">
        <f>BS_Sorted!M25/IS_Sorted!M$5</f>
        <v>8.5310396334477373E-2</v>
      </c>
      <c r="N25" s="498">
        <f>BS_Sorted!N25/IS_Sorted!N$5</f>
        <v>8.5310396334477387E-2</v>
      </c>
      <c r="O25" s="498">
        <f>BS_Sorted!O25/IS_Sorted!O$5</f>
        <v>8.5310396334477373E-2</v>
      </c>
      <c r="P25" s="498">
        <f>BS_Sorted!P25/IS_Sorted!P$5</f>
        <v>8.5310396334477373E-2</v>
      </c>
      <c r="Q25" s="498">
        <f>BS_Sorted!Q25/IS_Sorted!Q$5</f>
        <v>8.5310396334477373E-2</v>
      </c>
      <c r="R25" s="498">
        <f>BS_Sorted!R25/IS_Sorted!R$5</f>
        <v>8.5310396334477373E-2</v>
      </c>
      <c r="S25" s="498">
        <f>BS_Sorted!S25/IS_Sorted!S$5</f>
        <v>8.5310396334477373E-2</v>
      </c>
      <c r="T25" s="498">
        <f>BS_Sorted!T25/IS_Sorted!T$5</f>
        <v>8.5310396334477373E-2</v>
      </c>
    </row>
    <row r="26" spans="1:60" x14ac:dyDescent="0.25">
      <c r="A26" s="224" t="s">
        <v>295</v>
      </c>
      <c r="B26" s="31"/>
      <c r="C26" s="31"/>
      <c r="D26" s="31"/>
      <c r="E26" s="31"/>
      <c r="F26" s="260" t="s">
        <v>54</v>
      </c>
      <c r="G26" s="260" t="s">
        <v>54</v>
      </c>
      <c r="H26" s="260" t="s">
        <v>54</v>
      </c>
      <c r="I26" s="257">
        <f>BS_Sorted!I26/IS_Sorted!I$5</f>
        <v>2.4908212560386472E-2</v>
      </c>
      <c r="J26" s="257">
        <f>BS_Sorted!J26/IS_Sorted!J$5</f>
        <v>3.3072444402023483E-2</v>
      </c>
      <c r="K26" s="257">
        <f>BS_Sorted!K26/IS_Sorted!K$5</f>
        <v>3.4925204212183841E-2</v>
      </c>
      <c r="L26" s="257">
        <f>BS_Sorted!L26/IS_Sorted!L$5</f>
        <v>2.9921259842519685E-2</v>
      </c>
      <c r="M26" s="498">
        <f>BS_Sorted!M26/IS_Sorted!M$5</f>
        <v>5.0718666667278721E-2</v>
      </c>
      <c r="N26" s="498">
        <f>BS_Sorted!N26/IS_Sorted!N$5</f>
        <v>5.3157138455448123E-2</v>
      </c>
      <c r="O26" s="498">
        <f>BS_Sorted!O26/IS_Sorted!O$5</f>
        <v>5.5127787348368026E-2</v>
      </c>
      <c r="P26" s="498">
        <f>BS_Sorted!P26/IS_Sorted!P$5</f>
        <v>5.5040809246614468E-2</v>
      </c>
      <c r="Q26" s="498">
        <f>BS_Sorted!Q26/IS_Sorted!Q$5</f>
        <v>5.4092325782491006E-2</v>
      </c>
      <c r="R26" s="498">
        <f>BS_Sorted!R26/IS_Sorted!R$5</f>
        <v>5.5033054035139632E-2</v>
      </c>
      <c r="S26" s="503" t="s">
        <v>54</v>
      </c>
      <c r="T26" s="503" t="s">
        <v>54</v>
      </c>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row>
    <row r="27" spans="1:60" x14ac:dyDescent="0.25">
      <c r="A27" s="206" t="s">
        <v>296</v>
      </c>
      <c r="B27" s="215" t="s">
        <v>216</v>
      </c>
      <c r="C27" s="215" t="s">
        <v>216</v>
      </c>
      <c r="D27" s="215" t="s">
        <v>216</v>
      </c>
      <c r="E27" s="215" t="s">
        <v>216</v>
      </c>
      <c r="F27" s="295">
        <f>BS_Sorted!F27/IS_Sorted!F$5</f>
        <v>3.248807360290777</v>
      </c>
      <c r="G27" s="295">
        <f>BS_Sorted!G27/IS_Sorted!G$5</f>
        <v>3.2694591405625548</v>
      </c>
      <c r="H27" s="295">
        <f>BS_Sorted!H27/IS_Sorted!H$5</f>
        <v>2.9717039163420136</v>
      </c>
      <c r="I27" s="295">
        <f>BS_Sorted!I27/IS_Sorted!I$5</f>
        <v>3.2364830917874396</v>
      </c>
      <c r="J27" s="295">
        <f>BS_Sorted!J27/IS_Sorted!J$5</f>
        <v>3.6801565333587858</v>
      </c>
      <c r="K27" s="295">
        <f>BS_Sorted!K27/IS_Sorted!K$5</f>
        <v>2.2324943411081586</v>
      </c>
      <c r="L27" s="295">
        <f>BS_Sorted!L27/IS_Sorted!L$5</f>
        <v>1.9655437057709559</v>
      </c>
      <c r="M27" s="343">
        <f>BS_Sorted!M27/IS_Sorted!M$5</f>
        <v>3.7209580073640791</v>
      </c>
      <c r="N27" s="343">
        <f>BS_Sorted!N27/IS_Sorted!N$5</f>
        <v>4.0358827240849626</v>
      </c>
      <c r="O27" s="343">
        <f>BS_Sorted!O27/IS_Sorted!O$5</f>
        <v>4.2860575499325444</v>
      </c>
      <c r="P27" s="343">
        <f>BS_Sorted!P27/IS_Sorted!P$5</f>
        <v>4.4141441815309337</v>
      </c>
      <c r="Q27" s="343">
        <f>BS_Sorted!Q27/IS_Sorted!Q$5</f>
        <v>4.4784422121046621</v>
      </c>
      <c r="R27" s="343">
        <f>BS_Sorted!R27/IS_Sorted!R$5</f>
        <v>4.6397442391309216</v>
      </c>
      <c r="S27" s="343">
        <f>BS_Sorted!S27/IS_Sorted!S$5</f>
        <v>4.7585249343689986</v>
      </c>
      <c r="T27" s="343">
        <f>BS_Sorted!T27/IS_Sorted!T$5</f>
        <v>4.7260726401604938</v>
      </c>
      <c r="U27" s="2"/>
      <c r="V27" s="43"/>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row>
    <row r="28" spans="1:60" x14ac:dyDescent="0.25">
      <c r="A28" s="174" t="s">
        <v>297</v>
      </c>
      <c r="B28" s="169"/>
      <c r="C28" s="169"/>
      <c r="D28" s="169"/>
      <c r="E28" s="169"/>
      <c r="F28" s="399"/>
      <c r="G28" s="399"/>
      <c r="H28" s="399"/>
      <c r="I28" s="399"/>
      <c r="J28" s="399"/>
      <c r="K28" s="399"/>
      <c r="L28" s="399"/>
      <c r="M28" s="504"/>
      <c r="N28" s="504"/>
      <c r="O28" s="504"/>
      <c r="P28" s="504"/>
      <c r="Q28" s="504"/>
      <c r="R28" s="504"/>
      <c r="S28" s="504"/>
      <c r="T28" s="504"/>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row>
    <row r="29" spans="1:60" s="1" customFormat="1" x14ac:dyDescent="0.25">
      <c r="A29" s="168" t="s">
        <v>255</v>
      </c>
      <c r="B29" s="170"/>
      <c r="C29" s="170"/>
      <c r="D29" s="170"/>
      <c r="E29" s="170"/>
      <c r="F29" s="257">
        <f>BS_Sorted!F29/IS_Sorted!F$5</f>
        <v>0.20233227320914735</v>
      </c>
      <c r="G29" s="257">
        <f>BS_Sorted!G29/IS_Sorted!G$5</f>
        <v>0.18941498877174284</v>
      </c>
      <c r="H29" s="257">
        <f>BS_Sorted!H29/IS_Sorted!H$5</f>
        <v>0.16461311909333234</v>
      </c>
      <c r="I29" s="257">
        <f>BS_Sorted!I29/IS_Sorted!I$5</f>
        <v>0.31294685990338167</v>
      </c>
      <c r="J29" s="257">
        <f>BS_Sorted!J29/IS_Sorted!J$5</f>
        <v>6.4498425121695138E-2</v>
      </c>
      <c r="K29" s="257">
        <f>BS_Sorted!K29/IS_Sorted!K$5</f>
        <v>2.7568644818423384E-2</v>
      </c>
      <c r="L29" s="257">
        <f>BS_Sorted!L29/IS_Sorted!L$5</f>
        <v>2.9353134655636399E-2</v>
      </c>
      <c r="M29" s="498">
        <f>BS_Sorted!M29/IS_Sorted!M$5</f>
        <v>0.14153249222476558</v>
      </c>
      <c r="N29" s="498">
        <f>BS_Sorted!N29/IS_Sorted!N$5</f>
        <v>0.14153249222476558</v>
      </c>
      <c r="O29" s="498">
        <f>BS_Sorted!O29/IS_Sorted!O$5</f>
        <v>0.14153249222476558</v>
      </c>
      <c r="P29" s="498">
        <f>BS_Sorted!P29/IS_Sorted!P$5</f>
        <v>0.14153249222476558</v>
      </c>
      <c r="Q29" s="498">
        <f>BS_Sorted!Q29/IS_Sorted!Q$5</f>
        <v>0.14153249222476558</v>
      </c>
      <c r="R29" s="498">
        <f>BS_Sorted!R29/IS_Sorted!R$5</f>
        <v>0.14153249222476558</v>
      </c>
      <c r="S29" s="498">
        <f>BS_Sorted!S29/IS_Sorted!S$5</f>
        <v>0.14153249222476558</v>
      </c>
      <c r="T29" s="498">
        <f>BS_Sorted!T29/IS_Sorted!T$5</f>
        <v>0.14153249222476558</v>
      </c>
    </row>
    <row r="30" spans="1:60" s="1" customFormat="1" x14ac:dyDescent="0.25">
      <c r="A30" s="168" t="s">
        <v>256</v>
      </c>
      <c r="B30" s="167"/>
      <c r="C30" s="167"/>
      <c r="D30" s="167"/>
      <c r="E30" s="167"/>
      <c r="F30" s="257">
        <f>BS_Sorted!F30/IS_Sorted!F$5</f>
        <v>8.5870059064061796E-2</v>
      </c>
      <c r="G30" s="257">
        <f>BS_Sorted!G30/IS_Sorted!G$5</f>
        <v>8.860807673276748E-2</v>
      </c>
      <c r="H30" s="257">
        <f>BS_Sorted!H30/IS_Sorted!H$5</f>
        <v>8.7125095531902993E-2</v>
      </c>
      <c r="I30" s="257">
        <f>BS_Sorted!I30/IS_Sorted!I$5</f>
        <v>8.1545893719806764E-2</v>
      </c>
      <c r="J30" s="257">
        <f>BS_Sorted!J30/IS_Sorted!J$5</f>
        <v>0.10282046387324616</v>
      </c>
      <c r="K30" s="257">
        <f>BS_Sorted!K30/IS_Sorted!K$5</f>
        <v>6.8620214545812422E-2</v>
      </c>
      <c r="L30" s="257">
        <f>BS_Sorted!L30/IS_Sorted!L$5</f>
        <v>6.7866042061198048E-2</v>
      </c>
      <c r="M30" s="498">
        <f>BS_Sorted!M30/IS_Sorted!M$5</f>
        <v>8.3207977932685098E-2</v>
      </c>
      <c r="N30" s="498">
        <f>BS_Sorted!N30/IS_Sorted!N$5</f>
        <v>8.3207977932685098E-2</v>
      </c>
      <c r="O30" s="498">
        <f>BS_Sorted!O30/IS_Sorted!O$5</f>
        <v>8.3207977932685098E-2</v>
      </c>
      <c r="P30" s="498">
        <f>BS_Sorted!P30/IS_Sorted!P$5</f>
        <v>8.3207977932685098E-2</v>
      </c>
      <c r="Q30" s="498">
        <f>BS_Sorted!Q30/IS_Sorted!Q$5</f>
        <v>8.3207977932685098E-2</v>
      </c>
      <c r="R30" s="498">
        <f>BS_Sorted!R30/IS_Sorted!R$5</f>
        <v>8.3207977932685098E-2</v>
      </c>
      <c r="S30" s="498">
        <f>BS_Sorted!S30/IS_Sorted!S$5</f>
        <v>8.3207977932685098E-2</v>
      </c>
      <c r="T30" s="498">
        <f>BS_Sorted!T30/IS_Sorted!T$5</f>
        <v>8.3207977932685098E-2</v>
      </c>
    </row>
    <row r="31" spans="1:60" x14ac:dyDescent="0.25">
      <c r="A31" s="168" t="s">
        <v>257</v>
      </c>
      <c r="B31" s="167"/>
      <c r="C31" s="167"/>
      <c r="D31" s="167"/>
      <c r="E31" s="167"/>
      <c r="F31" s="257">
        <f>BS_Sorted!F31/IS_Sorted!F$5</f>
        <v>3.6801453884597907E-2</v>
      </c>
      <c r="G31" s="257">
        <f>BS_Sorted!G31/IS_Sorted!G$5</f>
        <v>3.8613786016062114E-2</v>
      </c>
      <c r="H31" s="257">
        <f>BS_Sorted!H31/IS_Sorted!H$5</f>
        <v>3.8156840084254476E-2</v>
      </c>
      <c r="I31" s="257">
        <f>BS_Sorted!I31/IS_Sorted!I$5</f>
        <v>4.0657004830917873E-2</v>
      </c>
      <c r="J31" s="257">
        <f>BS_Sorted!J31/IS_Sorted!J$5</f>
        <v>5.1589195380356972E-2</v>
      </c>
      <c r="K31" s="257">
        <f>BS_Sorted!K31/IS_Sorted!K$5</f>
        <v>2.7667060328707804E-2</v>
      </c>
      <c r="L31" s="257">
        <f>BS_Sorted!L31/IS_Sorted!L$5</f>
        <v>2.2954250971793082E-2</v>
      </c>
      <c r="M31" s="498">
        <f>BS_Sorted!M31/IS_Sorted!M$5</f>
        <v>4.2564044610432464E-2</v>
      </c>
      <c r="N31" s="498">
        <f>BS_Sorted!N31/IS_Sorted!N$5</f>
        <v>4.7558122037943074E-2</v>
      </c>
      <c r="O31" s="498">
        <f>BS_Sorted!O31/IS_Sorted!O$5</f>
        <v>5.2143587137149103E-2</v>
      </c>
      <c r="P31" s="498">
        <f>BS_Sorted!P31/IS_Sorted!P$5</f>
        <v>5.4718412910143281E-2</v>
      </c>
      <c r="Q31" s="498">
        <f>BS_Sorted!Q31/IS_Sorted!Q$5</f>
        <v>5.6213950035331334E-2</v>
      </c>
      <c r="R31" s="498">
        <f>BS_Sorted!R31/IS_Sorted!R$5</f>
        <v>5.9472408360228164E-2</v>
      </c>
      <c r="S31" s="498">
        <f>BS_Sorted!S31/IS_Sorted!S$5</f>
        <v>6.2698289810999702E-2</v>
      </c>
      <c r="T31" s="498">
        <f>BS_Sorted!T31/IS_Sorted!T$5</f>
        <v>6.3568383502398476E-2</v>
      </c>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row>
    <row r="32" spans="1:60" s="1" customFormat="1" x14ac:dyDescent="0.25">
      <c r="A32" s="168" t="s">
        <v>258</v>
      </c>
      <c r="B32" s="171"/>
      <c r="C32" s="171"/>
      <c r="D32" s="171"/>
      <c r="E32" s="171"/>
      <c r="F32" s="257">
        <f>BS_Sorted!F32/IS_Sorted!F$5</f>
        <v>8.2727548084204142E-3</v>
      </c>
      <c r="G32" s="257">
        <f>BS_Sorted!G32/IS_Sorted!G$5</f>
        <v>9.0777604384729566E-3</v>
      </c>
      <c r="H32" s="257">
        <f>BS_Sorted!H32/IS_Sorted!H$5</f>
        <v>2.3580069714988723E-2</v>
      </c>
      <c r="I32" s="257">
        <f>BS_Sorted!I32/IS_Sorted!I$5</f>
        <v>1.893719806763285E-2</v>
      </c>
      <c r="J32" s="257">
        <f>BS_Sorted!J32/IS_Sorted!J$5</f>
        <v>2.5031020330247209E-2</v>
      </c>
      <c r="K32" s="257">
        <f>BS_Sorted!K32/IS_Sorted!K$5</f>
        <v>1.5574254502509596E-2</v>
      </c>
      <c r="L32" s="257">
        <f>BS_Sorted!L32/IS_Sorted!L$5</f>
        <v>1.5817801255855676E-2</v>
      </c>
      <c r="M32" s="498">
        <f>BS_Sorted!M32/IS_Sorted!M$5</f>
        <v>1.1271341196334857E-2</v>
      </c>
      <c r="N32" s="498">
        <f>BS_Sorted!N32/IS_Sorted!N$5</f>
        <v>1.9187755095697569E-2</v>
      </c>
      <c r="O32" s="498">
        <f>BS_Sorted!O32/IS_Sorted!O$5</f>
        <v>1.9177850777412648E-2</v>
      </c>
      <c r="P32" s="498">
        <f>BS_Sorted!P32/IS_Sorted!P$5</f>
        <v>1.905526596781397E-2</v>
      </c>
      <c r="Q32" s="498">
        <f>BS_Sorted!Q32/IS_Sorted!Q$5</f>
        <v>1.9211441350098602E-2</v>
      </c>
      <c r="R32" s="498">
        <f>BS_Sorted!R32/IS_Sorted!R$5</f>
        <v>1.9928525658715963E-2</v>
      </c>
      <c r="S32" s="498">
        <f>BS_Sorted!S32/IS_Sorted!S$5</f>
        <v>2.0223643275084555E-2</v>
      </c>
      <c r="T32" s="498">
        <f>BS_Sorted!T32/IS_Sorted!T$5</f>
        <v>2.0802869037942602E-2</v>
      </c>
      <c r="U32" s="2"/>
    </row>
    <row r="33" spans="1:60" x14ac:dyDescent="0.25">
      <c r="A33" s="168" t="s">
        <v>259</v>
      </c>
      <c r="B33" s="171"/>
      <c r="C33" s="171"/>
      <c r="D33" s="171"/>
      <c r="E33" s="171"/>
      <c r="F33" s="257">
        <f>BS_Sorted!F33/IS_Sorted!F$5</f>
        <v>4.7080872330758743E-2</v>
      </c>
      <c r="G33" s="257">
        <f>BS_Sorted!G33/IS_Sorted!G$5</f>
        <v>4.1791953716743428E-2</v>
      </c>
      <c r="H33" s="257">
        <f>BS_Sorted!H33/IS_Sorted!H$5</f>
        <v>4.4680970044923295E-2</v>
      </c>
      <c r="I33" s="257">
        <f>BS_Sorted!I33/IS_Sorted!I$5</f>
        <v>5.2560386473429949E-2</v>
      </c>
      <c r="J33" s="257">
        <f>BS_Sorted!J33/IS_Sorted!J$5</f>
        <v>7.296936145843276E-2</v>
      </c>
      <c r="K33" s="257">
        <f>BS_Sorted!K33/IS_Sorted!K$5</f>
        <v>4.099006003346127E-2</v>
      </c>
      <c r="L33" s="257">
        <f>BS_Sorted!L33/IS_Sorted!L$5</f>
        <v>3.3957938801953552E-2</v>
      </c>
      <c r="M33" s="498">
        <f>BS_Sorted!M33/IS_Sorted!M$5</f>
        <v>4.7718791837100434E-2</v>
      </c>
      <c r="N33" s="498">
        <f>BS_Sorted!N33/IS_Sorted!N$5</f>
        <v>4.7718791837100434E-2</v>
      </c>
      <c r="O33" s="498">
        <f>BS_Sorted!O33/IS_Sorted!O$5</f>
        <v>4.7718791837100434E-2</v>
      </c>
      <c r="P33" s="498">
        <f>BS_Sorted!P33/IS_Sorted!P$5</f>
        <v>4.7718791837100434E-2</v>
      </c>
      <c r="Q33" s="505">
        <f>BS_Sorted!Q33/IS_Sorted!Q$5</f>
        <v>4.7718791837100434E-2</v>
      </c>
      <c r="R33" s="505">
        <f>BS_Sorted!R33/IS_Sorted!R$5</f>
        <v>4.7718791837100434E-2</v>
      </c>
      <c r="S33" s="505">
        <f>BS_Sorted!S33/IS_Sorted!S$5</f>
        <v>4.7718791837100434E-2</v>
      </c>
      <c r="T33" s="505">
        <f>BS_Sorted!T33/IS_Sorted!T$5</f>
        <v>4.7718791837100427E-2</v>
      </c>
      <c r="U33" s="43"/>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row>
    <row r="34" spans="1:60" x14ac:dyDescent="0.25">
      <c r="A34" s="168" t="s">
        <v>260</v>
      </c>
      <c r="B34" s="171"/>
      <c r="C34" s="171"/>
      <c r="D34" s="171"/>
      <c r="E34" s="171"/>
      <c r="F34" s="260" t="s">
        <v>54</v>
      </c>
      <c r="G34" s="260" t="s">
        <v>54</v>
      </c>
      <c r="H34" s="260" t="s">
        <v>54</v>
      </c>
      <c r="I34" s="260" t="s">
        <v>54</v>
      </c>
      <c r="J34" s="260" t="s">
        <v>54</v>
      </c>
      <c r="K34" s="257">
        <f>BS_Sorted!K34/IS_Sorted!K$5</f>
        <v>3.7730046255289834E-2</v>
      </c>
      <c r="L34" s="257">
        <f>BS_Sorted!L34/IS_Sorted!L$5</f>
        <v>2.5117113525366292E-2</v>
      </c>
      <c r="M34" s="498">
        <f>BS_Sorted!M34/IS_Sorted!M$5</f>
        <v>3.1423579890328061E-2</v>
      </c>
      <c r="N34" s="498">
        <f>BS_Sorted!N34/IS_Sorted!N$5</f>
        <v>3.1423579890328061E-2</v>
      </c>
      <c r="O34" s="498">
        <f>BS_Sorted!O34/IS_Sorted!O$5</f>
        <v>3.1423579890328061E-2</v>
      </c>
      <c r="P34" s="498">
        <f>BS_Sorted!P34/IS_Sorted!P$5</f>
        <v>3.1423579890328061E-2</v>
      </c>
      <c r="Q34" s="499" t="s">
        <v>54</v>
      </c>
      <c r="R34" s="499" t="s">
        <v>54</v>
      </c>
      <c r="S34" s="499" t="s">
        <v>54</v>
      </c>
      <c r="T34" s="499" t="s">
        <v>54</v>
      </c>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row>
    <row r="35" spans="1:60" x14ac:dyDescent="0.25">
      <c r="A35" s="168" t="s">
        <v>261</v>
      </c>
      <c r="B35" s="171"/>
      <c r="C35" s="171"/>
      <c r="D35" s="171"/>
      <c r="E35" s="171"/>
      <c r="F35" s="257">
        <f>BS_Sorted!F35/IS_Sorted!F$5</f>
        <v>0.2086740875359685</v>
      </c>
      <c r="G35" s="257">
        <f>BS_Sorted!G35/IS_Sorted!G$5</f>
        <v>0.21152894606630382</v>
      </c>
      <c r="H35" s="257">
        <f>BS_Sorted!H35/IS_Sorted!H$5</f>
        <v>0.20043991276306225</v>
      </c>
      <c r="I35" s="257">
        <f>BS_Sorted!I35/IS_Sorted!I$5</f>
        <v>0.21416425120772947</v>
      </c>
      <c r="J35" s="257">
        <f>BS_Sorted!J35/IS_Sorted!J$5</f>
        <v>0.3016130571728548</v>
      </c>
      <c r="K35" s="257">
        <f>BS_Sorted!K35/IS_Sorted!K$5</f>
        <v>0.30679805137289634</v>
      </c>
      <c r="L35" s="257">
        <f>BS_Sorted!L35/IS_Sorted!L$5</f>
        <v>0.22493770557161369</v>
      </c>
      <c r="M35" s="498">
        <f>BS_Sorted!M35/IS_Sorted!M$5</f>
        <v>0.23830800167006125</v>
      </c>
      <c r="N35" s="498">
        <f>BS_Sorted!N35/IS_Sorted!N$5</f>
        <v>0.23830800167006125</v>
      </c>
      <c r="O35" s="498">
        <f>BS_Sorted!O35/IS_Sorted!O$5</f>
        <v>0.23830800167006125</v>
      </c>
      <c r="P35" s="498">
        <f>BS_Sorted!P35/IS_Sorted!P$5</f>
        <v>0.23830800167006122</v>
      </c>
      <c r="Q35" s="498">
        <f>BS_Sorted!Q35/IS_Sorted!Q$5</f>
        <v>0.23830800167006122</v>
      </c>
      <c r="R35" s="498">
        <f>BS_Sorted!R35/IS_Sorted!R$5</f>
        <v>0.23830800167006125</v>
      </c>
      <c r="S35" s="498">
        <f>BS_Sorted!S35/IS_Sorted!S$5</f>
        <v>0.23830800167006125</v>
      </c>
      <c r="T35" s="498">
        <f>BS_Sorted!T35/IS_Sorted!T$5</f>
        <v>0.23830800167006125</v>
      </c>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row>
    <row r="36" spans="1:60" x14ac:dyDescent="0.25">
      <c r="A36" s="198" t="s">
        <v>262</v>
      </c>
      <c r="B36" s="172" t="s">
        <v>216</v>
      </c>
      <c r="C36" s="172" t="s">
        <v>216</v>
      </c>
      <c r="D36" s="172" t="s">
        <v>216</v>
      </c>
      <c r="E36" s="172" t="s">
        <v>216</v>
      </c>
      <c r="F36" s="238" t="s">
        <v>54</v>
      </c>
      <c r="G36" s="238" t="s">
        <v>54</v>
      </c>
      <c r="H36" s="261">
        <f>BS_Sorted!H36/IS_Sorted!H$5</f>
        <v>3.5230301787611606E-2</v>
      </c>
      <c r="I36" s="238" t="s">
        <v>54</v>
      </c>
      <c r="J36" s="238" t="s">
        <v>54</v>
      </c>
      <c r="K36" s="238" t="s">
        <v>54</v>
      </c>
      <c r="L36" s="238" t="s">
        <v>54</v>
      </c>
      <c r="M36" s="503" t="s">
        <v>54</v>
      </c>
      <c r="N36" s="503" t="s">
        <v>54</v>
      </c>
      <c r="O36" s="503" t="s">
        <v>54</v>
      </c>
      <c r="P36" s="503" t="s">
        <v>54</v>
      </c>
      <c r="Q36" s="503" t="s">
        <v>54</v>
      </c>
      <c r="R36" s="503" t="s">
        <v>54</v>
      </c>
      <c r="S36" s="503" t="s">
        <v>54</v>
      </c>
      <c r="T36" s="503" t="s">
        <v>54</v>
      </c>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row>
    <row r="37" spans="1:60" x14ac:dyDescent="0.25">
      <c r="A37" s="174" t="s">
        <v>263</v>
      </c>
      <c r="B37" s="217"/>
      <c r="C37" s="217"/>
      <c r="D37" s="217"/>
      <c r="E37" s="217"/>
      <c r="F37" s="317">
        <f>BS_Sorted!F37/IS_Sorted!F$5</f>
        <v>0.58903150083295475</v>
      </c>
      <c r="G37" s="317">
        <f>BS_Sorted!G37/IS_Sorted!G$5</f>
        <v>0.57903551174209267</v>
      </c>
      <c r="H37" s="317">
        <f>BS_Sorted!H37/IS_Sorted!H$5</f>
        <v>0.59382630902007572</v>
      </c>
      <c r="I37" s="317">
        <f>BS_Sorted!I37/IS_Sorted!I$5</f>
        <v>0.72081159420289853</v>
      </c>
      <c r="J37" s="317">
        <f>BS_Sorted!J37/IS_Sorted!J$5</f>
        <v>0.61852152333683308</v>
      </c>
      <c r="K37" s="317">
        <f>BS_Sorted!K37/IS_Sorted!K$5</f>
        <v>0.52494833185710066</v>
      </c>
      <c r="L37" s="317">
        <f>BS_Sorted!L37/IS_Sorted!L$5</f>
        <v>0.42000398684341672</v>
      </c>
      <c r="M37" s="501">
        <f>BS_Sorted!M37/IS_Sorted!M$5</f>
        <v>0.5960262293617079</v>
      </c>
      <c r="N37" s="501">
        <f>BS_Sorted!N37/IS_Sorted!N$5</f>
        <v>0.60893672068858096</v>
      </c>
      <c r="O37" s="501">
        <f>BS_Sorted!O37/IS_Sorted!O$5</f>
        <v>0.61351228146950221</v>
      </c>
      <c r="P37" s="501">
        <f>BS_Sorted!P37/IS_Sorted!P$5</f>
        <v>0.61596452243289768</v>
      </c>
      <c r="Q37" s="501">
        <f>BS_Sorted!Q37/IS_Sorted!Q$5</f>
        <v>0.61761623494037043</v>
      </c>
      <c r="R37" s="501">
        <f>BS_Sorted!R37/IS_Sorted!R$5</f>
        <v>0.62159177757388451</v>
      </c>
      <c r="S37" s="501">
        <f>BS_Sorted!S37/IS_Sorted!S$5</f>
        <v>0.62511277664102471</v>
      </c>
      <c r="T37" s="501">
        <f>BS_Sorted!T37/IS_Sorted!T$5</f>
        <v>0.62656209609528146</v>
      </c>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row>
    <row r="38" spans="1:60" x14ac:dyDescent="0.25">
      <c r="A38" s="168" t="s">
        <v>268</v>
      </c>
      <c r="B38" s="167"/>
      <c r="C38" s="167"/>
      <c r="D38" s="167"/>
      <c r="E38" s="167"/>
      <c r="F38" s="257">
        <f>BS_Sorted!F38/IS_Sorted!F$5</f>
        <v>0.59438891412994088</v>
      </c>
      <c r="G38" s="257">
        <f>BS_Sorted!G38/IS_Sorted!G$5</f>
        <v>0.63825981045179458</v>
      </c>
      <c r="H38" s="257">
        <f>BS_Sorted!H38/IS_Sorted!H$5</f>
        <v>0.61343597964471452</v>
      </c>
      <c r="I38" s="257">
        <f>BS_Sorted!I38/IS_Sorted!I$5</f>
        <v>0.69478260869565223</v>
      </c>
      <c r="J38" s="257">
        <f>BS_Sorted!J38/IS_Sorted!J$5</f>
        <v>0.88605994082275463</v>
      </c>
      <c r="K38" s="257">
        <f>BS_Sorted!K38/IS_Sorted!K$5</f>
        <v>0.44526867434307649</v>
      </c>
      <c r="L38" s="257">
        <f>BS_Sorted!L38/IS_Sorted!L$5</f>
        <v>0.32775839728894646</v>
      </c>
      <c r="M38" s="498">
        <f>BS_Sorted!M38/IS_Sorted!M$5</f>
        <v>1.1173725233773324</v>
      </c>
      <c r="N38" s="498">
        <f>BS_Sorted!N38/IS_Sorted!N$5</f>
        <v>1.227930293704631</v>
      </c>
      <c r="O38" s="498">
        <f>BS_Sorted!O38/IS_Sorted!O$5</f>
        <v>1.3069156473815662</v>
      </c>
      <c r="P38" s="498">
        <f>BS_Sorted!P38/IS_Sorted!P$5</f>
        <v>1.3387893199767653</v>
      </c>
      <c r="Q38" s="498">
        <f>BS_Sorted!Q38/IS_Sorted!Q$5</f>
        <v>1.3481654966093912</v>
      </c>
      <c r="R38" s="498">
        <f>BS_Sorted!R38/IS_Sorted!R$5</f>
        <v>1.4003143376777927</v>
      </c>
      <c r="S38" s="498">
        <f>BS_Sorted!S38/IS_Sorted!S$5</f>
        <v>1.4513010875322363</v>
      </c>
      <c r="T38" s="498">
        <f>BS_Sorted!T38/IS_Sorted!T$5</f>
        <v>1.4549669258128028</v>
      </c>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row>
    <row r="39" spans="1:60" x14ac:dyDescent="0.25">
      <c r="A39" s="168" t="s">
        <v>271</v>
      </c>
      <c r="B39" s="167"/>
      <c r="C39" s="167"/>
      <c r="D39" s="167"/>
      <c r="E39" s="167"/>
      <c r="F39" s="263">
        <f>BS_Sorted!F39/IS_Sorted!F$5</f>
        <v>0.15470240799636528</v>
      </c>
      <c r="G39" s="263">
        <f>BS_Sorted!G39/IS_Sorted!G$5</f>
        <v>0.14139991626384502</v>
      </c>
      <c r="H39" s="263">
        <f>BS_Sorted!H39/IS_Sorted!H$5</f>
        <v>0.12321285440005965</v>
      </c>
      <c r="I39" s="263">
        <f>BS_Sorted!I39/IS_Sorted!I$5</f>
        <v>0.13066666666666665</v>
      </c>
      <c r="J39" s="263">
        <f>BS_Sorted!J39/IS_Sorted!J$5</f>
        <v>0.12911615920587954</v>
      </c>
      <c r="K39" s="263">
        <f>BS_Sorted!K39/IS_Sorted!K$5</f>
        <v>4.5812420037397897E-2</v>
      </c>
      <c r="L39" s="263">
        <f>BS_Sorted!L39/IS_Sorted!L$5</f>
        <v>2.2425994219077046E-2</v>
      </c>
      <c r="M39" s="506">
        <f>BS_Sorted!M39/IS_Sorted!M$5</f>
        <v>2.7928007802110116E-2</v>
      </c>
      <c r="N39" s="506">
        <f>BS_Sorted!N39/IS_Sorted!N$5</f>
        <v>2.1382854926299457E-2</v>
      </c>
      <c r="O39" s="506">
        <f>BS_Sorted!O39/IS_Sorted!O$5</f>
        <v>1.6108328115216029E-2</v>
      </c>
      <c r="P39" s="506">
        <f>BS_Sorted!P39/IS_Sorted!P$5</f>
        <v>1.1617741935483868E-2</v>
      </c>
      <c r="Q39" s="506">
        <f>BS_Sorted!Q39/IS_Sorted!Q$5</f>
        <v>8.2029826464208224E-3</v>
      </c>
      <c r="R39" s="506">
        <f>BS_Sorted!R39/IS_Sorted!R$5</f>
        <v>5.9646293375394304E-3</v>
      </c>
      <c r="S39" s="506">
        <f>BS_Sorted!S39/IS_Sorted!S$5</f>
        <v>4.321799999999998E-3</v>
      </c>
      <c r="T39" s="506">
        <f>BS_Sorted!T39/IS_Sorted!T$5</f>
        <v>3.0115630949616888E-3</v>
      </c>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row>
    <row r="40" spans="1:60" x14ac:dyDescent="0.25">
      <c r="A40" s="168" t="s">
        <v>272</v>
      </c>
      <c r="B40" s="167"/>
      <c r="C40" s="167"/>
      <c r="D40" s="167"/>
      <c r="E40" s="167"/>
      <c r="F40" s="257">
        <f>BS_Sorted!F40/IS_Sorted!F$5</f>
        <v>0.58217855520218087</v>
      </c>
      <c r="G40" s="257">
        <f>BS_Sorted!G40/IS_Sorted!G$5</f>
        <v>7.4220682830282034E-2</v>
      </c>
      <c r="H40" s="257">
        <f>BS_Sorted!H40/IS_Sorted!H$5</f>
        <v>6.8969373869927492E-2</v>
      </c>
      <c r="I40" s="257">
        <f>BS_Sorted!I40/IS_Sorted!I$5</f>
        <v>0.10778743961352658</v>
      </c>
      <c r="J40" s="257">
        <f>BS_Sorted!J40/IS_Sorted!J$5</f>
        <v>9.695046291877446E-2</v>
      </c>
      <c r="K40" s="257">
        <f>BS_Sorted!K40/IS_Sorted!K$5</f>
        <v>4.2933766361578588E-3</v>
      </c>
      <c r="L40" s="257">
        <f>BS_Sorted!L40/IS_Sorted!L$5</f>
        <v>1.0196352038273697E-2</v>
      </c>
      <c r="M40" s="498">
        <f>BS_Sorted!M40/IS_Sorted!M$5</f>
        <v>8.3042942842482589E-3</v>
      </c>
      <c r="N40" s="498">
        <f>BS_Sorted!N40/IS_Sorted!N$5</f>
        <v>-1.6743642652220982E-2</v>
      </c>
      <c r="O40" s="498">
        <f>BS_Sorted!O40/IS_Sorted!O$5</f>
        <v>-2.5813334666295464E-2</v>
      </c>
      <c r="P40" s="498">
        <f>BS_Sorted!P40/IS_Sorted!P$5</f>
        <v>-7.744265967937522E-3</v>
      </c>
      <c r="Q40" s="498">
        <f>BS_Sorted!Q40/IS_Sorted!Q$5</f>
        <v>1.9006303376660583E-2</v>
      </c>
      <c r="R40" s="498">
        <f>BS_Sorted!R40/IS_Sorted!R$5</f>
        <v>2.7818761872758668E-2</v>
      </c>
      <c r="S40" s="498">
        <f>BS_Sorted!S40/IS_Sorted!S$5</f>
        <v>8.1954400897368516E-3</v>
      </c>
      <c r="T40" s="498">
        <f>BS_Sorted!T40/IS_Sorted!T$5</f>
        <v>-2.118981686241421E-2</v>
      </c>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row>
    <row r="41" spans="1:60" x14ac:dyDescent="0.25">
      <c r="A41" s="168" t="s">
        <v>273</v>
      </c>
      <c r="B41" s="167"/>
      <c r="C41" s="167"/>
      <c r="D41" s="167"/>
      <c r="E41" s="167"/>
      <c r="F41" s="257">
        <f>BS_Sorted!F41/IS_Sorted!F$5</f>
        <v>7.5723156141147968E-2</v>
      </c>
      <c r="G41" s="257">
        <f>BS_Sorted!G41/IS_Sorted!G$5</f>
        <v>0.35582156586609825</v>
      </c>
      <c r="H41" s="257">
        <f>BS_Sorted!H41/IS_Sorted!H$5</f>
        <v>0.27470315208678958</v>
      </c>
      <c r="I41" s="257">
        <f>BS_Sorted!I41/IS_Sorted!I$5</f>
        <v>0.23431884057971014</v>
      </c>
      <c r="J41" s="257">
        <f>BS_Sorted!J41/IS_Sorted!J$5</f>
        <v>0.27584232127517422</v>
      </c>
      <c r="K41" s="257">
        <f>BS_Sorted!K41/IS_Sorted!K$5</f>
        <v>0.13939326837909655</v>
      </c>
      <c r="L41" s="257">
        <f>BS_Sorted!L41/IS_Sorted!L$5</f>
        <v>9.7797269012259547E-2</v>
      </c>
      <c r="M41" s="498">
        <f>BS_Sorted!M41/IS_Sorted!M$5</f>
        <v>0.15487871560705363</v>
      </c>
      <c r="N41" s="498">
        <f>BS_Sorted!N41/IS_Sorted!N$5</f>
        <v>0.15079753089574804</v>
      </c>
      <c r="O41" s="498">
        <f>BS_Sorted!O41/IS_Sorted!O$5</f>
        <v>0.14446271356266277</v>
      </c>
      <c r="P41" s="498">
        <f>BS_Sorted!P41/IS_Sorted!P$5</f>
        <v>0.13249631083834135</v>
      </c>
      <c r="Q41" s="498">
        <f>BS_Sorted!Q41/IS_Sorted!Q$5</f>
        <v>0.11896812407113877</v>
      </c>
      <c r="R41" s="498">
        <f>BS_Sorted!R41/IS_Sorted!R$5</f>
        <v>0.11000667570300202</v>
      </c>
      <c r="S41" s="498">
        <f>BS_Sorted!S41/IS_Sorted!S$5</f>
        <v>0.10136242816328259</v>
      </c>
      <c r="T41" s="498">
        <f>BS_Sorted!T41/IS_Sorted!T$5</f>
        <v>8.9821657885999981E-2</v>
      </c>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row>
    <row r="42" spans="1:60" s="9" customFormat="1" x14ac:dyDescent="0.25">
      <c r="A42" s="168" t="s">
        <v>274</v>
      </c>
      <c r="B42" s="167"/>
      <c r="C42" s="167"/>
      <c r="D42" s="167"/>
      <c r="E42" s="167"/>
      <c r="F42" s="257">
        <f>BS_Sorted!F42/IS_Sorted!F$5</f>
        <v>0.11996441011661366</v>
      </c>
      <c r="G42" s="257">
        <f>BS_Sorted!G42/IS_Sorted!G$5</f>
        <v>0.11702127659574468</v>
      </c>
      <c r="H42" s="257">
        <f>BS_Sorted!H42/IS_Sorted!H$5</f>
        <v>0.10904617219975021</v>
      </c>
      <c r="I42" s="257">
        <f>BS_Sorted!I42/IS_Sorted!I$5</f>
        <v>0.12206763285024154</v>
      </c>
      <c r="J42" s="257">
        <f>BS_Sorted!J42/IS_Sorted!J$5</f>
        <v>0.15913429416817793</v>
      </c>
      <c r="K42" s="257">
        <f>BS_Sorted!K42/IS_Sorted!K$5</f>
        <v>0.11985778958763901</v>
      </c>
      <c r="L42" s="257">
        <f>BS_Sorted!L42/IS_Sorted!L$5</f>
        <v>0.13136649058108243</v>
      </c>
      <c r="M42" s="498">
        <f>BS_Sorted!M42/IS_Sorted!M$5</f>
        <v>0.12549400944274991</v>
      </c>
      <c r="N42" s="498">
        <f>BS_Sorted!N42/IS_Sorted!N$5</f>
        <v>0.12549400944274991</v>
      </c>
      <c r="O42" s="498">
        <f>BS_Sorted!O42/IS_Sorted!O$5</f>
        <v>0.12549400944274991</v>
      </c>
      <c r="P42" s="498">
        <f>BS_Sorted!P42/IS_Sorted!P$5</f>
        <v>0.12549400944274991</v>
      </c>
      <c r="Q42" s="498">
        <f>BS_Sorted!Q42/IS_Sorted!Q$5</f>
        <v>0.12549400944274991</v>
      </c>
      <c r="R42" s="498">
        <f>BS_Sorted!R42/IS_Sorted!R$5</f>
        <v>0.12549400944274991</v>
      </c>
      <c r="S42" s="498">
        <f>BS_Sorted!S42/IS_Sorted!S$5</f>
        <v>0.12549400944274991</v>
      </c>
      <c r="T42" s="498">
        <f>BS_Sorted!T42/IS_Sorted!T$5</f>
        <v>0.12549400944274991</v>
      </c>
    </row>
    <row r="43" spans="1:60" s="9" customFormat="1" x14ac:dyDescent="0.25">
      <c r="A43" s="206" t="s">
        <v>298</v>
      </c>
      <c r="B43" s="207" t="s">
        <v>216</v>
      </c>
      <c r="C43" s="207" t="s">
        <v>216</v>
      </c>
      <c r="D43" s="207" t="s">
        <v>216</v>
      </c>
      <c r="E43" s="207" t="s">
        <v>216</v>
      </c>
      <c r="F43" s="295">
        <f>BS_Sorted!F43/IS_Sorted!F$5</f>
        <v>2.1159889444192035</v>
      </c>
      <c r="G43" s="295">
        <f>BS_Sorted!G43/IS_Sorted!G$5</f>
        <v>1.9057587637498572</v>
      </c>
      <c r="H43" s="295">
        <f>BS_Sorted!H43/IS_Sorted!H$5</f>
        <v>1.7831938412213171</v>
      </c>
      <c r="I43" s="295">
        <f>BS_Sorted!I43/IS_Sorted!I$5</f>
        <v>2.0104347826086957</v>
      </c>
      <c r="J43" s="296">
        <f>BS_Sorted!J43/IS_Sorted!J$5</f>
        <v>2.1656247017275936</v>
      </c>
      <c r="K43" s="296">
        <f>BS_Sorted!K43/IS_Sorted!K$5</f>
        <v>1.2795738608404685</v>
      </c>
      <c r="L43" s="296">
        <f>BS_Sorted!L43/IS_Sorted!L$5</f>
        <v>1.009548489983056</v>
      </c>
      <c r="M43" s="507">
        <f>BS_Sorted!M43/IS_Sorted!M$5</f>
        <v>2.030003779875202</v>
      </c>
      <c r="N43" s="507">
        <f>BS_Sorted!N43/IS_Sorted!N$5</f>
        <v>2.1177977670057881</v>
      </c>
      <c r="O43" s="507">
        <f>BS_Sorted!O43/IS_Sorted!O$5</f>
        <v>2.1806796453054016</v>
      </c>
      <c r="P43" s="507">
        <f>BS_Sorted!P43/IS_Sorted!P$5</f>
        <v>2.2166176386583007</v>
      </c>
      <c r="Q43" s="507">
        <f>BS_Sorted!Q43/IS_Sorted!Q$5</f>
        <v>2.2374531510867319</v>
      </c>
      <c r="R43" s="507">
        <f>BS_Sorted!R43/IS_Sorted!R$5</f>
        <v>2.2911901916077277</v>
      </c>
      <c r="S43" s="507">
        <f>BS_Sorted!S43/IS_Sorted!S$5</f>
        <v>2.3157875418690308</v>
      </c>
      <c r="T43" s="507">
        <f>BS_Sorted!T43/IS_Sorted!T$5</f>
        <v>2.2786664354693817</v>
      </c>
      <c r="V43" s="239"/>
    </row>
    <row r="44" spans="1:60" s="9" customFormat="1" x14ac:dyDescent="0.25">
      <c r="A44" s="168" t="s">
        <v>276</v>
      </c>
      <c r="B44" s="167"/>
      <c r="C44" s="167"/>
      <c r="D44" s="167"/>
      <c r="E44" s="167"/>
      <c r="F44" s="257">
        <f>BS_Sorted!F44/IS_Sorted!F$5</f>
        <v>4.5433893684688776E-4</v>
      </c>
      <c r="G44" s="257">
        <f>BS_Sorted!G44/IS_Sorted!G$5</f>
        <v>3.996498306245956E-4</v>
      </c>
      <c r="H44" s="257">
        <f>BS_Sorted!H44/IS_Sorted!H$5</f>
        <v>3.5416705500773574E-4</v>
      </c>
      <c r="I44" s="257">
        <f>BS_Sorted!I44/IS_Sorted!I$5</f>
        <v>3.2850241545893721E-4</v>
      </c>
      <c r="J44" s="241" t="s">
        <v>54</v>
      </c>
      <c r="K44" s="241" t="s">
        <v>54</v>
      </c>
      <c r="L44" s="241" t="s">
        <v>54</v>
      </c>
      <c r="M44" s="508" t="s">
        <v>54</v>
      </c>
      <c r="N44" s="508" t="s">
        <v>54</v>
      </c>
      <c r="O44" s="508" t="s">
        <v>54</v>
      </c>
      <c r="P44" s="508" t="s">
        <v>54</v>
      </c>
      <c r="Q44" s="508" t="s">
        <v>54</v>
      </c>
      <c r="R44" s="508" t="s">
        <v>54</v>
      </c>
      <c r="S44" s="508" t="s">
        <v>54</v>
      </c>
      <c r="T44" s="508" t="s">
        <v>54</v>
      </c>
    </row>
    <row r="45" spans="1:60" s="9" customFormat="1" x14ac:dyDescent="0.25">
      <c r="A45" s="168" t="s">
        <v>299</v>
      </c>
      <c r="B45" s="167"/>
      <c r="C45" s="167"/>
      <c r="D45" s="167"/>
      <c r="E45" s="167"/>
      <c r="F45" s="257">
        <f>BS_Sorted!F45/IS_Sorted!F$5</f>
        <v>1.5740193851279722</v>
      </c>
      <c r="G45" s="257">
        <f>BS_Sorted!G45/IS_Sorted!G$5</f>
        <v>1.6127393141247668</v>
      </c>
      <c r="H45" s="257">
        <f>BS_Sorted!H45/IS_Sorted!H$5</f>
        <v>1.6165116409118869</v>
      </c>
      <c r="I45" s="257">
        <f>BS_Sorted!I45/IS_Sorted!I$5</f>
        <v>1.6985314009661836</v>
      </c>
      <c r="J45" s="257">
        <f>BS_Sorted!J45/IS_Sorted!J$5</f>
        <v>2.127087906843562</v>
      </c>
      <c r="K45" s="257">
        <f>BS_Sorted!K45/IS_Sorted!K$5</f>
        <v>1.1202514516287767</v>
      </c>
      <c r="L45" s="257">
        <f>BS_Sorted!L45/IS_Sorted!L$5</f>
        <v>0.91972490780424598</v>
      </c>
      <c r="M45" s="498">
        <f>BS_Sorted!M45/IS_Sorted!M$5</f>
        <v>1.6456192215621952</v>
      </c>
      <c r="N45" s="498">
        <f>BS_Sorted!N45/IS_Sorted!N$5</f>
        <v>1.8101899146625289</v>
      </c>
      <c r="O45" s="498">
        <f>BS_Sorted!O45/IS_Sorted!O$5</f>
        <v>1.9492018701732414</v>
      </c>
      <c r="P45" s="498">
        <f>BS_Sorted!P45/IS_Sorted!P$5</f>
        <v>2.0083067010752687</v>
      </c>
      <c r="Q45" s="498">
        <f>BS_Sorted!Q45/IS_Sorted!Q$5</f>
        <v>2.0257323557483731</v>
      </c>
      <c r="R45" s="498">
        <f>BS_Sorted!R45/IS_Sorted!R$5</f>
        <v>2.1042420369535826</v>
      </c>
      <c r="S45" s="498">
        <f>BS_Sorted!S45/IS_Sorted!S$5</f>
        <v>2.1781052268221575</v>
      </c>
      <c r="T45" s="498">
        <f>BS_Sorted!T45/IS_Sorted!T$5</f>
        <v>2.1682438263292316</v>
      </c>
    </row>
    <row r="46" spans="1:60" s="9" customFormat="1" x14ac:dyDescent="0.25">
      <c r="A46" s="168" t="s">
        <v>279</v>
      </c>
      <c r="B46" s="167"/>
      <c r="C46" s="167"/>
      <c r="D46" s="167"/>
      <c r="E46" s="167"/>
      <c r="F46" s="257">
        <f>BS_Sorted!F46/IS_Sorted!F$5</f>
        <v>1.5970770861729517</v>
      </c>
      <c r="G46" s="257">
        <f>BS_Sorted!G46/IS_Sorted!G$5</f>
        <v>1.7018421954097362</v>
      </c>
      <c r="H46" s="257">
        <f>BS_Sorted!H46/IS_Sorted!H$5</f>
        <v>1.8940481294387383</v>
      </c>
      <c r="I46" s="257">
        <f>BS_Sorted!I46/IS_Sorted!I$5</f>
        <v>2.1410821256038646</v>
      </c>
      <c r="J46" s="257">
        <f>BS_Sorted!J46/IS_Sorted!J$5</f>
        <v>2.6483726257516467</v>
      </c>
      <c r="K46" s="257">
        <f>BS_Sorted!K46/IS_Sorted!K$5</f>
        <v>1.3699562050979235</v>
      </c>
      <c r="L46" s="257">
        <f>BS_Sorted!L46/IS_Sorted!L$5</f>
        <v>1.1359413934017741</v>
      </c>
      <c r="M46" s="498">
        <f>BS_Sorted!M46/IS_Sorted!M$5</f>
        <v>2.0209061086975795</v>
      </c>
      <c r="N46" s="498">
        <f>BS_Sorted!N46/IS_Sorted!N$5</f>
        <v>2.2152637703646239</v>
      </c>
      <c r="O46" s="498">
        <f>BS_Sorted!O46/IS_Sorted!O$5</f>
        <v>2.3893550407013149</v>
      </c>
      <c r="P46" s="498">
        <f>BS_Sorted!P46/IS_Sorted!P$5</f>
        <v>2.4674</v>
      </c>
      <c r="Q46" s="498">
        <f>BS_Sorted!Q46/IS_Sorted!Q$5</f>
        <v>2.4945640347071585</v>
      </c>
      <c r="R46" s="498">
        <f>BS_Sorted!R46/IS_Sorted!R$5</f>
        <v>2.5973413708877873</v>
      </c>
      <c r="S46" s="498">
        <f>BS_Sorted!S46/IS_Sorted!S$5</f>
        <v>2.6949511426425659</v>
      </c>
      <c r="T46" s="498">
        <f>BS_Sorted!T46/IS_Sorted!T$5</f>
        <v>2.6892865299655444</v>
      </c>
    </row>
    <row r="47" spans="1:60" s="9" customFormat="1" x14ac:dyDescent="0.25">
      <c r="A47" s="168" t="s">
        <v>280</v>
      </c>
      <c r="B47" s="167"/>
      <c r="C47" s="167"/>
      <c r="D47" s="167"/>
      <c r="E47" s="167"/>
      <c r="F47" s="257">
        <f>BS_Sorted!F47/IS_Sorted!F$5</f>
        <v>1.3587384522186885</v>
      </c>
      <c r="G47" s="257">
        <f>BS_Sorted!G47/IS_Sorted!G$5</f>
        <v>1.6231682716096372</v>
      </c>
      <c r="H47" s="257">
        <f>BS_Sorted!H47/IS_Sorted!H$5</f>
        <v>1.6693198128506719</v>
      </c>
      <c r="I47" s="257">
        <f>BS_Sorted!I47/IS_Sorted!I$5</f>
        <v>1.8873429951690821</v>
      </c>
      <c r="J47" s="257">
        <f>BS_Sorted!J47/IS_Sorted!J$5</f>
        <v>2.3091056600171807</v>
      </c>
      <c r="K47" s="257">
        <f>BS_Sorted!K47/IS_Sorted!K$5</f>
        <v>1.2719466587934258</v>
      </c>
      <c r="L47" s="257">
        <f>BS_Sorted!L47/IS_Sorted!L$5</f>
        <v>1.2524269909299313</v>
      </c>
      <c r="M47" s="498">
        <f>BS_Sorted!M47/IS_Sorted!M$5</f>
        <v>2.2093311139679934</v>
      </c>
      <c r="N47" s="498">
        <f>BS_Sorted!N47/IS_Sorted!N$5</f>
        <v>2.4803177978239632</v>
      </c>
      <c r="O47" s="498">
        <f>BS_Sorted!O47/IS_Sorted!O$5</f>
        <v>2.7153136341778388</v>
      </c>
      <c r="P47" s="498">
        <f>BS_Sorted!P47/IS_Sorted!P$5</f>
        <v>2.8321969815047128</v>
      </c>
      <c r="Q47" s="498">
        <f>BS_Sorted!Q47/IS_Sorted!Q$5</f>
        <v>2.8875729582393559</v>
      </c>
      <c r="R47" s="498">
        <f>BS_Sorted!R47/IS_Sorted!R$5</f>
        <v>3.0269705550486612</v>
      </c>
      <c r="S47" s="498">
        <f>BS_Sorted!S47/IS_Sorted!S$5</f>
        <v>3.1520914584260389</v>
      </c>
      <c r="T47" s="498">
        <f>BS_Sorted!T47/IS_Sorted!T$5</f>
        <v>3.1607910874884362</v>
      </c>
    </row>
    <row r="48" spans="1:60" s="9" customFormat="1" x14ac:dyDescent="0.25">
      <c r="A48" s="198" t="s">
        <v>286</v>
      </c>
      <c r="B48" s="172"/>
      <c r="C48" s="172" t="s">
        <v>216</v>
      </c>
      <c r="D48" s="172" t="s">
        <v>216</v>
      </c>
      <c r="E48" s="172" t="s">
        <v>216</v>
      </c>
      <c r="F48" s="261">
        <f>BS_Sorted!F48/IS_Sorted!F$5</f>
        <v>-0.20892018779342722</v>
      </c>
      <c r="G48" s="261">
        <f>BS_Sorted!G48/IS_Sorted!G$5</f>
        <v>-0.17738743196437406</v>
      </c>
      <c r="H48" s="261">
        <f>BS_Sorted!H48/IS_Sorted!H$5</f>
        <v>-0.21017018659011688</v>
      </c>
      <c r="I48" s="261">
        <f>BS_Sorted!I48/IS_Sorted!I$5</f>
        <v>-0.22492753623188405</v>
      </c>
      <c r="J48" s="261">
        <f>BS_Sorted!J48/IS_Sorted!J$5</f>
        <v>-0.27889663071489929</v>
      </c>
      <c r="K48" s="261">
        <f>BS_Sorted!K48/IS_Sorted!K$5</f>
        <v>-7.2544533018403703E-2</v>
      </c>
      <c r="L48" s="261">
        <f>BS_Sorted!L48/IS_Sorted!L$5</f>
        <v>-8.2766869331207013E-2</v>
      </c>
      <c r="M48" s="500">
        <f>BS_Sorted!M48/IS_Sorted!M$5</f>
        <v>-0.14724709637379199</v>
      </c>
      <c r="N48" s="500">
        <f>BS_Sorted!N48/IS_Sorted!N$5</f>
        <v>-0.16105508145849495</v>
      </c>
      <c r="O48" s="500">
        <f>BS_Sorted!O48/IS_Sorted!O$5</f>
        <v>-0.17332498434564808</v>
      </c>
      <c r="P48" s="500">
        <f>BS_Sorted!P48/IS_Sorted!P$5</f>
        <v>-0.17858064516129032</v>
      </c>
      <c r="Q48" s="500">
        <f>BS_Sorted!Q48/IS_Sorted!Q$5</f>
        <v>-0.18013015184381778</v>
      </c>
      <c r="R48" s="500">
        <f>BS_Sorted!R48/IS_Sorted!R$5</f>
        <v>-0.18711131140153223</v>
      </c>
      <c r="S48" s="500">
        <f>BS_Sorted!S48/IS_Sorted!S$5</f>
        <v>-0.1936793002915452</v>
      </c>
      <c r="T48" s="500">
        <f>BS_Sorted!T48/IS_Sorted!T$5</f>
        <v>-0.19280241467378686</v>
      </c>
    </row>
    <row r="49" spans="1:60" s="9" customFormat="1" x14ac:dyDescent="0.25">
      <c r="A49" s="179" t="s">
        <v>300</v>
      </c>
      <c r="B49" s="167"/>
      <c r="C49" s="167"/>
      <c r="D49" s="167"/>
      <c r="E49" s="167"/>
      <c r="F49" s="294">
        <f>BS_Sorted!F49/IS_Sorted!F$5</f>
        <v>1.1272149023171285</v>
      </c>
      <c r="G49" s="294">
        <f>BS_Sorted!G49/IS_Sorted!G$5</f>
        <v>1.3570776081909184</v>
      </c>
      <c r="H49" s="294">
        <f>BS_Sorted!H49/IS_Sorted!H$5</f>
        <v>1.1819673047887114</v>
      </c>
      <c r="I49" s="294">
        <f>BS_Sorted!I49/IS_Sorted!I$5</f>
        <v>1.2201932367149759</v>
      </c>
      <c r="J49" s="294">
        <f>BS_Sorted!J49/IS_Sorted!J$5</f>
        <v>1.5089243103941967</v>
      </c>
      <c r="K49" s="294">
        <f>BS_Sorted!K49/IS_Sorted!K$5</f>
        <v>0.94969737230587536</v>
      </c>
      <c r="L49" s="294">
        <f>BS_Sorted!L49/IS_Sorted!L$5</f>
        <v>0.95344363600119608</v>
      </c>
      <c r="M49" s="509">
        <f>BS_Sorted!M49/IS_Sorted!M$5</f>
        <v>1.686797130458817</v>
      </c>
      <c r="N49" s="509">
        <f>BS_Sorted!N49/IS_Sorted!N$5</f>
        <v>1.9141888606633732</v>
      </c>
      <c r="O49" s="509">
        <f>BS_Sorted!O49/IS_Sorted!O$5</f>
        <v>2.1018354793041172</v>
      </c>
      <c r="P49" s="509">
        <f>BS_Sorted!P49/IS_Sorted!P$5</f>
        <v>2.194523037418691</v>
      </c>
      <c r="Q49" s="509">
        <f>BS_Sorted!Q49/IS_Sorted!Q$5</f>
        <v>2.2386111274367524</v>
      </c>
      <c r="R49" s="509">
        <f>BS_Sorted!R49/IS_Sorted!R$5</f>
        <v>2.3467599097129241</v>
      </c>
      <c r="S49" s="509">
        <f>BS_Sorted!S49/IS_Sorted!S$5</f>
        <v>2.4415662423140851</v>
      </c>
      <c r="T49" s="509">
        <f>BS_Sorted!T49/IS_Sorted!T$5</f>
        <v>2.4469459691783362</v>
      </c>
    </row>
    <row r="50" spans="1:60" s="9" customFormat="1" x14ac:dyDescent="0.25">
      <c r="A50" s="168" t="s">
        <v>288</v>
      </c>
      <c r="B50" s="167"/>
      <c r="C50" s="167"/>
      <c r="D50" s="167"/>
      <c r="E50" s="167"/>
      <c r="F50" s="257">
        <f>BS_Sorted!F50/IS_Sorted!F$5</f>
        <v>5.6035135544449492E-3</v>
      </c>
      <c r="G50" s="257">
        <f>BS_Sorted!G50/IS_Sorted!G$5</f>
        <v>6.6227686217790131E-3</v>
      </c>
      <c r="H50" s="257">
        <f>BS_Sorted!H50/IS_Sorted!H$5</f>
        <v>6.5427703319850131E-3</v>
      </c>
      <c r="I50" s="257">
        <f>BS_Sorted!I50/IS_Sorted!I$5</f>
        <v>5.8550724637681162E-3</v>
      </c>
      <c r="J50" s="257">
        <f>BS_Sorted!J50/IS_Sorted!J$5</f>
        <v>5.6075212369953234E-3</v>
      </c>
      <c r="K50" s="257">
        <f>BS_Sorted!K50/IS_Sorted!K$5</f>
        <v>3.2231079618147821E-3</v>
      </c>
      <c r="L50" s="257">
        <f>BS_Sorted!L50/IS_Sorted!L$5</f>
        <v>2.5515797867038774E-3</v>
      </c>
      <c r="M50" s="498">
        <f>BS_Sorted!M50/IS_Sorted!M$5</f>
        <v>4.1570970300603511E-3</v>
      </c>
      <c r="N50" s="498">
        <f>BS_Sorted!N50/IS_Sorted!N$5</f>
        <v>3.896096415801846E-3</v>
      </c>
      <c r="O50" s="498">
        <f>BS_Sorted!O50/IS_Sorted!O$5</f>
        <v>3.5424253230255608E-3</v>
      </c>
      <c r="P50" s="498">
        <f>BS_Sorted!P50/IS_Sorted!P$5</f>
        <v>3.0035054539403892E-3</v>
      </c>
      <c r="Q50" s="498">
        <f>BS_Sorted!Q50/IS_Sorted!Q$5</f>
        <v>2.3779335811773823E-3</v>
      </c>
      <c r="R50" s="498">
        <f>BS_Sorted!R50/IS_Sorted!R$5</f>
        <v>1.7941378102699578E-3</v>
      </c>
      <c r="S50" s="498">
        <f>BS_Sorted!S50/IS_Sorted!S$5</f>
        <v>1.171150185882195E-3</v>
      </c>
      <c r="T50" s="498">
        <f>BS_Sorted!T50/IS_Sorted!T$5</f>
        <v>4.6023551277545716E-4</v>
      </c>
    </row>
    <row r="51" spans="1:60" s="9" customFormat="1" x14ac:dyDescent="0.25">
      <c r="A51" s="407" t="s">
        <v>301</v>
      </c>
      <c r="B51" s="207"/>
      <c r="C51" s="207"/>
      <c r="D51" s="207"/>
      <c r="E51" s="207"/>
      <c r="F51" s="295">
        <f>BS_Sorted!F51/IS_Sorted!F$5</f>
        <v>1.1328184158715735</v>
      </c>
      <c r="G51" s="295">
        <f>BS_Sorted!G51/IS_Sorted!G$5</f>
        <v>1.3637003768126974</v>
      </c>
      <c r="H51" s="295">
        <f>BS_Sorted!H51/IS_Sorted!H$5</f>
        <v>1.1885100751206965</v>
      </c>
      <c r="I51" s="295">
        <f>BS_Sorted!I51/IS_Sorted!I$5</f>
        <v>1.226048309178744</v>
      </c>
      <c r="J51" s="295">
        <f>BS_Sorted!J51/IS_Sorted!J$5</f>
        <v>1.5145318316311922</v>
      </c>
      <c r="K51" s="295">
        <f>BS_Sorted!K51/IS_Sorted!K$5</f>
        <v>0.95292048026769016</v>
      </c>
      <c r="L51" s="295">
        <f>BS_Sorted!L51/IS_Sorted!L$5</f>
        <v>0.95599521578789992</v>
      </c>
      <c r="M51" s="343">
        <f>BS_Sorted!M51/IS_Sorted!M$5</f>
        <v>1.6909542274888774</v>
      </c>
      <c r="N51" s="343">
        <f>BS_Sorted!N51/IS_Sorted!N$5</f>
        <v>1.9180849570791751</v>
      </c>
      <c r="O51" s="343">
        <f>BS_Sorted!O51/IS_Sorted!O$5</f>
        <v>2.1053779046271428</v>
      </c>
      <c r="P51" s="343">
        <f>BS_Sorted!P51/IS_Sorted!P$5</f>
        <v>2.1975265428726316</v>
      </c>
      <c r="Q51" s="343">
        <f>BS_Sorted!Q51/IS_Sorted!Q$5</f>
        <v>2.2409890610179302</v>
      </c>
      <c r="R51" s="343">
        <f>BS_Sorted!R51/IS_Sorted!R$5</f>
        <v>2.3485540475231939</v>
      </c>
      <c r="S51" s="343">
        <f>BS_Sorted!S51/IS_Sorted!S$5</f>
        <v>2.4427373924999674</v>
      </c>
      <c r="T51" s="343">
        <f>BS_Sorted!T51/IS_Sorted!T$5</f>
        <v>2.4474062046911116</v>
      </c>
    </row>
    <row r="52" spans="1:60" s="16" customFormat="1" x14ac:dyDescent="0.25">
      <c r="A52" s="206" t="s">
        <v>302</v>
      </c>
      <c r="B52" s="315"/>
      <c r="C52" s="315"/>
      <c r="D52" s="315"/>
      <c r="E52" s="315"/>
      <c r="F52" s="295">
        <f>BS_Sorted!F52/IS_Sorted!F$5</f>
        <v>3.248807360290777</v>
      </c>
      <c r="G52" s="295">
        <f>BS_Sorted!G52/IS_Sorted!G$5</f>
        <v>3.2694591405625548</v>
      </c>
      <c r="H52" s="295">
        <f>BS_Sorted!H52/IS_Sorted!H$5</f>
        <v>2.9717039163420136</v>
      </c>
      <c r="I52" s="295">
        <f>BS_Sorted!I52/IS_Sorted!I$5</f>
        <v>3.2364830917874396</v>
      </c>
      <c r="J52" s="295">
        <f>BS_Sorted!J52/IS_Sorted!J$5</f>
        <v>3.6801565333587858</v>
      </c>
      <c r="K52" s="295">
        <f>BS_Sorted!K52/IS_Sorted!K$5</f>
        <v>2.2324943411081586</v>
      </c>
      <c r="L52" s="295">
        <f>BS_Sorted!L52/IS_Sorted!L$5</f>
        <v>1.9655437057709559</v>
      </c>
      <c r="M52" s="343">
        <f>BS_Sorted!M52/IS_Sorted!M$5</f>
        <v>3.7209580073640796</v>
      </c>
      <c r="N52" s="343">
        <f>BS_Sorted!N52/IS_Sorted!N$5</f>
        <v>4.0358827240849635</v>
      </c>
      <c r="O52" s="343">
        <f>BS_Sorted!O52/IS_Sorted!O$5</f>
        <v>4.2860575499325444</v>
      </c>
      <c r="P52" s="343">
        <f>BS_Sorted!P52/IS_Sorted!P$5</f>
        <v>4.4141441815309328</v>
      </c>
      <c r="Q52" s="343">
        <f>BS_Sorted!Q52/IS_Sorted!Q$5</f>
        <v>4.4784422121046621</v>
      </c>
      <c r="R52" s="343">
        <f>BS_Sorted!R52/IS_Sorted!R$5</f>
        <v>4.6397442391309216</v>
      </c>
      <c r="S52" s="343">
        <f>BS_Sorted!S52/IS_Sorted!S$5</f>
        <v>4.7585249343689986</v>
      </c>
      <c r="T52" s="343">
        <f>BS_Sorted!T52/IS_Sorted!T$5</f>
        <v>4.7260726401604938</v>
      </c>
    </row>
    <row r="53" spans="1:60" x14ac:dyDescent="0.25">
      <c r="A53" s="168"/>
      <c r="B53" s="167"/>
      <c r="C53" s="167"/>
      <c r="D53" s="167"/>
      <c r="E53" s="167"/>
      <c r="F53" s="173"/>
      <c r="G53" s="173"/>
      <c r="H53" s="173"/>
      <c r="I53" s="173"/>
      <c r="J53" s="173"/>
      <c r="K53" s="173"/>
      <c r="L53" s="173"/>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row>
    <row r="54" spans="1:60" x14ac:dyDescent="0.25">
      <c r="A54" s="179"/>
      <c r="B54" s="167"/>
      <c r="C54" s="167"/>
      <c r="D54" s="167"/>
      <c r="E54" s="167"/>
      <c r="F54" s="173"/>
      <c r="G54" s="173"/>
      <c r="H54" s="173"/>
      <c r="I54" s="173"/>
      <c r="J54" s="173"/>
      <c r="K54" s="173"/>
      <c r="L54" s="173"/>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row>
    <row r="55" spans="1:60" x14ac:dyDescent="0.25">
      <c r="A55" s="168"/>
      <c r="B55" s="73"/>
      <c r="C55" s="73"/>
      <c r="D55" s="73"/>
      <c r="E55" s="73"/>
      <c r="F55" s="176"/>
      <c r="G55" s="176"/>
      <c r="H55" s="176"/>
      <c r="I55" s="176"/>
      <c r="J55" s="176"/>
      <c r="K55" s="176"/>
      <c r="L55" s="176"/>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row>
    <row r="56" spans="1:60" x14ac:dyDescent="0.25">
      <c r="A56" s="168"/>
      <c r="B56" s="31"/>
      <c r="C56" s="31"/>
      <c r="D56" s="31"/>
      <c r="E56" s="31"/>
      <c r="F56" s="176"/>
      <c r="G56" s="176"/>
      <c r="H56" s="176"/>
      <c r="I56" s="176"/>
      <c r="J56" s="176"/>
      <c r="K56" s="176"/>
      <c r="L56" s="176"/>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row>
    <row r="57" spans="1:60" x14ac:dyDescent="0.25">
      <c r="A57" s="168"/>
      <c r="B57" s="167"/>
      <c r="C57" s="167"/>
      <c r="D57" s="167"/>
      <c r="E57" s="167"/>
      <c r="F57" s="180"/>
      <c r="G57" s="180"/>
      <c r="H57" s="180"/>
      <c r="I57" s="180"/>
      <c r="J57" s="173"/>
      <c r="K57" s="180"/>
      <c r="L57" s="180"/>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row>
    <row r="58" spans="1:60" x14ac:dyDescent="0.25">
      <c r="A58" s="168"/>
      <c r="B58" s="167"/>
      <c r="C58" s="167"/>
      <c r="D58" s="167"/>
      <c r="E58" s="167"/>
      <c r="F58" s="173"/>
      <c r="G58" s="173"/>
      <c r="H58" s="173"/>
      <c r="I58" s="173"/>
      <c r="J58" s="180"/>
      <c r="K58" s="180"/>
      <c r="L58" s="180"/>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row>
    <row r="59" spans="1:60" x14ac:dyDescent="0.25">
      <c r="A59" s="168"/>
      <c r="B59" s="31"/>
      <c r="C59" s="31"/>
      <c r="D59" s="31"/>
      <c r="E59" s="31"/>
      <c r="F59" s="176"/>
      <c r="G59" s="176"/>
      <c r="H59" s="176"/>
      <c r="I59" s="176"/>
      <c r="J59" s="176"/>
      <c r="K59" s="176"/>
      <c r="L59" s="176"/>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row>
    <row r="60" spans="1:60" x14ac:dyDescent="0.25">
      <c r="A60" s="216"/>
      <c r="B60" s="31"/>
      <c r="C60" s="31"/>
      <c r="D60" s="31"/>
      <c r="E60" s="31"/>
      <c r="F60" s="176"/>
      <c r="G60" s="176"/>
      <c r="H60" s="176"/>
      <c r="I60" s="176"/>
      <c r="J60" s="176"/>
      <c r="K60" s="176"/>
      <c r="L60" s="176"/>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row>
    <row r="61" spans="1:60" x14ac:dyDescent="0.25">
      <c r="A61" s="168"/>
      <c r="B61" s="31"/>
      <c r="C61" s="31"/>
      <c r="D61" s="31"/>
      <c r="E61" s="31"/>
      <c r="F61" s="169"/>
      <c r="G61" s="169"/>
      <c r="H61" s="169"/>
      <c r="I61" s="176"/>
      <c r="J61" s="176"/>
      <c r="K61" s="176"/>
      <c r="L61" s="176"/>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row>
    <row r="62" spans="1:60" x14ac:dyDescent="0.25">
      <c r="A62" s="168"/>
      <c r="B62" s="73"/>
      <c r="C62" s="73"/>
      <c r="D62" s="73"/>
      <c r="E62" s="73"/>
      <c r="F62" s="176"/>
      <c r="G62" s="176"/>
      <c r="H62" s="176"/>
      <c r="I62" s="176"/>
      <c r="J62" s="176"/>
      <c r="K62" s="176"/>
      <c r="L62" s="176"/>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row>
    <row r="63" spans="1:60" x14ac:dyDescent="0.25">
      <c r="A63" s="177"/>
      <c r="B63" s="165"/>
      <c r="C63" s="165"/>
      <c r="D63" s="165"/>
      <c r="E63" s="165"/>
      <c r="F63" s="178"/>
      <c r="G63" s="178"/>
      <c r="H63" s="178"/>
      <c r="I63" s="178"/>
      <c r="J63" s="178"/>
      <c r="K63" s="178"/>
      <c r="L63" s="178"/>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row>
    <row r="64" spans="1:60" x14ac:dyDescent="0.25">
      <c r="A64" s="205"/>
      <c r="B64" s="166"/>
      <c r="C64" s="166"/>
      <c r="D64" s="166"/>
      <c r="E64" s="166"/>
      <c r="F64" s="178"/>
      <c r="G64" s="178"/>
      <c r="H64" s="178"/>
      <c r="I64" s="178"/>
      <c r="J64" s="178"/>
      <c r="K64" s="178"/>
      <c r="L64" s="178"/>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row>
    <row r="65" spans="1:60" x14ac:dyDescent="0.25">
      <c r="A65" s="168"/>
      <c r="B65" s="31"/>
      <c r="C65" s="31"/>
      <c r="D65" s="31"/>
      <c r="E65" s="31"/>
      <c r="F65" s="176"/>
      <c r="G65" s="176"/>
      <c r="H65" s="176"/>
      <c r="I65" s="176"/>
      <c r="J65" s="176"/>
      <c r="K65" s="176"/>
      <c r="L65" s="176"/>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row>
    <row r="66" spans="1:60" x14ac:dyDescent="0.25">
      <c r="A66" s="168"/>
      <c r="B66" s="31"/>
      <c r="C66" s="31"/>
      <c r="D66" s="31"/>
      <c r="E66" s="31"/>
      <c r="F66" s="176"/>
      <c r="G66" s="176"/>
      <c r="H66" s="176"/>
      <c r="I66" s="176"/>
      <c r="J66" s="176"/>
      <c r="K66" s="176"/>
      <c r="L66" s="176"/>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row>
    <row r="67" spans="1:60" x14ac:dyDescent="0.25">
      <c r="A67" s="168"/>
      <c r="B67" s="31"/>
      <c r="C67" s="31"/>
      <c r="D67" s="31"/>
      <c r="E67" s="31"/>
      <c r="F67" s="176"/>
      <c r="G67" s="176"/>
      <c r="H67" s="176"/>
      <c r="I67" s="176"/>
      <c r="J67" s="176"/>
      <c r="K67" s="176"/>
      <c r="L67" s="176"/>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row>
    <row r="68" spans="1:60" x14ac:dyDescent="0.25">
      <c r="A68" s="168"/>
      <c r="B68" s="31"/>
      <c r="C68" s="31"/>
      <c r="D68" s="31"/>
      <c r="E68" s="31"/>
      <c r="F68" s="176"/>
      <c r="G68" s="176"/>
      <c r="H68" s="176"/>
      <c r="I68" s="176"/>
      <c r="J68" s="176"/>
      <c r="K68" s="176"/>
      <c r="L68" s="176"/>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row>
    <row r="69" spans="1:60" x14ac:dyDescent="0.25">
      <c r="A69" s="168"/>
      <c r="B69" s="31"/>
      <c r="C69" s="31"/>
      <c r="D69" s="31"/>
      <c r="E69" s="31"/>
      <c r="F69" s="176"/>
      <c r="G69" s="176"/>
      <c r="H69" s="176"/>
      <c r="I69" s="176"/>
      <c r="J69" s="176"/>
      <c r="K69" s="176"/>
      <c r="L69" s="176"/>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row>
    <row r="70" spans="1:60" x14ac:dyDescent="0.25">
      <c r="A70" s="179"/>
      <c r="B70" s="31"/>
      <c r="C70" s="31"/>
      <c r="D70" s="31"/>
      <c r="E70" s="31"/>
      <c r="F70" s="175"/>
      <c r="G70" s="175"/>
      <c r="H70" s="175"/>
      <c r="I70" s="175"/>
      <c r="J70" s="175"/>
      <c r="K70" s="175"/>
      <c r="L70" s="175"/>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row>
    <row r="71" spans="1:60" x14ac:dyDescent="0.25">
      <c r="A71" s="174"/>
      <c r="B71" s="169"/>
      <c r="C71" s="169"/>
      <c r="D71" s="169"/>
      <c r="E71" s="169"/>
      <c r="F71" s="169"/>
      <c r="G71" s="169"/>
      <c r="H71" s="169"/>
      <c r="I71" s="169"/>
      <c r="J71" s="169"/>
      <c r="K71" s="169"/>
      <c r="L71" s="169"/>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row>
    <row r="72" spans="1:60" x14ac:dyDescent="0.25">
      <c r="A72" s="168"/>
      <c r="B72" s="170"/>
      <c r="C72" s="170"/>
      <c r="D72" s="170"/>
      <c r="E72" s="170"/>
      <c r="F72" s="175"/>
      <c r="G72" s="175"/>
      <c r="H72" s="175"/>
      <c r="I72" s="175"/>
      <c r="J72" s="175"/>
      <c r="K72" s="175"/>
      <c r="L72" s="175"/>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row>
    <row r="73" spans="1:60" x14ac:dyDescent="0.25">
      <c r="A73" s="168"/>
      <c r="B73" s="167"/>
      <c r="C73" s="167"/>
      <c r="D73" s="167"/>
      <c r="E73" s="167"/>
      <c r="F73" s="173"/>
      <c r="G73" s="173"/>
      <c r="H73" s="173"/>
      <c r="I73" s="173"/>
      <c r="J73" s="173"/>
      <c r="K73" s="173"/>
      <c r="L73" s="173"/>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row>
    <row r="74" spans="1:60" x14ac:dyDescent="0.25">
      <c r="A74" s="168"/>
      <c r="B74" s="167"/>
      <c r="C74" s="167"/>
      <c r="D74" s="167"/>
      <c r="E74" s="167"/>
      <c r="F74" s="173"/>
      <c r="G74" s="173"/>
      <c r="H74" s="173"/>
      <c r="I74" s="173"/>
      <c r="J74" s="173"/>
      <c r="K74" s="173"/>
      <c r="L74" s="173"/>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row>
    <row r="75" spans="1:60" x14ac:dyDescent="0.25">
      <c r="A75" s="168"/>
      <c r="B75" s="171"/>
      <c r="C75" s="171"/>
      <c r="D75" s="171"/>
      <c r="E75" s="171"/>
      <c r="F75" s="173"/>
      <c r="G75" s="173"/>
      <c r="H75" s="173"/>
      <c r="I75" s="173"/>
      <c r="J75" s="173"/>
      <c r="K75" s="173"/>
      <c r="L75" s="173"/>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row>
    <row r="76" spans="1:60" x14ac:dyDescent="0.25">
      <c r="A76" s="168"/>
      <c r="B76" s="171"/>
      <c r="C76" s="171"/>
      <c r="D76" s="171"/>
      <c r="E76" s="171"/>
      <c r="F76" s="173"/>
      <c r="G76" s="173"/>
      <c r="H76" s="173"/>
      <c r="I76" s="173"/>
      <c r="J76" s="173"/>
      <c r="K76" s="173"/>
      <c r="L76" s="173"/>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row>
    <row r="77" spans="1:60" x14ac:dyDescent="0.25">
      <c r="A77" s="168"/>
      <c r="B77" s="171"/>
      <c r="C77" s="171"/>
      <c r="D77" s="171"/>
      <c r="E77" s="171"/>
      <c r="F77" s="180"/>
      <c r="G77" s="180"/>
      <c r="H77" s="180"/>
      <c r="I77" s="180"/>
      <c r="J77" s="180"/>
      <c r="K77" s="173"/>
      <c r="L77" s="173"/>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row>
    <row r="78" spans="1:60" x14ac:dyDescent="0.25">
      <c r="A78" s="168"/>
      <c r="B78" s="171"/>
      <c r="C78" s="171"/>
      <c r="D78" s="171"/>
      <c r="E78" s="171"/>
      <c r="F78" s="173"/>
      <c r="G78" s="173"/>
      <c r="H78" s="173"/>
      <c r="I78" s="173"/>
      <c r="J78" s="173"/>
      <c r="K78" s="173"/>
      <c r="L78" s="173"/>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row>
    <row r="79" spans="1:60" x14ac:dyDescent="0.25">
      <c r="A79" s="168"/>
      <c r="B79" s="167"/>
      <c r="C79" s="167"/>
      <c r="D79" s="167"/>
      <c r="E79" s="167"/>
      <c r="F79" s="180"/>
      <c r="G79" s="180"/>
      <c r="H79" s="173"/>
      <c r="I79" s="180"/>
      <c r="J79" s="180"/>
      <c r="K79" s="180"/>
      <c r="L79" s="180"/>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row>
    <row r="80" spans="1:60" x14ac:dyDescent="0.25">
      <c r="A80" s="174"/>
      <c r="B80" s="167"/>
      <c r="C80" s="167"/>
      <c r="D80" s="167"/>
      <c r="E80" s="167"/>
      <c r="F80" s="173"/>
      <c r="G80" s="173"/>
      <c r="H80" s="173"/>
      <c r="I80" s="173"/>
      <c r="J80" s="173"/>
      <c r="K80" s="173"/>
      <c r="L80" s="173"/>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row>
    <row r="81" spans="1:60" x14ac:dyDescent="0.25">
      <c r="A81" s="168"/>
      <c r="B81" s="167"/>
      <c r="C81" s="167"/>
      <c r="D81" s="167"/>
      <c r="E81" s="167"/>
      <c r="F81" s="173"/>
      <c r="G81" s="173"/>
      <c r="H81" s="173"/>
      <c r="I81" s="173"/>
      <c r="J81" s="173"/>
      <c r="K81" s="173"/>
      <c r="L81" s="173"/>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row>
    <row r="82" spans="1:60" x14ac:dyDescent="0.25">
      <c r="A82" s="168"/>
      <c r="B82" s="167"/>
      <c r="C82" s="167"/>
      <c r="D82" s="167"/>
      <c r="E82" s="167"/>
      <c r="F82" s="180"/>
      <c r="G82" s="180"/>
      <c r="H82" s="180"/>
      <c r="I82" s="180"/>
      <c r="J82" s="180"/>
      <c r="K82" s="180"/>
      <c r="L82" s="180"/>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row>
    <row r="83" spans="1:60" x14ac:dyDescent="0.25">
      <c r="A83" s="168"/>
      <c r="B83" s="167"/>
      <c r="C83" s="167"/>
      <c r="D83" s="167"/>
      <c r="E83" s="167"/>
      <c r="F83" s="173"/>
      <c r="G83" s="173"/>
      <c r="H83" s="173"/>
      <c r="I83" s="173"/>
      <c r="J83" s="173"/>
      <c r="K83" s="173"/>
      <c r="L83" s="173"/>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row>
    <row r="84" spans="1:60" x14ac:dyDescent="0.25">
      <c r="A84" s="168"/>
      <c r="B84" s="167"/>
      <c r="C84" s="167"/>
      <c r="D84" s="167"/>
      <c r="E84" s="167"/>
      <c r="F84" s="173"/>
      <c r="G84" s="173"/>
      <c r="H84" s="173"/>
      <c r="I84" s="173"/>
      <c r="J84" s="173"/>
      <c r="K84" s="173"/>
      <c r="L84" s="173"/>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row>
    <row r="85" spans="1:60" x14ac:dyDescent="0.25">
      <c r="A85" s="168"/>
      <c r="B85" s="167"/>
      <c r="C85" s="167"/>
      <c r="D85" s="167"/>
      <c r="E85" s="167"/>
      <c r="F85" s="173"/>
      <c r="G85" s="173"/>
      <c r="H85" s="173"/>
      <c r="I85" s="173"/>
      <c r="J85" s="173"/>
      <c r="K85" s="173"/>
      <c r="L85" s="173"/>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row>
    <row r="86" spans="1:60" x14ac:dyDescent="0.25">
      <c r="A86" s="179"/>
      <c r="B86" s="167"/>
      <c r="C86" s="167"/>
      <c r="D86" s="167"/>
      <c r="E86" s="167"/>
      <c r="F86" s="173"/>
      <c r="G86" s="173"/>
      <c r="H86" s="173"/>
      <c r="I86" s="173"/>
      <c r="J86" s="173"/>
      <c r="K86" s="173"/>
      <c r="L86" s="173"/>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row>
    <row r="87" spans="1:60" x14ac:dyDescent="0.25">
      <c r="A87" s="168"/>
      <c r="B87" s="167"/>
      <c r="C87" s="167"/>
      <c r="D87" s="167"/>
      <c r="E87" s="167"/>
      <c r="F87" s="173"/>
      <c r="G87" s="173"/>
      <c r="H87" s="173"/>
      <c r="I87" s="173"/>
      <c r="J87" s="180"/>
      <c r="K87" s="180"/>
      <c r="L87" s="180"/>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row>
    <row r="88" spans="1:60" x14ac:dyDescent="0.25">
      <c r="A88" s="168"/>
      <c r="B88" s="167"/>
      <c r="C88" s="167"/>
      <c r="D88" s="167"/>
      <c r="E88" s="167"/>
      <c r="F88" s="173"/>
      <c r="G88" s="173"/>
      <c r="H88" s="173"/>
      <c r="I88" s="173"/>
      <c r="J88" s="173"/>
      <c r="K88" s="173"/>
      <c r="L88" s="173"/>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row>
    <row r="89" spans="1:60" x14ac:dyDescent="0.25">
      <c r="A89" s="168"/>
      <c r="B89" s="167"/>
      <c r="C89" s="167"/>
      <c r="D89" s="167"/>
      <c r="E89" s="167"/>
      <c r="F89" s="173"/>
      <c r="G89" s="173"/>
      <c r="H89" s="173"/>
      <c r="I89" s="173"/>
      <c r="J89" s="173"/>
      <c r="K89" s="173"/>
      <c r="L89" s="173"/>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row>
    <row r="90" spans="1:60" x14ac:dyDescent="0.25">
      <c r="A90" s="168"/>
      <c r="B90" s="167"/>
      <c r="C90" s="167"/>
      <c r="D90" s="167"/>
      <c r="E90" s="167"/>
      <c r="F90" s="173"/>
      <c r="G90" s="173"/>
      <c r="H90" s="173"/>
      <c r="I90" s="173"/>
      <c r="J90" s="173"/>
      <c r="K90" s="173"/>
      <c r="L90" s="173"/>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row>
    <row r="91" spans="1:60" x14ac:dyDescent="0.25">
      <c r="A91" s="168"/>
      <c r="B91" s="167"/>
      <c r="C91" s="167"/>
      <c r="D91" s="167"/>
      <c r="E91" s="167"/>
      <c r="F91" s="173"/>
      <c r="G91" s="173"/>
      <c r="H91" s="173"/>
      <c r="I91" s="173"/>
      <c r="J91" s="173"/>
      <c r="K91" s="173"/>
      <c r="L91" s="173"/>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row>
    <row r="92" spans="1:60" x14ac:dyDescent="0.25">
      <c r="A92" s="179"/>
      <c r="B92" s="167"/>
      <c r="C92" s="167"/>
      <c r="D92" s="167"/>
      <c r="E92" s="167"/>
      <c r="F92" s="173"/>
      <c r="G92" s="173"/>
      <c r="H92" s="173"/>
      <c r="I92" s="173"/>
      <c r="J92" s="173"/>
      <c r="K92" s="173"/>
      <c r="L92" s="173"/>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row>
    <row r="93" spans="1:60" x14ac:dyDescent="0.25">
      <c r="A93" s="168"/>
      <c r="B93" s="167"/>
      <c r="C93" s="167"/>
      <c r="D93" s="167"/>
      <c r="E93" s="167"/>
      <c r="F93" s="173"/>
      <c r="G93" s="173"/>
      <c r="H93" s="173"/>
      <c r="I93" s="173"/>
      <c r="J93" s="173"/>
      <c r="K93" s="173"/>
      <c r="L93" s="173"/>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row>
    <row r="94" spans="1:60" x14ac:dyDescent="0.25">
      <c r="A94" s="179"/>
      <c r="B94" s="167"/>
      <c r="C94" s="167"/>
      <c r="D94" s="167"/>
      <c r="E94" s="167"/>
      <c r="F94" s="173"/>
      <c r="G94" s="173"/>
      <c r="H94" s="173"/>
      <c r="I94" s="173"/>
      <c r="J94" s="173"/>
      <c r="K94" s="173"/>
      <c r="L94" s="173"/>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row>
    <row r="95" spans="1:60" x14ac:dyDescent="0.25">
      <c r="A95" s="179"/>
      <c r="B95" s="175"/>
      <c r="C95" s="175"/>
      <c r="D95" s="175"/>
      <c r="E95" s="175"/>
      <c r="F95" s="175"/>
      <c r="G95" s="175"/>
      <c r="H95" s="175"/>
      <c r="I95" s="175"/>
      <c r="J95" s="175"/>
      <c r="K95" s="175"/>
      <c r="L95" s="175"/>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row>
    <row r="96" spans="1:60" x14ac:dyDescent="0.25">
      <c r="B96" s="2"/>
      <c r="C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row>
    <row r="97" spans="2:60" x14ac:dyDescent="0.25">
      <c r="B97" s="2"/>
      <c r="C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row>
    <row r="98" spans="2:60" x14ac:dyDescent="0.25">
      <c r="B98" s="2"/>
      <c r="C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row>
    <row r="99" spans="2:60" x14ac:dyDescent="0.25">
      <c r="B99" s="2"/>
      <c r="C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row>
    <row r="100" spans="2:60" x14ac:dyDescent="0.25">
      <c r="B100" s="2"/>
      <c r="C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row>
    <row r="101" spans="2:60" x14ac:dyDescent="0.25">
      <c r="B101" s="2"/>
      <c r="C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row>
    <row r="102" spans="2:60" x14ac:dyDescent="0.25">
      <c r="B102" s="2"/>
      <c r="C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row>
    <row r="103" spans="2:60" x14ac:dyDescent="0.25">
      <c r="B103" s="2"/>
      <c r="C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row>
    <row r="104" spans="2:60" x14ac:dyDescent="0.25">
      <c r="B104" s="2"/>
      <c r="C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row>
    <row r="105" spans="2:60" x14ac:dyDescent="0.25">
      <c r="B105" s="2"/>
      <c r="C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row>
    <row r="106" spans="2:60" x14ac:dyDescent="0.25">
      <c r="B106" s="2"/>
      <c r="C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row>
    <row r="107" spans="2:60" x14ac:dyDescent="0.25">
      <c r="B107" s="2"/>
      <c r="C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row>
    <row r="108" spans="2:60" x14ac:dyDescent="0.25">
      <c r="B108" s="2"/>
      <c r="C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row>
    <row r="109" spans="2:60" x14ac:dyDescent="0.25">
      <c r="B109" s="2"/>
      <c r="C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row>
    <row r="110" spans="2:60" x14ac:dyDescent="0.25">
      <c r="B110" s="2"/>
      <c r="C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row>
    <row r="111" spans="2:60" x14ac:dyDescent="0.25">
      <c r="B111" s="2"/>
      <c r="C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row>
    <row r="112" spans="2:60" x14ac:dyDescent="0.25">
      <c r="B112" s="2"/>
      <c r="C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row>
    <row r="113" spans="2:60" x14ac:dyDescent="0.25">
      <c r="B113" s="2"/>
      <c r="C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row>
    <row r="114" spans="2:60" x14ac:dyDescent="0.25">
      <c r="B114" s="2"/>
      <c r="C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row>
    <row r="115" spans="2:60" x14ac:dyDescent="0.25">
      <c r="B115" s="2"/>
      <c r="C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row>
    <row r="116" spans="2:60" x14ac:dyDescent="0.25">
      <c r="B116" s="2"/>
      <c r="C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row>
    <row r="117" spans="2:60" x14ac:dyDescent="0.25">
      <c r="B117" s="2"/>
      <c r="C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row>
    <row r="118" spans="2:60" x14ac:dyDescent="0.25">
      <c r="B118" s="2"/>
      <c r="C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row>
    <row r="119" spans="2:60" x14ac:dyDescent="0.25">
      <c r="B119" s="2"/>
      <c r="C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row>
    <row r="120" spans="2:60" x14ac:dyDescent="0.25">
      <c r="B120" s="2"/>
      <c r="C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row>
    <row r="121" spans="2:60" x14ac:dyDescent="0.25">
      <c r="B121" s="2"/>
      <c r="C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row>
    <row r="122" spans="2:60" x14ac:dyDescent="0.25">
      <c r="B122" s="2"/>
      <c r="C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row>
    <row r="123" spans="2:60" x14ac:dyDescent="0.25">
      <c r="B123" s="2"/>
      <c r="C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row>
    <row r="124" spans="2:60" x14ac:dyDescent="0.25">
      <c r="B124" s="2"/>
      <c r="C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row>
    <row r="125" spans="2:60" x14ac:dyDescent="0.25">
      <c r="B125" s="2"/>
      <c r="C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row>
    <row r="126" spans="2:60" x14ac:dyDescent="0.25">
      <c r="B126" s="2"/>
      <c r="C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row>
    <row r="127" spans="2:60" x14ac:dyDescent="0.25">
      <c r="B127" s="2"/>
      <c r="C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row>
    <row r="128" spans="2:60" x14ac:dyDescent="0.25">
      <c r="B128" s="2"/>
      <c r="C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row>
    <row r="129" spans="2:60" x14ac:dyDescent="0.25">
      <c r="B129" s="2"/>
      <c r="C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row>
    <row r="130" spans="2:60" x14ac:dyDescent="0.25">
      <c r="B130" s="2"/>
      <c r="C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row>
    <row r="131" spans="2:60" x14ac:dyDescent="0.25">
      <c r="B131" s="2"/>
      <c r="C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row>
    <row r="132" spans="2:60" x14ac:dyDescent="0.25">
      <c r="B132" s="2"/>
      <c r="C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row>
    <row r="133" spans="2:60" x14ac:dyDescent="0.25">
      <c r="B133" s="2"/>
      <c r="C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row>
    <row r="134" spans="2:60" x14ac:dyDescent="0.25">
      <c r="B134" s="2"/>
      <c r="C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row>
    <row r="135" spans="2:60" x14ac:dyDescent="0.25">
      <c r="B135" s="2"/>
      <c r="C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row>
    <row r="136" spans="2:60" x14ac:dyDescent="0.25">
      <c r="B136" s="2"/>
      <c r="C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row>
    <row r="137" spans="2:60" x14ac:dyDescent="0.25">
      <c r="B137" s="2"/>
      <c r="C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row>
    <row r="138" spans="2:60" x14ac:dyDescent="0.25">
      <c r="B138" s="2"/>
      <c r="C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row>
    <row r="139" spans="2:60" x14ac:dyDescent="0.25">
      <c r="B139" s="2"/>
      <c r="C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row>
    <row r="140" spans="2:60" x14ac:dyDescent="0.25">
      <c r="B140" s="2"/>
      <c r="C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row>
    <row r="141" spans="2:60" x14ac:dyDescent="0.25">
      <c r="B141" s="2"/>
      <c r="C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row>
    <row r="142" spans="2:60" x14ac:dyDescent="0.25">
      <c r="B142" s="2"/>
      <c r="C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row>
    <row r="143" spans="2:60" x14ac:dyDescent="0.25">
      <c r="B143" s="2"/>
      <c r="C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row>
    <row r="144" spans="2:60" x14ac:dyDescent="0.25">
      <c r="B144" s="2"/>
      <c r="C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row>
    <row r="145" spans="2:60" x14ac:dyDescent="0.25">
      <c r="B145" s="2"/>
      <c r="C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row>
    <row r="146" spans="2:60" x14ac:dyDescent="0.25">
      <c r="B146" s="2"/>
      <c r="C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row>
    <row r="147" spans="2:60" x14ac:dyDescent="0.25">
      <c r="B147" s="2"/>
      <c r="C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row>
    <row r="148" spans="2:60" x14ac:dyDescent="0.25">
      <c r="B148" s="2"/>
      <c r="C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row>
    <row r="149" spans="2:60" x14ac:dyDescent="0.25">
      <c r="B149" s="2"/>
      <c r="C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row>
    <row r="150" spans="2:60" x14ac:dyDescent="0.25">
      <c r="B150" s="2"/>
      <c r="C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row>
    <row r="151" spans="2:60" x14ac:dyDescent="0.25">
      <c r="B151" s="2"/>
      <c r="C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row>
    <row r="152" spans="2:60" x14ac:dyDescent="0.25">
      <c r="B152" s="2"/>
      <c r="C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row>
    <row r="153" spans="2:60" x14ac:dyDescent="0.25">
      <c r="B153" s="2"/>
      <c r="C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row>
    <row r="154" spans="2:60" x14ac:dyDescent="0.25">
      <c r="B154" s="2"/>
      <c r="C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row>
    <row r="155" spans="2:60" x14ac:dyDescent="0.25">
      <c r="B155" s="2"/>
      <c r="C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row>
    <row r="156" spans="2:60" x14ac:dyDescent="0.25">
      <c r="B156" s="2"/>
      <c r="C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row>
    <row r="157" spans="2:60" x14ac:dyDescent="0.25">
      <c r="B157" s="2"/>
      <c r="C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row>
    <row r="158" spans="2:60" x14ac:dyDescent="0.25">
      <c r="B158" s="2"/>
      <c r="C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row>
    <row r="159" spans="2:60" x14ac:dyDescent="0.25">
      <c r="B159" s="2"/>
      <c r="C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row>
    <row r="160" spans="2:60" x14ac:dyDescent="0.25">
      <c r="B160" s="2"/>
      <c r="C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row>
    <row r="161" spans="2:60" x14ac:dyDescent="0.25">
      <c r="B161" s="2"/>
      <c r="C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row>
    <row r="162" spans="2:60" x14ac:dyDescent="0.25">
      <c r="B162" s="2"/>
      <c r="C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row>
    <row r="163" spans="2:60" x14ac:dyDescent="0.25">
      <c r="B163" s="2"/>
      <c r="C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row>
    <row r="164" spans="2:60" x14ac:dyDescent="0.25">
      <c r="B164" s="2"/>
      <c r="C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row>
    <row r="165" spans="2:60" x14ac:dyDescent="0.25">
      <c r="B165" s="2"/>
      <c r="C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row>
    <row r="166" spans="2:60" x14ac:dyDescent="0.25">
      <c r="B166" s="2"/>
      <c r="C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row>
    <row r="167" spans="2:60" x14ac:dyDescent="0.25">
      <c r="B167" s="2"/>
      <c r="C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row>
    <row r="168" spans="2:60" x14ac:dyDescent="0.25">
      <c r="B168" s="2"/>
      <c r="C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row>
    <row r="169" spans="2:60" x14ac:dyDescent="0.25">
      <c r="B169" s="2"/>
      <c r="C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row>
    <row r="170" spans="2:60" x14ac:dyDescent="0.25">
      <c r="B170" s="2"/>
      <c r="C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row>
    <row r="171" spans="2:60" x14ac:dyDescent="0.25">
      <c r="B171" s="2"/>
      <c r="C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row>
    <row r="172" spans="2:60" x14ac:dyDescent="0.25">
      <c r="B172" s="2"/>
      <c r="C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row>
    <row r="173" spans="2:60" x14ac:dyDescent="0.25">
      <c r="B173" s="2"/>
      <c r="C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row>
    <row r="174" spans="2:60" x14ac:dyDescent="0.25">
      <c r="B174" s="2"/>
      <c r="C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row>
    <row r="175" spans="2:60" x14ac:dyDescent="0.25">
      <c r="B175" s="2"/>
      <c r="C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row>
    <row r="176" spans="2:60" x14ac:dyDescent="0.25">
      <c r="B176" s="2"/>
      <c r="C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row>
    <row r="177" spans="2:60" x14ac:dyDescent="0.25">
      <c r="B177" s="2"/>
      <c r="C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row>
    <row r="178" spans="2:60" x14ac:dyDescent="0.25">
      <c r="B178" s="2"/>
      <c r="C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row>
    <row r="179" spans="2:60" x14ac:dyDescent="0.25">
      <c r="B179" s="2"/>
      <c r="C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row>
    <row r="180" spans="2:60" x14ac:dyDescent="0.25">
      <c r="B180" s="2"/>
      <c r="C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row>
    <row r="181" spans="2:60" x14ac:dyDescent="0.25">
      <c r="B181" s="2"/>
      <c r="C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row>
    <row r="182" spans="2:60" x14ac:dyDescent="0.25">
      <c r="B182" s="2"/>
      <c r="C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row>
    <row r="183" spans="2:60" x14ac:dyDescent="0.25">
      <c r="B183" s="2"/>
      <c r="C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row>
    <row r="184" spans="2:60" x14ac:dyDescent="0.25">
      <c r="B184" s="2"/>
      <c r="C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row>
    <row r="185" spans="2:60" x14ac:dyDescent="0.25">
      <c r="B185" s="2"/>
      <c r="C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row>
    <row r="186" spans="2:60" x14ac:dyDescent="0.25">
      <c r="B186" s="2"/>
      <c r="C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row>
    <row r="187" spans="2:60" x14ac:dyDescent="0.25">
      <c r="B187" s="2"/>
      <c r="C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row>
    <row r="188" spans="2:60" x14ac:dyDescent="0.25">
      <c r="B188" s="2"/>
      <c r="C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row>
    <row r="189" spans="2:60" x14ac:dyDescent="0.25">
      <c r="B189" s="2"/>
      <c r="C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row>
    <row r="190" spans="2:60" x14ac:dyDescent="0.25">
      <c r="B190" s="2"/>
      <c r="C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row>
    <row r="191" spans="2:60" x14ac:dyDescent="0.25">
      <c r="B191" s="2"/>
      <c r="C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row>
    <row r="192" spans="2:60" x14ac:dyDescent="0.25">
      <c r="B192" s="2"/>
      <c r="C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row>
    <row r="193" spans="2:60" x14ac:dyDescent="0.25">
      <c r="B193" s="2"/>
      <c r="C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row>
    <row r="194" spans="2:60" x14ac:dyDescent="0.25">
      <c r="B194" s="2"/>
      <c r="C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row>
    <row r="195" spans="2:60" x14ac:dyDescent="0.25">
      <c r="B195" s="2"/>
      <c r="C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row>
    <row r="196" spans="2:60" x14ac:dyDescent="0.25">
      <c r="B196" s="2"/>
      <c r="C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row>
    <row r="197" spans="2:60" x14ac:dyDescent="0.25">
      <c r="B197" s="2"/>
      <c r="C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row>
    <row r="198" spans="2:60" x14ac:dyDescent="0.25">
      <c r="B198" s="2"/>
      <c r="C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row>
    <row r="199" spans="2:60" x14ac:dyDescent="0.25">
      <c r="B199" s="2"/>
      <c r="C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row>
    <row r="200" spans="2:60" x14ac:dyDescent="0.25">
      <c r="B200" s="2"/>
      <c r="C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row>
    <row r="201" spans="2:60" x14ac:dyDescent="0.25">
      <c r="B201" s="2"/>
      <c r="C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row>
    <row r="202" spans="2:60" x14ac:dyDescent="0.25">
      <c r="B202" s="2"/>
      <c r="C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row>
    <row r="203" spans="2:60" x14ac:dyDescent="0.25">
      <c r="B203" s="2"/>
      <c r="C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row>
    <row r="204" spans="2:60" x14ac:dyDescent="0.25">
      <c r="B204" s="2"/>
      <c r="C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row>
    <row r="205" spans="2:60" x14ac:dyDescent="0.25">
      <c r="B205" s="2"/>
      <c r="C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row>
    <row r="206" spans="2:60" x14ac:dyDescent="0.25">
      <c r="B206" s="2"/>
      <c r="C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row>
    <row r="207" spans="2:60" x14ac:dyDescent="0.25">
      <c r="B207" s="2"/>
      <c r="C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row>
    <row r="208" spans="2:60" x14ac:dyDescent="0.25">
      <c r="B208" s="2"/>
      <c r="C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row>
    <row r="209" spans="2:60" x14ac:dyDescent="0.25">
      <c r="B209" s="2"/>
      <c r="C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row>
    <row r="210" spans="2:60" x14ac:dyDescent="0.25">
      <c r="B210" s="2"/>
      <c r="C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row>
    <row r="211" spans="2:60" x14ac:dyDescent="0.25">
      <c r="B211" s="2"/>
      <c r="C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row>
    <row r="212" spans="2:60" x14ac:dyDescent="0.25">
      <c r="B212" s="2"/>
      <c r="C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row>
    <row r="213" spans="2:60" x14ac:dyDescent="0.25">
      <c r="B213" s="2"/>
      <c r="C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row>
    <row r="214" spans="2:60" x14ac:dyDescent="0.25">
      <c r="B214" s="2"/>
      <c r="C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row>
    <row r="215" spans="2:60" x14ac:dyDescent="0.25">
      <c r="B215" s="2"/>
      <c r="C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row>
    <row r="216" spans="2:60" x14ac:dyDescent="0.25">
      <c r="B216" s="2"/>
      <c r="C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row>
    <row r="217" spans="2:60" x14ac:dyDescent="0.25">
      <c r="B217" s="2"/>
      <c r="C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row>
    <row r="218" spans="2:60" x14ac:dyDescent="0.25">
      <c r="B218" s="2"/>
      <c r="C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row>
    <row r="219" spans="2:60" x14ac:dyDescent="0.25">
      <c r="B219" s="2"/>
      <c r="C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row>
    <row r="220" spans="2:60" x14ac:dyDescent="0.25">
      <c r="B220" s="2"/>
      <c r="C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row>
    <row r="221" spans="2:60" x14ac:dyDescent="0.25">
      <c r="B221" s="2"/>
      <c r="C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row>
    <row r="222" spans="2:60" x14ac:dyDescent="0.25">
      <c r="B222" s="2"/>
      <c r="C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row>
    <row r="223" spans="2:60" x14ac:dyDescent="0.25">
      <c r="B223" s="2"/>
      <c r="C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row>
    <row r="224" spans="2:60" x14ac:dyDescent="0.25">
      <c r="B224" s="2"/>
      <c r="C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row>
    <row r="225" spans="2:60" x14ac:dyDescent="0.25">
      <c r="B225" s="2"/>
      <c r="C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row>
    <row r="226" spans="2:60" x14ac:dyDescent="0.25">
      <c r="B226" s="2"/>
      <c r="C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row>
    <row r="227" spans="2:60" x14ac:dyDescent="0.25">
      <c r="B227" s="2"/>
      <c r="C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row>
    <row r="228" spans="2:60" x14ac:dyDescent="0.25">
      <c r="B228" s="2"/>
      <c r="C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row>
    <row r="229" spans="2:60" x14ac:dyDescent="0.25">
      <c r="B229" s="2"/>
      <c r="C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row>
    <row r="230" spans="2:60" x14ac:dyDescent="0.25">
      <c r="B230" s="2"/>
      <c r="C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row>
    <row r="231" spans="2:60" x14ac:dyDescent="0.25">
      <c r="B231" s="2"/>
      <c r="C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row>
    <row r="232" spans="2:60" x14ac:dyDescent="0.25">
      <c r="B232" s="2"/>
      <c r="C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row>
    <row r="233" spans="2:60" x14ac:dyDescent="0.25">
      <c r="B233" s="2"/>
      <c r="C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row>
    <row r="234" spans="2:60" x14ac:dyDescent="0.25">
      <c r="B234" s="2"/>
      <c r="C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row>
    <row r="235" spans="2:60" x14ac:dyDescent="0.25">
      <c r="B235" s="2"/>
      <c r="C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row>
    <row r="236" spans="2:60" x14ac:dyDescent="0.25">
      <c r="B236" s="2"/>
      <c r="C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row>
    <row r="237" spans="2:60" x14ac:dyDescent="0.25">
      <c r="B237" s="2"/>
      <c r="C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row>
    <row r="238" spans="2:60" x14ac:dyDescent="0.25">
      <c r="B238" s="2"/>
      <c r="C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row>
    <row r="239" spans="2:60" x14ac:dyDescent="0.25">
      <c r="B239" s="2"/>
      <c r="C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row>
    <row r="240" spans="2:60" x14ac:dyDescent="0.25">
      <c r="B240" s="2"/>
      <c r="C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row>
    <row r="241" spans="2:60" x14ac:dyDescent="0.25">
      <c r="B241" s="2"/>
      <c r="C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row>
    <row r="242" spans="2:60" x14ac:dyDescent="0.25">
      <c r="B242" s="2"/>
      <c r="C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row>
    <row r="243" spans="2:60" x14ac:dyDescent="0.25">
      <c r="B243" s="2"/>
      <c r="C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row>
    <row r="244" spans="2:60" x14ac:dyDescent="0.25">
      <c r="B244" s="2"/>
      <c r="C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row>
    <row r="245" spans="2:60" x14ac:dyDescent="0.25">
      <c r="B245" s="2"/>
      <c r="C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row>
    <row r="246" spans="2:60" x14ac:dyDescent="0.25">
      <c r="B246" s="2"/>
      <c r="C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row>
    <row r="247" spans="2:60" x14ac:dyDescent="0.25">
      <c r="B247" s="2"/>
      <c r="C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row>
    <row r="248" spans="2:60" x14ac:dyDescent="0.25">
      <c r="B248" s="2"/>
      <c r="C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row>
    <row r="249" spans="2:60" x14ac:dyDescent="0.25">
      <c r="B249" s="2"/>
      <c r="C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row>
    <row r="250" spans="2:60" x14ac:dyDescent="0.25">
      <c r="B250" s="2"/>
      <c r="C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row>
    <row r="251" spans="2:60" x14ac:dyDescent="0.25">
      <c r="B251" s="2"/>
      <c r="C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row>
    <row r="252" spans="2:60" x14ac:dyDescent="0.25">
      <c r="B252" s="2"/>
      <c r="C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row>
    <row r="253" spans="2:60" x14ac:dyDescent="0.25">
      <c r="B253" s="2"/>
      <c r="C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row>
    <row r="254" spans="2:60" x14ac:dyDescent="0.25">
      <c r="B254" s="2"/>
      <c r="C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row>
    <row r="255" spans="2:60" x14ac:dyDescent="0.25">
      <c r="B255" s="2"/>
      <c r="C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row>
    <row r="256" spans="2:60" x14ac:dyDescent="0.25">
      <c r="B256" s="2"/>
      <c r="C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row>
    <row r="257" spans="2:60" x14ac:dyDescent="0.25">
      <c r="B257" s="2"/>
      <c r="C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row>
    <row r="258" spans="2:60" x14ac:dyDescent="0.25">
      <c r="B258" s="2"/>
      <c r="C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row>
    <row r="259" spans="2:60" x14ac:dyDescent="0.25">
      <c r="B259" s="2"/>
      <c r="C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row>
    <row r="260" spans="2:60" x14ac:dyDescent="0.25">
      <c r="B260" s="2"/>
      <c r="C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row>
    <row r="261" spans="2:60" x14ac:dyDescent="0.25">
      <c r="B261" s="2"/>
      <c r="C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row>
    <row r="262" spans="2:60" x14ac:dyDescent="0.25">
      <c r="B262" s="2"/>
      <c r="C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row>
    <row r="263" spans="2:60" x14ac:dyDescent="0.25">
      <c r="B263" s="2"/>
      <c r="C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row>
    <row r="264" spans="2:60" x14ac:dyDescent="0.25">
      <c r="B264" s="2"/>
      <c r="C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row>
    <row r="265" spans="2:60" x14ac:dyDescent="0.25">
      <c r="B265" s="2"/>
      <c r="C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row>
    <row r="266" spans="2:60" x14ac:dyDescent="0.25">
      <c r="B266" s="2"/>
      <c r="C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row>
    <row r="267" spans="2:60" x14ac:dyDescent="0.25">
      <c r="B267" s="2"/>
      <c r="C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row>
    <row r="268" spans="2:60" x14ac:dyDescent="0.25">
      <c r="B268" s="2"/>
      <c r="C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row>
    <row r="269" spans="2:60" x14ac:dyDescent="0.25">
      <c r="B269" s="2"/>
      <c r="C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row>
    <row r="270" spans="2:60" x14ac:dyDescent="0.25">
      <c r="B270" s="2"/>
      <c r="C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row>
    <row r="271" spans="2:60" x14ac:dyDescent="0.25">
      <c r="B271" s="2"/>
      <c r="C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row>
    <row r="272" spans="2:60" x14ac:dyDescent="0.25">
      <c r="B272" s="2"/>
      <c r="C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row>
    <row r="273" spans="2:60" x14ac:dyDescent="0.25">
      <c r="B273" s="2"/>
      <c r="C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row>
    <row r="274" spans="2:60" x14ac:dyDescent="0.25">
      <c r="B274" s="2"/>
      <c r="C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row>
    <row r="275" spans="2:60" x14ac:dyDescent="0.25">
      <c r="B275" s="2"/>
      <c r="C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row>
    <row r="276" spans="2:60" x14ac:dyDescent="0.25">
      <c r="B276" s="2"/>
      <c r="C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row>
    <row r="277" spans="2:60" x14ac:dyDescent="0.25">
      <c r="B277" s="2"/>
      <c r="C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row>
    <row r="278" spans="2:60" x14ac:dyDescent="0.25">
      <c r="B278" s="2"/>
      <c r="C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row>
    <row r="279" spans="2:60" x14ac:dyDescent="0.25">
      <c r="B279" s="2"/>
      <c r="C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row>
    <row r="280" spans="2:60" x14ac:dyDescent="0.25">
      <c r="B280" s="2"/>
      <c r="C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row>
    <row r="281" spans="2:60" x14ac:dyDescent="0.25">
      <c r="B281" s="2"/>
      <c r="C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row>
    <row r="282" spans="2:60" x14ac:dyDescent="0.25">
      <c r="B282" s="2"/>
      <c r="C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row>
    <row r="283" spans="2:60" x14ac:dyDescent="0.25">
      <c r="B283" s="2"/>
      <c r="C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row>
    <row r="284" spans="2:60" x14ac:dyDescent="0.25">
      <c r="B284" s="2"/>
      <c r="C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row>
    <row r="285" spans="2:60" x14ac:dyDescent="0.25">
      <c r="B285" s="2"/>
      <c r="C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row>
    <row r="286" spans="2:60" x14ac:dyDescent="0.25">
      <c r="B286" s="2"/>
      <c r="C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row>
    <row r="287" spans="2:60" x14ac:dyDescent="0.25">
      <c r="B287" s="2"/>
      <c r="C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row>
    <row r="288" spans="2:60" x14ac:dyDescent="0.25">
      <c r="B288" s="2"/>
      <c r="C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row>
    <row r="289" spans="2:60" x14ac:dyDescent="0.25">
      <c r="B289" s="2"/>
      <c r="C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row>
    <row r="290" spans="2:60" x14ac:dyDescent="0.25">
      <c r="B290" s="2"/>
      <c r="C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row>
    <row r="291" spans="2:60" x14ac:dyDescent="0.25">
      <c r="B291" s="2"/>
      <c r="C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row>
    <row r="292" spans="2:60" x14ac:dyDescent="0.25">
      <c r="B292" s="2"/>
      <c r="C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row>
    <row r="293" spans="2:60" x14ac:dyDescent="0.25">
      <c r="B293" s="2"/>
      <c r="C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row>
    <row r="294" spans="2:60" x14ac:dyDescent="0.25">
      <c r="B294" s="2"/>
      <c r="C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row>
    <row r="295" spans="2:60" x14ac:dyDescent="0.25">
      <c r="B295" s="2"/>
      <c r="C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row>
    <row r="296" spans="2:60" x14ac:dyDescent="0.25">
      <c r="B296" s="2"/>
      <c r="C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row>
    <row r="297" spans="2:60" x14ac:dyDescent="0.25">
      <c r="B297" s="2"/>
      <c r="C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row>
    <row r="298" spans="2:60" x14ac:dyDescent="0.25">
      <c r="B298" s="2"/>
      <c r="C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row>
    <row r="299" spans="2:60" x14ac:dyDescent="0.25">
      <c r="B299" s="2"/>
      <c r="C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row>
    <row r="300" spans="2:60" x14ac:dyDescent="0.25">
      <c r="B300" s="2"/>
      <c r="C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row>
    <row r="301" spans="2:60" x14ac:dyDescent="0.25">
      <c r="B301" s="2"/>
      <c r="C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row>
    <row r="302" spans="2:60" x14ac:dyDescent="0.25">
      <c r="B302" s="2"/>
      <c r="C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row>
    <row r="303" spans="2:60" x14ac:dyDescent="0.25">
      <c r="B303" s="2"/>
      <c r="C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row>
    <row r="304" spans="2:60" x14ac:dyDescent="0.25">
      <c r="B304" s="2"/>
      <c r="C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row>
    <row r="305" spans="2:60" x14ac:dyDescent="0.25">
      <c r="B305" s="2"/>
      <c r="C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row>
    <row r="306" spans="2:60" x14ac:dyDescent="0.25">
      <c r="B306" s="2"/>
      <c r="C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row>
    <row r="307" spans="2:60" x14ac:dyDescent="0.25">
      <c r="B307" s="2"/>
      <c r="C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row>
    <row r="308" spans="2:60" x14ac:dyDescent="0.25">
      <c r="B308" s="2"/>
      <c r="C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row>
    <row r="309" spans="2:60" x14ac:dyDescent="0.25">
      <c r="B309" s="2"/>
      <c r="C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row>
    <row r="310" spans="2:60" x14ac:dyDescent="0.25">
      <c r="B310" s="2"/>
      <c r="C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row>
    <row r="311" spans="2:60" x14ac:dyDescent="0.25">
      <c r="B311" s="2"/>
      <c r="C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row>
    <row r="312" spans="2:60" x14ac:dyDescent="0.25">
      <c r="B312" s="2"/>
      <c r="C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row>
    <row r="313" spans="2:60" x14ac:dyDescent="0.25">
      <c r="B313" s="2"/>
      <c r="C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row>
    <row r="314" spans="2:60" x14ac:dyDescent="0.25">
      <c r="B314" s="2"/>
      <c r="C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row>
    <row r="315" spans="2:60" x14ac:dyDescent="0.25">
      <c r="B315" s="2"/>
      <c r="C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row>
    <row r="316" spans="2:60" x14ac:dyDescent="0.25">
      <c r="B316" s="2"/>
      <c r="C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row>
    <row r="317" spans="2:60" x14ac:dyDescent="0.25">
      <c r="B317" s="2"/>
      <c r="C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row>
    <row r="318" spans="2:60" x14ac:dyDescent="0.25">
      <c r="B318" s="2"/>
      <c r="C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row>
    <row r="319" spans="2:60" x14ac:dyDescent="0.25">
      <c r="B319" s="2"/>
      <c r="C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row>
    <row r="320" spans="2:60" x14ac:dyDescent="0.25">
      <c r="B320" s="2"/>
      <c r="C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row>
    <row r="321" spans="2:60" x14ac:dyDescent="0.25">
      <c r="B321" s="2"/>
      <c r="C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row>
    <row r="322" spans="2:60" x14ac:dyDescent="0.25">
      <c r="B322" s="2"/>
      <c r="C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row>
    <row r="323" spans="2:60" x14ac:dyDescent="0.25">
      <c r="B323" s="2"/>
      <c r="C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row>
    <row r="324" spans="2:60" x14ac:dyDescent="0.25">
      <c r="B324" s="2"/>
      <c r="C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row>
    <row r="325" spans="2:60" x14ac:dyDescent="0.25">
      <c r="B325" s="2"/>
      <c r="C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row>
    <row r="326" spans="2:60" x14ac:dyDescent="0.25">
      <c r="B326" s="2"/>
      <c r="C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row>
    <row r="327" spans="2:60" x14ac:dyDescent="0.25">
      <c r="B327" s="2"/>
      <c r="C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row>
    <row r="328" spans="2:60" x14ac:dyDescent="0.25">
      <c r="B328" s="2"/>
      <c r="C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row>
    <row r="329" spans="2:60" x14ac:dyDescent="0.25">
      <c r="B329" s="2"/>
      <c r="C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row>
    <row r="330" spans="2:60" x14ac:dyDescent="0.25">
      <c r="B330" s="2"/>
      <c r="C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row>
    <row r="331" spans="2:60" x14ac:dyDescent="0.25">
      <c r="B331" s="2"/>
      <c r="C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row>
    <row r="332" spans="2:60" x14ac:dyDescent="0.25">
      <c r="B332" s="2"/>
      <c r="C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row>
    <row r="333" spans="2:60" x14ac:dyDescent="0.25">
      <c r="B333" s="2"/>
      <c r="C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row>
    <row r="334" spans="2:60" x14ac:dyDescent="0.25">
      <c r="B334" s="2"/>
      <c r="C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row>
    <row r="335" spans="2:60" x14ac:dyDescent="0.25">
      <c r="B335" s="2"/>
      <c r="C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row>
    <row r="336" spans="2:60" x14ac:dyDescent="0.25">
      <c r="B336" s="2"/>
      <c r="C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row>
    <row r="337" spans="2:60" x14ac:dyDescent="0.25">
      <c r="B337" s="2"/>
      <c r="C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row>
    <row r="338" spans="2:60" x14ac:dyDescent="0.25">
      <c r="B338" s="2"/>
      <c r="C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row>
    <row r="339" spans="2:60" x14ac:dyDescent="0.25">
      <c r="B339" s="2"/>
      <c r="C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row>
    <row r="340" spans="2:60" x14ac:dyDescent="0.25">
      <c r="B340" s="2"/>
      <c r="C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row>
    <row r="341" spans="2:60" x14ac:dyDescent="0.25">
      <c r="B341" s="2"/>
      <c r="C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row>
    <row r="342" spans="2:60" x14ac:dyDescent="0.25">
      <c r="B342" s="2"/>
      <c r="C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row>
    <row r="343" spans="2:60" x14ac:dyDescent="0.25">
      <c r="B343" s="2"/>
      <c r="C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row>
    <row r="344" spans="2:60" x14ac:dyDescent="0.25">
      <c r="B344" s="2"/>
      <c r="C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row>
    <row r="345" spans="2:60" x14ac:dyDescent="0.25">
      <c r="B345" s="2"/>
      <c r="C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row>
    <row r="346" spans="2:60" x14ac:dyDescent="0.25">
      <c r="B346" s="2"/>
      <c r="C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row>
    <row r="347" spans="2:60" x14ac:dyDescent="0.25">
      <c r="B347" s="2"/>
      <c r="C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row>
    <row r="348" spans="2:60" x14ac:dyDescent="0.25">
      <c r="B348" s="2"/>
      <c r="C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row>
    <row r="349" spans="2:60" x14ac:dyDescent="0.25">
      <c r="B349" s="2"/>
      <c r="C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row>
    <row r="350" spans="2:60" x14ac:dyDescent="0.25">
      <c r="B350" s="2"/>
      <c r="C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row>
    <row r="351" spans="2:60" x14ac:dyDescent="0.25">
      <c r="B351" s="2"/>
      <c r="C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row>
    <row r="352" spans="2:60" x14ac:dyDescent="0.25">
      <c r="B352" s="2"/>
      <c r="C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row>
    <row r="353" spans="2:60" x14ac:dyDescent="0.25">
      <c r="B353" s="2"/>
      <c r="C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row>
    <row r="354" spans="2:60" x14ac:dyDescent="0.25">
      <c r="B354" s="2"/>
      <c r="C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row>
    <row r="355" spans="2:60" x14ac:dyDescent="0.25">
      <c r="B355" s="2"/>
      <c r="C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row>
    <row r="356" spans="2:60" x14ac:dyDescent="0.25">
      <c r="B356" s="2"/>
      <c r="C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row>
    <row r="357" spans="2:60" x14ac:dyDescent="0.25">
      <c r="B357" s="2"/>
      <c r="C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row>
    <row r="358" spans="2:60" x14ac:dyDescent="0.25">
      <c r="B358" s="2"/>
      <c r="C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row>
    <row r="359" spans="2:60" x14ac:dyDescent="0.25">
      <c r="B359" s="2"/>
      <c r="C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row>
    <row r="360" spans="2:60" x14ac:dyDescent="0.25">
      <c r="B360" s="2"/>
      <c r="C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row>
    <row r="361" spans="2:60" x14ac:dyDescent="0.25">
      <c r="B361" s="2"/>
      <c r="C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row>
    <row r="362" spans="2:60" x14ac:dyDescent="0.25">
      <c r="B362" s="2"/>
      <c r="C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row>
    <row r="363" spans="2:60" x14ac:dyDescent="0.25">
      <c r="B363" s="2"/>
      <c r="C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row>
    <row r="364" spans="2:60" x14ac:dyDescent="0.25">
      <c r="B364" s="2"/>
      <c r="C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row>
    <row r="365" spans="2:60" x14ac:dyDescent="0.25">
      <c r="B365" s="2"/>
      <c r="C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row>
    <row r="366" spans="2:60" x14ac:dyDescent="0.25">
      <c r="B366" s="2"/>
      <c r="C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row>
    <row r="367" spans="2:60" x14ac:dyDescent="0.25">
      <c r="B367" s="2"/>
      <c r="C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row>
    <row r="368" spans="2:60" x14ac:dyDescent="0.25">
      <c r="B368" s="2"/>
      <c r="C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row>
    <row r="369" spans="2:60" x14ac:dyDescent="0.25">
      <c r="B369" s="2"/>
      <c r="C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row>
    <row r="370" spans="2:60" x14ac:dyDescent="0.25">
      <c r="B370" s="2"/>
      <c r="C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row>
    <row r="371" spans="2:60" x14ac:dyDescent="0.25">
      <c r="B371" s="2"/>
      <c r="C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row>
    <row r="372" spans="2:60" x14ac:dyDescent="0.25">
      <c r="B372" s="2"/>
      <c r="C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row>
    <row r="373" spans="2:60" x14ac:dyDescent="0.25">
      <c r="B373" s="2"/>
      <c r="C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row>
    <row r="374" spans="2:60" x14ac:dyDescent="0.25">
      <c r="B374" s="2"/>
      <c r="C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row>
    <row r="375" spans="2:60" x14ac:dyDescent="0.25">
      <c r="B375" s="2"/>
      <c r="C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row>
    <row r="376" spans="2:60" x14ac:dyDescent="0.25">
      <c r="B376" s="2"/>
      <c r="C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row>
    <row r="377" spans="2:60" x14ac:dyDescent="0.25">
      <c r="B377" s="2"/>
      <c r="C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row>
    <row r="378" spans="2:60" x14ac:dyDescent="0.25">
      <c r="B378" s="2"/>
      <c r="C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row>
    <row r="379" spans="2:60" x14ac:dyDescent="0.25">
      <c r="B379" s="2"/>
      <c r="C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row>
    <row r="380" spans="2:60" x14ac:dyDescent="0.25">
      <c r="B380" s="2"/>
      <c r="C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row>
    <row r="381" spans="2:60" x14ac:dyDescent="0.25">
      <c r="B381" s="2"/>
      <c r="C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row>
    <row r="382" spans="2:60" x14ac:dyDescent="0.25">
      <c r="B382" s="2"/>
      <c r="C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row>
    <row r="383" spans="2:60" x14ac:dyDescent="0.25">
      <c r="B383" s="2"/>
      <c r="C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row>
    <row r="384" spans="2:60" x14ac:dyDescent="0.25">
      <c r="B384" s="2"/>
      <c r="C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row>
    <row r="385" spans="2:60" x14ac:dyDescent="0.25">
      <c r="B385" s="2"/>
      <c r="C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row>
    <row r="386" spans="2:60" x14ac:dyDescent="0.25">
      <c r="B386" s="2"/>
      <c r="C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row>
    <row r="387" spans="2:60" x14ac:dyDescent="0.25">
      <c r="B387" s="2"/>
      <c r="C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row>
    <row r="388" spans="2:60" x14ac:dyDescent="0.25">
      <c r="B388" s="2"/>
      <c r="C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row>
    <row r="389" spans="2:60" x14ac:dyDescent="0.25">
      <c r="B389" s="2"/>
      <c r="C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row>
    <row r="390" spans="2:60" x14ac:dyDescent="0.25">
      <c r="B390" s="2"/>
      <c r="C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row>
    <row r="391" spans="2:60" x14ac:dyDescent="0.25">
      <c r="B391" s="2"/>
      <c r="C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row>
    <row r="392" spans="2:60" x14ac:dyDescent="0.25">
      <c r="B392" s="2"/>
      <c r="C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row>
    <row r="393" spans="2:60" x14ac:dyDescent="0.25">
      <c r="B393" s="2"/>
      <c r="C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row>
    <row r="394" spans="2:60" x14ac:dyDescent="0.25">
      <c r="B394" s="2"/>
      <c r="C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row>
    <row r="395" spans="2:60" x14ac:dyDescent="0.25">
      <c r="B395" s="2"/>
      <c r="C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row>
    <row r="396" spans="2:60" x14ac:dyDescent="0.25">
      <c r="B396" s="2"/>
      <c r="C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row>
    <row r="397" spans="2:60" x14ac:dyDescent="0.25">
      <c r="B397" s="2"/>
      <c r="C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row>
    <row r="398" spans="2:60" x14ac:dyDescent="0.25">
      <c r="B398" s="2"/>
      <c r="C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row>
    <row r="399" spans="2:60" x14ac:dyDescent="0.25">
      <c r="B399" s="2"/>
      <c r="C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row>
    <row r="400" spans="2:60" x14ac:dyDescent="0.25">
      <c r="B400" s="2"/>
      <c r="C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row>
    <row r="401" spans="2:60" x14ac:dyDescent="0.25">
      <c r="B401" s="2"/>
      <c r="C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row>
    <row r="402" spans="2:60" x14ac:dyDescent="0.25">
      <c r="B402" s="2"/>
      <c r="C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row>
    <row r="403" spans="2:60" x14ac:dyDescent="0.25">
      <c r="B403" s="2"/>
      <c r="C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row>
    <row r="404" spans="2:60" x14ac:dyDescent="0.25">
      <c r="B404" s="2"/>
      <c r="C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row>
    <row r="405" spans="2:60" x14ac:dyDescent="0.25">
      <c r="B405" s="2"/>
      <c r="C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row>
    <row r="406" spans="2:60" x14ac:dyDescent="0.25">
      <c r="B406" s="2"/>
      <c r="C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row>
    <row r="407" spans="2:60" x14ac:dyDescent="0.25">
      <c r="B407" s="2"/>
      <c r="C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row>
    <row r="408" spans="2:60" x14ac:dyDescent="0.25">
      <c r="B408" s="2"/>
      <c r="C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row>
    <row r="409" spans="2:60" x14ac:dyDescent="0.25">
      <c r="B409" s="2"/>
      <c r="C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row>
    <row r="410" spans="2:60" x14ac:dyDescent="0.25">
      <c r="B410" s="2"/>
      <c r="C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row>
    <row r="411" spans="2:60" x14ac:dyDescent="0.25">
      <c r="B411" s="2"/>
      <c r="C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row>
    <row r="412" spans="2:60" x14ac:dyDescent="0.25">
      <c r="B412" s="2"/>
      <c r="C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row>
    <row r="413" spans="2:60" x14ac:dyDescent="0.25">
      <c r="B413" s="2"/>
      <c r="C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row>
    <row r="414" spans="2:60" x14ac:dyDescent="0.25">
      <c r="B414" s="2"/>
      <c r="C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row>
    <row r="415" spans="2:60" x14ac:dyDescent="0.25">
      <c r="B415" s="2"/>
      <c r="C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row>
    <row r="416" spans="2:60" x14ac:dyDescent="0.25">
      <c r="B416" s="2"/>
      <c r="C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row>
    <row r="417" spans="2:60" x14ac:dyDescent="0.25">
      <c r="B417" s="2"/>
      <c r="C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row>
    <row r="418" spans="2:60" x14ac:dyDescent="0.25">
      <c r="B418" s="2"/>
      <c r="C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row>
    <row r="419" spans="2:60" x14ac:dyDescent="0.25">
      <c r="B419" s="2"/>
      <c r="C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row>
    <row r="420" spans="2:60" x14ac:dyDescent="0.25">
      <c r="B420" s="2"/>
      <c r="C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row>
    <row r="421" spans="2:60" x14ac:dyDescent="0.25">
      <c r="B421" s="2"/>
      <c r="C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row>
    <row r="422" spans="2:60" x14ac:dyDescent="0.25">
      <c r="B422" s="2"/>
      <c r="C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row>
    <row r="423" spans="2:60" x14ac:dyDescent="0.25">
      <c r="B423" s="2"/>
      <c r="C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row>
    <row r="424" spans="2:60" x14ac:dyDescent="0.25">
      <c r="B424" s="2"/>
      <c r="C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row>
    <row r="425" spans="2:60" x14ac:dyDescent="0.25">
      <c r="B425" s="2"/>
      <c r="C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row>
    <row r="426" spans="2:60" x14ac:dyDescent="0.25">
      <c r="B426" s="2"/>
      <c r="C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row>
    <row r="427" spans="2:60" x14ac:dyDescent="0.25">
      <c r="B427" s="2"/>
      <c r="C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row>
    <row r="428" spans="2:60" x14ac:dyDescent="0.25">
      <c r="B428" s="2"/>
      <c r="C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row>
    <row r="429" spans="2:60" x14ac:dyDescent="0.25">
      <c r="B429" s="2"/>
      <c r="C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row>
    <row r="430" spans="2:60" x14ac:dyDescent="0.25">
      <c r="B430" s="2"/>
      <c r="C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row>
    <row r="431" spans="2:60" x14ac:dyDescent="0.25">
      <c r="B431" s="2"/>
      <c r="C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row>
    <row r="432" spans="2:60" x14ac:dyDescent="0.25">
      <c r="B432" s="2"/>
      <c r="C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row>
    <row r="433" spans="2:60" x14ac:dyDescent="0.25">
      <c r="B433" s="2"/>
      <c r="C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row>
    <row r="434" spans="2:60" x14ac:dyDescent="0.25">
      <c r="B434" s="2"/>
      <c r="C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row>
    <row r="435" spans="2:60" x14ac:dyDescent="0.25">
      <c r="B435" s="2"/>
      <c r="C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row>
    <row r="436" spans="2:60" x14ac:dyDescent="0.25">
      <c r="B436" s="2"/>
      <c r="C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row>
    <row r="437" spans="2:60" x14ac:dyDescent="0.25">
      <c r="B437" s="2"/>
      <c r="C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row>
    <row r="438" spans="2:60" x14ac:dyDescent="0.25">
      <c r="B438" s="2"/>
      <c r="C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row>
    <row r="439" spans="2:60" x14ac:dyDescent="0.25">
      <c r="B439" s="2"/>
      <c r="C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row>
    <row r="440" spans="2:60" x14ac:dyDescent="0.25">
      <c r="B440" s="2"/>
      <c r="C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row>
    <row r="441" spans="2:60" x14ac:dyDescent="0.25">
      <c r="B441" s="2"/>
      <c r="C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row>
    <row r="442" spans="2:60" x14ac:dyDescent="0.25">
      <c r="B442" s="2"/>
      <c r="C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row>
    <row r="443" spans="2:60" x14ac:dyDescent="0.25">
      <c r="B443" s="2"/>
      <c r="C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row>
    <row r="444" spans="2:60" x14ac:dyDescent="0.25">
      <c r="B444" s="2"/>
      <c r="C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row>
    <row r="445" spans="2:60" x14ac:dyDescent="0.25">
      <c r="B445" s="2"/>
      <c r="C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row>
    <row r="446" spans="2:60" x14ac:dyDescent="0.25">
      <c r="B446" s="2"/>
      <c r="C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row>
    <row r="447" spans="2:60" x14ac:dyDescent="0.25">
      <c r="B447" s="2"/>
      <c r="C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row>
    <row r="448" spans="2:60" x14ac:dyDescent="0.25">
      <c r="B448" s="2"/>
      <c r="C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row>
    <row r="449" spans="2:60" x14ac:dyDescent="0.25">
      <c r="B449" s="2"/>
      <c r="C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row>
    <row r="450" spans="2:60" x14ac:dyDescent="0.25">
      <c r="B450" s="2"/>
      <c r="C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row>
    <row r="451" spans="2:60" x14ac:dyDescent="0.25">
      <c r="B451" s="2"/>
      <c r="C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row>
    <row r="452" spans="2:60" x14ac:dyDescent="0.25">
      <c r="B452" s="2"/>
      <c r="C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row>
    <row r="453" spans="2:60" x14ac:dyDescent="0.25">
      <c r="B453" s="2"/>
      <c r="C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row>
    <row r="454" spans="2:60" x14ac:dyDescent="0.25">
      <c r="B454" s="2"/>
      <c r="C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row>
    <row r="455" spans="2:60" x14ac:dyDescent="0.25">
      <c r="B455" s="2"/>
      <c r="C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row>
    <row r="456" spans="2:60" x14ac:dyDescent="0.25">
      <c r="B456" s="2"/>
      <c r="C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row>
    <row r="457" spans="2:60" x14ac:dyDescent="0.25">
      <c r="B457" s="2"/>
      <c r="C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row>
    <row r="458" spans="2:60" x14ac:dyDescent="0.25">
      <c r="B458" s="2"/>
      <c r="C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row>
    <row r="459" spans="2:60" x14ac:dyDescent="0.25">
      <c r="B459" s="2"/>
      <c r="C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row>
    <row r="460" spans="2:60" x14ac:dyDescent="0.25">
      <c r="B460" s="2"/>
      <c r="C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row>
    <row r="461" spans="2:60" x14ac:dyDescent="0.25">
      <c r="B461" s="2"/>
      <c r="C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row>
    <row r="462" spans="2:60" x14ac:dyDescent="0.25">
      <c r="B462" s="2"/>
      <c r="C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row>
    <row r="463" spans="2:60" x14ac:dyDescent="0.25">
      <c r="B463" s="2"/>
      <c r="C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row>
    <row r="464" spans="2:60" x14ac:dyDescent="0.25">
      <c r="B464" s="2"/>
      <c r="C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row>
    <row r="465" spans="2:60" x14ac:dyDescent="0.25">
      <c r="B465" s="2"/>
      <c r="C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row>
    <row r="466" spans="2:60" x14ac:dyDescent="0.25">
      <c r="B466" s="2"/>
      <c r="C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row>
    <row r="467" spans="2:60" x14ac:dyDescent="0.25">
      <c r="B467" s="2"/>
      <c r="C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row>
    <row r="468" spans="2:60" x14ac:dyDescent="0.25">
      <c r="B468" s="2"/>
      <c r="C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row>
    <row r="469" spans="2:60" x14ac:dyDescent="0.25">
      <c r="B469" s="2"/>
      <c r="C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row>
    <row r="470" spans="2:60" x14ac:dyDescent="0.25">
      <c r="B470" s="2"/>
      <c r="C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row>
    <row r="471" spans="2:60" x14ac:dyDescent="0.25">
      <c r="B471" s="2"/>
      <c r="C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row>
    <row r="472" spans="2:60" x14ac:dyDescent="0.25">
      <c r="B472" s="2"/>
      <c r="C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row>
    <row r="473" spans="2:60" x14ac:dyDescent="0.25">
      <c r="B473" s="2"/>
      <c r="C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row>
    <row r="474" spans="2:60" x14ac:dyDescent="0.25">
      <c r="B474" s="2"/>
      <c r="C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row>
    <row r="475" spans="2:60" x14ac:dyDescent="0.25">
      <c r="B475" s="2"/>
      <c r="C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row>
    <row r="476" spans="2:60" x14ac:dyDescent="0.25">
      <c r="B476" s="2"/>
      <c r="C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row>
    <row r="477" spans="2:60" x14ac:dyDescent="0.25">
      <c r="B477" s="2"/>
      <c r="C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row>
    <row r="478" spans="2:60" x14ac:dyDescent="0.25">
      <c r="B478" s="2"/>
      <c r="C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row>
    <row r="479" spans="2:60" x14ac:dyDescent="0.25">
      <c r="B479" s="2"/>
      <c r="C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row>
    <row r="480" spans="2:60" x14ac:dyDescent="0.25">
      <c r="B480" s="2"/>
      <c r="C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row>
    <row r="481" spans="2:60" x14ac:dyDescent="0.25">
      <c r="B481" s="2"/>
      <c r="C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row>
    <row r="482" spans="2:60" x14ac:dyDescent="0.25">
      <c r="B482" s="2"/>
      <c r="C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row>
    <row r="483" spans="2:60" x14ac:dyDescent="0.25">
      <c r="B483" s="2"/>
      <c r="C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row>
    <row r="484" spans="2:60" x14ac:dyDescent="0.25">
      <c r="B484" s="2"/>
      <c r="C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row>
    <row r="485" spans="2:60" x14ac:dyDescent="0.25">
      <c r="B485" s="2"/>
      <c r="C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row>
    <row r="486" spans="2:60" x14ac:dyDescent="0.25">
      <c r="B486" s="2"/>
      <c r="C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row>
    <row r="487" spans="2:60" x14ac:dyDescent="0.25">
      <c r="B487" s="2"/>
      <c r="C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row>
    <row r="488" spans="2:60" x14ac:dyDescent="0.25">
      <c r="B488" s="2"/>
      <c r="C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row>
    <row r="489" spans="2:60" x14ac:dyDescent="0.25">
      <c r="B489" s="2"/>
      <c r="C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row>
    <row r="490" spans="2:60" x14ac:dyDescent="0.25">
      <c r="B490" s="2"/>
      <c r="C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row>
    <row r="491" spans="2:60" x14ac:dyDescent="0.25">
      <c r="B491" s="2"/>
      <c r="C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row>
    <row r="492" spans="2:60" x14ac:dyDescent="0.25">
      <c r="B492" s="2"/>
      <c r="C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row>
    <row r="493" spans="2:60" x14ac:dyDescent="0.25">
      <c r="B493" s="2"/>
      <c r="C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row>
    <row r="494" spans="2:60" x14ac:dyDescent="0.25">
      <c r="B494" s="2"/>
      <c r="C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row>
    <row r="495" spans="2:60" x14ac:dyDescent="0.25">
      <c r="B495" s="2"/>
      <c r="C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row>
    <row r="496" spans="2:60" x14ac:dyDescent="0.25">
      <c r="B496" s="2"/>
      <c r="C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row>
    <row r="497" spans="2:60" x14ac:dyDescent="0.25">
      <c r="B497" s="2"/>
      <c r="C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row>
    <row r="498" spans="2:60" x14ac:dyDescent="0.25">
      <c r="B498" s="2"/>
      <c r="C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row>
    <row r="499" spans="2:60" x14ac:dyDescent="0.25">
      <c r="B499" s="2"/>
      <c r="C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row>
    <row r="500" spans="2:60" x14ac:dyDescent="0.25">
      <c r="B500" s="2"/>
      <c r="C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row>
    <row r="501" spans="2:60" x14ac:dyDescent="0.25">
      <c r="B501" s="2"/>
      <c r="C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row>
    <row r="502" spans="2:60" x14ac:dyDescent="0.25">
      <c r="B502" s="2"/>
      <c r="C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row>
    <row r="503" spans="2:60" x14ac:dyDescent="0.25">
      <c r="B503" s="2"/>
      <c r="C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row>
    <row r="504" spans="2:60" x14ac:dyDescent="0.25">
      <c r="B504" s="2"/>
      <c r="C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row>
    <row r="505" spans="2:60" x14ac:dyDescent="0.25">
      <c r="B505" s="2"/>
      <c r="C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row>
    <row r="506" spans="2:60" x14ac:dyDescent="0.25">
      <c r="B506" s="2"/>
      <c r="C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row>
    <row r="507" spans="2:60" x14ac:dyDescent="0.25">
      <c r="B507" s="2"/>
      <c r="C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row>
    <row r="508" spans="2:60" x14ac:dyDescent="0.25">
      <c r="B508" s="2"/>
      <c r="C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row>
    <row r="509" spans="2:60" x14ac:dyDescent="0.25">
      <c r="B509" s="2"/>
      <c r="C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row>
    <row r="510" spans="2:60" x14ac:dyDescent="0.25">
      <c r="B510" s="2"/>
      <c r="C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row>
    <row r="511" spans="2:60" x14ac:dyDescent="0.25">
      <c r="B511" s="2"/>
      <c r="C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row>
    <row r="512" spans="2:60" x14ac:dyDescent="0.25">
      <c r="B512" s="2"/>
      <c r="C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row>
    <row r="513" spans="2:60" x14ac:dyDescent="0.25">
      <c r="B513" s="2"/>
      <c r="C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row>
    <row r="514" spans="2:60" x14ac:dyDescent="0.25">
      <c r="B514" s="2"/>
      <c r="C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row>
    <row r="515" spans="2:60" x14ac:dyDescent="0.25">
      <c r="B515" s="2"/>
      <c r="C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row>
    <row r="516" spans="2:60" x14ac:dyDescent="0.25">
      <c r="B516" s="2"/>
      <c r="C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row>
    <row r="517" spans="2:60" x14ac:dyDescent="0.25">
      <c r="B517" s="2"/>
      <c r="C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row>
    <row r="518" spans="2:60" x14ac:dyDescent="0.25">
      <c r="B518" s="2"/>
      <c r="C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row>
    <row r="519" spans="2:60" x14ac:dyDescent="0.25">
      <c r="B519" s="2"/>
      <c r="C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row>
    <row r="520" spans="2:60" x14ac:dyDescent="0.25">
      <c r="B520" s="2"/>
      <c r="C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row>
    <row r="521" spans="2:60" x14ac:dyDescent="0.25">
      <c r="B521" s="2"/>
      <c r="C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row>
    <row r="522" spans="2:60" x14ac:dyDescent="0.25">
      <c r="B522" s="2"/>
      <c r="C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row>
    <row r="523" spans="2:60" x14ac:dyDescent="0.25">
      <c r="B523" s="2"/>
      <c r="C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row>
    <row r="524" spans="2:60" x14ac:dyDescent="0.25">
      <c r="B524" s="2"/>
      <c r="C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row>
    <row r="525" spans="2:60" x14ac:dyDescent="0.25">
      <c r="B525" s="2"/>
      <c r="C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row>
    <row r="526" spans="2:60" x14ac:dyDescent="0.25">
      <c r="B526" s="2"/>
      <c r="C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row>
    <row r="527" spans="2:60" x14ac:dyDescent="0.25">
      <c r="B527" s="2"/>
      <c r="C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row>
    <row r="528" spans="2:60" x14ac:dyDescent="0.25">
      <c r="B528" s="2"/>
      <c r="C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row>
    <row r="529" spans="2:60" x14ac:dyDescent="0.25">
      <c r="B529" s="2"/>
      <c r="C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row>
    <row r="530" spans="2:60" x14ac:dyDescent="0.25">
      <c r="B530" s="2"/>
      <c r="C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row>
    <row r="531" spans="2:60" x14ac:dyDescent="0.25">
      <c r="B531" s="2"/>
      <c r="C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row>
    <row r="532" spans="2:60" x14ac:dyDescent="0.25">
      <c r="B532" s="2"/>
      <c r="C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row>
    <row r="533" spans="2:60" x14ac:dyDescent="0.25">
      <c r="B533" s="2"/>
      <c r="C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row>
    <row r="534" spans="2:60" x14ac:dyDescent="0.25">
      <c r="B534" s="2"/>
      <c r="C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row>
    <row r="535" spans="2:60" x14ac:dyDescent="0.25">
      <c r="B535" s="2"/>
      <c r="C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row>
    <row r="536" spans="2:60" x14ac:dyDescent="0.25">
      <c r="B536" s="2"/>
      <c r="C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row>
    <row r="537" spans="2:60" x14ac:dyDescent="0.25">
      <c r="B537" s="2"/>
      <c r="C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row>
    <row r="538" spans="2:60" x14ac:dyDescent="0.25">
      <c r="B538" s="2"/>
      <c r="C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row>
    <row r="539" spans="2:60" x14ac:dyDescent="0.25">
      <c r="B539" s="2"/>
      <c r="C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row>
    <row r="540" spans="2:60" x14ac:dyDescent="0.25">
      <c r="B540" s="2"/>
      <c r="C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row>
    <row r="541" spans="2:60" x14ac:dyDescent="0.25">
      <c r="B541" s="2"/>
      <c r="C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row>
    <row r="542" spans="2:60" x14ac:dyDescent="0.25">
      <c r="B542" s="2"/>
      <c r="C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row>
    <row r="543" spans="2:60" x14ac:dyDescent="0.25">
      <c r="B543" s="2"/>
      <c r="C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row>
    <row r="544" spans="2:60" x14ac:dyDescent="0.25">
      <c r="B544" s="2"/>
      <c r="C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row>
    <row r="545" spans="2:60" x14ac:dyDescent="0.25">
      <c r="B545" s="2"/>
      <c r="C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row>
    <row r="546" spans="2:60" x14ac:dyDescent="0.25">
      <c r="B546" s="2"/>
      <c r="C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row>
    <row r="547" spans="2:60" x14ac:dyDescent="0.25">
      <c r="B547" s="2"/>
      <c r="C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row>
    <row r="548" spans="2:60" x14ac:dyDescent="0.25">
      <c r="B548" s="2"/>
      <c r="C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row>
    <row r="549" spans="2:60" x14ac:dyDescent="0.25">
      <c r="B549" s="2"/>
      <c r="C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row>
    <row r="550" spans="2:60" x14ac:dyDescent="0.25">
      <c r="B550" s="2"/>
      <c r="C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row>
    <row r="551" spans="2:60" x14ac:dyDescent="0.25">
      <c r="B551" s="2"/>
      <c r="C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row>
    <row r="552" spans="2:60" x14ac:dyDescent="0.25">
      <c r="B552" s="2"/>
      <c r="C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row>
    <row r="553" spans="2:60" x14ac:dyDescent="0.25">
      <c r="B553" s="2"/>
      <c r="C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row>
    <row r="554" spans="2:60" x14ac:dyDescent="0.25">
      <c r="B554" s="2"/>
      <c r="C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row>
    <row r="555" spans="2:60" x14ac:dyDescent="0.25">
      <c r="B555" s="2"/>
      <c r="C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row>
    <row r="556" spans="2:60" x14ac:dyDescent="0.25">
      <c r="B556" s="2"/>
      <c r="C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row>
    <row r="557" spans="2:60" x14ac:dyDescent="0.25">
      <c r="B557" s="2"/>
      <c r="C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row>
    <row r="558" spans="2:60" x14ac:dyDescent="0.25">
      <c r="B558" s="2"/>
      <c r="C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row>
    <row r="559" spans="2:60" x14ac:dyDescent="0.25">
      <c r="B559" s="2"/>
      <c r="C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row>
    <row r="560" spans="2:60" x14ac:dyDescent="0.25">
      <c r="B560" s="2"/>
      <c r="C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row>
    <row r="561" spans="2:60" x14ac:dyDescent="0.25">
      <c r="B561" s="2"/>
      <c r="C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row>
    <row r="562" spans="2:60" x14ac:dyDescent="0.25">
      <c r="B562" s="2"/>
      <c r="C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row>
    <row r="563" spans="2:60" x14ac:dyDescent="0.25">
      <c r="B563" s="2"/>
      <c r="C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row>
    <row r="564" spans="2:60" x14ac:dyDescent="0.25">
      <c r="B564" s="2"/>
      <c r="C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row>
    <row r="565" spans="2:60" x14ac:dyDescent="0.25">
      <c r="B565" s="2"/>
      <c r="C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row>
    <row r="566" spans="2:60" x14ac:dyDescent="0.25">
      <c r="B566" s="2"/>
      <c r="C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row>
    <row r="567" spans="2:60" x14ac:dyDescent="0.25">
      <c r="B567" s="2"/>
      <c r="C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row>
    <row r="568" spans="2:60" x14ac:dyDescent="0.25">
      <c r="B568" s="2"/>
      <c r="C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row>
    <row r="569" spans="2:60" x14ac:dyDescent="0.25">
      <c r="B569" s="2"/>
      <c r="C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row>
    <row r="570" spans="2:60" x14ac:dyDescent="0.25">
      <c r="B570" s="2"/>
      <c r="C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row>
    <row r="571" spans="2:60" x14ac:dyDescent="0.25">
      <c r="B571" s="2"/>
      <c r="C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row>
    <row r="572" spans="2:60" x14ac:dyDescent="0.25">
      <c r="B572" s="2"/>
      <c r="C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row>
    <row r="573" spans="2:60" x14ac:dyDescent="0.25">
      <c r="B573" s="2"/>
      <c r="C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row>
    <row r="574" spans="2:60" x14ac:dyDescent="0.25">
      <c r="B574" s="2"/>
      <c r="C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row>
    <row r="575" spans="2:60" x14ac:dyDescent="0.25">
      <c r="B575" s="2"/>
      <c r="C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row>
    <row r="576" spans="2:60" x14ac:dyDescent="0.25">
      <c r="B576" s="2"/>
      <c r="C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row>
    <row r="577" spans="2:60" x14ac:dyDescent="0.25">
      <c r="B577" s="2"/>
      <c r="C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row>
    <row r="578" spans="2:60" x14ac:dyDescent="0.25">
      <c r="B578" s="2"/>
      <c r="C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row>
    <row r="579" spans="2:60" x14ac:dyDescent="0.25">
      <c r="B579" s="2"/>
      <c r="C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row>
    <row r="580" spans="2:60" x14ac:dyDescent="0.25">
      <c r="B580" s="2"/>
      <c r="C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row>
    <row r="581" spans="2:60" x14ac:dyDescent="0.25">
      <c r="B581" s="2"/>
      <c r="C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row>
    <row r="582" spans="2:60" x14ac:dyDescent="0.25">
      <c r="B582" s="2"/>
      <c r="C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row>
    <row r="583" spans="2:60" x14ac:dyDescent="0.25">
      <c r="B583" s="2"/>
      <c r="C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row>
    <row r="584" spans="2:60" x14ac:dyDescent="0.25">
      <c r="B584" s="2"/>
      <c r="C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row>
    <row r="585" spans="2:60" x14ac:dyDescent="0.25">
      <c r="B585" s="2"/>
      <c r="C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row>
    <row r="586" spans="2:60" x14ac:dyDescent="0.25">
      <c r="B586" s="2"/>
      <c r="C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row>
    <row r="587" spans="2:60" x14ac:dyDescent="0.25">
      <c r="B587" s="2"/>
      <c r="C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row>
    <row r="588" spans="2:60" x14ac:dyDescent="0.25">
      <c r="B588" s="2"/>
      <c r="C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row>
    <row r="589" spans="2:60" x14ac:dyDescent="0.25">
      <c r="B589" s="2"/>
      <c r="C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row>
    <row r="590" spans="2:60" x14ac:dyDescent="0.25">
      <c r="B590" s="2"/>
      <c r="C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row>
    <row r="591" spans="2:60" x14ac:dyDescent="0.25">
      <c r="B591" s="2"/>
      <c r="C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row>
    <row r="592" spans="2:60" x14ac:dyDescent="0.25">
      <c r="B592" s="2"/>
      <c r="C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row>
    <row r="593" spans="2:60" x14ac:dyDescent="0.25">
      <c r="B593" s="2"/>
      <c r="C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row>
    <row r="594" spans="2:60" x14ac:dyDescent="0.25">
      <c r="B594" s="2"/>
      <c r="C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row>
    <row r="595" spans="2:60" x14ac:dyDescent="0.25">
      <c r="B595" s="2"/>
      <c r="C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row>
    <row r="596" spans="2:60" x14ac:dyDescent="0.25">
      <c r="B596" s="2"/>
      <c r="C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row>
    <row r="597" spans="2:60" x14ac:dyDescent="0.25">
      <c r="B597" s="2"/>
      <c r="C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row>
    <row r="598" spans="2:60" x14ac:dyDescent="0.25">
      <c r="B598" s="2"/>
      <c r="C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row>
    <row r="599" spans="2:60" x14ac:dyDescent="0.25">
      <c r="B599" s="2"/>
      <c r="C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row>
    <row r="600" spans="2:60" x14ac:dyDescent="0.25">
      <c r="B600" s="2"/>
      <c r="C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row>
    <row r="601" spans="2:60" x14ac:dyDescent="0.25">
      <c r="B601" s="2"/>
      <c r="C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row>
    <row r="602" spans="2:60" x14ac:dyDescent="0.25">
      <c r="B602" s="2"/>
      <c r="C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row>
    <row r="603" spans="2:60" x14ac:dyDescent="0.25">
      <c r="B603" s="2"/>
      <c r="C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row>
    <row r="604" spans="2:60" x14ac:dyDescent="0.25">
      <c r="B604" s="2"/>
      <c r="C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row>
    <row r="605" spans="2:60" x14ac:dyDescent="0.25">
      <c r="B605" s="2"/>
      <c r="C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row>
    <row r="606" spans="2:60" x14ac:dyDescent="0.25">
      <c r="B606" s="2"/>
      <c r="C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row>
    <row r="607" spans="2:60" x14ac:dyDescent="0.25">
      <c r="B607" s="2"/>
      <c r="C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row>
    <row r="608" spans="2:60" x14ac:dyDescent="0.25">
      <c r="B608" s="2"/>
      <c r="C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row>
    <row r="609" spans="2:60" x14ac:dyDescent="0.25">
      <c r="B609" s="2"/>
      <c r="C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row>
    <row r="610" spans="2:60" x14ac:dyDescent="0.25">
      <c r="B610" s="2"/>
      <c r="C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row>
    <row r="611" spans="2:60" x14ac:dyDescent="0.25">
      <c r="B611" s="2"/>
      <c r="C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row>
    <row r="612" spans="2:60" x14ac:dyDescent="0.25">
      <c r="B612" s="2"/>
      <c r="C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row>
    <row r="613" spans="2:60" x14ac:dyDescent="0.25">
      <c r="B613" s="2"/>
      <c r="C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row>
    <row r="614" spans="2:60" x14ac:dyDescent="0.25">
      <c r="B614" s="2"/>
      <c r="C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row>
    <row r="615" spans="2:60" x14ac:dyDescent="0.25">
      <c r="B615" s="2"/>
      <c r="C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row>
    <row r="616" spans="2:60" x14ac:dyDescent="0.25">
      <c r="B616" s="2"/>
      <c r="C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row>
    <row r="617" spans="2:60" x14ac:dyDescent="0.25">
      <c r="B617" s="2"/>
      <c r="C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row>
    <row r="618" spans="2:60" x14ac:dyDescent="0.25">
      <c r="B618" s="2"/>
      <c r="C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row>
    <row r="619" spans="2:60" x14ac:dyDescent="0.25">
      <c r="B619" s="2"/>
      <c r="C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row>
    <row r="620" spans="2:60" x14ac:dyDescent="0.25">
      <c r="B620" s="2"/>
      <c r="C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row>
    <row r="621" spans="2:60" x14ac:dyDescent="0.25">
      <c r="B621" s="2"/>
      <c r="C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row>
    <row r="622" spans="2:60" x14ac:dyDescent="0.25">
      <c r="B622" s="2"/>
      <c r="C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row>
    <row r="623" spans="2:60" x14ac:dyDescent="0.25">
      <c r="B623" s="2"/>
      <c r="C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row>
    <row r="624" spans="2:60" x14ac:dyDescent="0.25">
      <c r="B624" s="2"/>
      <c r="C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row>
    <row r="625" spans="2:60" x14ac:dyDescent="0.25">
      <c r="B625" s="2"/>
      <c r="C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row>
    <row r="626" spans="2:60" x14ac:dyDescent="0.25">
      <c r="B626" s="2"/>
      <c r="C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row>
    <row r="627" spans="2:60" x14ac:dyDescent="0.25">
      <c r="B627" s="2"/>
      <c r="C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row>
    <row r="628" spans="2:60" x14ac:dyDescent="0.25">
      <c r="B628" s="2"/>
      <c r="C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row>
    <row r="629" spans="2:60" x14ac:dyDescent="0.25">
      <c r="B629" s="2"/>
      <c r="C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row>
    <row r="630" spans="2:60" x14ac:dyDescent="0.25">
      <c r="B630" s="2"/>
      <c r="C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row>
    <row r="631" spans="2:60" x14ac:dyDescent="0.25">
      <c r="B631" s="2"/>
      <c r="C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row>
    <row r="632" spans="2:60" x14ac:dyDescent="0.25">
      <c r="B632" s="2"/>
      <c r="C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row>
    <row r="633" spans="2:60" x14ac:dyDescent="0.25">
      <c r="B633" s="2"/>
      <c r="C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row>
    <row r="634" spans="2:60" x14ac:dyDescent="0.25">
      <c r="B634" s="2"/>
      <c r="C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row>
    <row r="635" spans="2:60" x14ac:dyDescent="0.25">
      <c r="B635" s="2"/>
      <c r="C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row>
    <row r="636" spans="2:60" x14ac:dyDescent="0.25">
      <c r="B636" s="2"/>
      <c r="C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row>
    <row r="637" spans="2:60" x14ac:dyDescent="0.25">
      <c r="B637" s="2"/>
      <c r="C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row>
    <row r="638" spans="2:60" x14ac:dyDescent="0.25">
      <c r="B638" s="2"/>
      <c r="C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row>
    <row r="639" spans="2:60" x14ac:dyDescent="0.25">
      <c r="B639" s="2"/>
      <c r="C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row>
    <row r="640" spans="2:60" x14ac:dyDescent="0.25">
      <c r="B640" s="2"/>
      <c r="C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row>
    <row r="641" spans="2:60" x14ac:dyDescent="0.25">
      <c r="B641" s="2"/>
      <c r="C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row>
    <row r="642" spans="2:60" x14ac:dyDescent="0.25">
      <c r="B642" s="2"/>
      <c r="C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row>
    <row r="643" spans="2:60" x14ac:dyDescent="0.25">
      <c r="B643" s="2"/>
      <c r="C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row>
    <row r="644" spans="2:60" x14ac:dyDescent="0.25">
      <c r="B644" s="2"/>
      <c r="C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row>
    <row r="645" spans="2:60" x14ac:dyDescent="0.25">
      <c r="B645" s="2"/>
      <c r="C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row>
    <row r="646" spans="2:60" x14ac:dyDescent="0.25">
      <c r="B646" s="2"/>
      <c r="C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row>
    <row r="647" spans="2:60" x14ac:dyDescent="0.25">
      <c r="B647" s="2"/>
      <c r="C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row>
    <row r="648" spans="2:60" x14ac:dyDescent="0.25">
      <c r="B648" s="2"/>
      <c r="C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row>
    <row r="649" spans="2:60" x14ac:dyDescent="0.25">
      <c r="B649" s="2"/>
      <c r="C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row>
    <row r="650" spans="2:60" x14ac:dyDescent="0.25">
      <c r="B650" s="2"/>
      <c r="C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row>
    <row r="651" spans="2:60" x14ac:dyDescent="0.25">
      <c r="B651" s="2"/>
      <c r="C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row>
    <row r="652" spans="2:60" x14ac:dyDescent="0.25">
      <c r="B652" s="2"/>
      <c r="C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row>
    <row r="653" spans="2:60" x14ac:dyDescent="0.25">
      <c r="B653" s="2"/>
      <c r="C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row>
    <row r="654" spans="2:60" x14ac:dyDescent="0.25">
      <c r="B654" s="2"/>
      <c r="C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row>
    <row r="655" spans="2:60" x14ac:dyDescent="0.25">
      <c r="B655" s="2"/>
      <c r="C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row>
    <row r="656" spans="2:60" x14ac:dyDescent="0.25">
      <c r="B656" s="2"/>
      <c r="C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row>
    <row r="657" spans="2:60" x14ac:dyDescent="0.25">
      <c r="B657" s="2"/>
      <c r="C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row>
    <row r="658" spans="2:60" x14ac:dyDescent="0.25">
      <c r="B658" s="2"/>
      <c r="C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row>
    <row r="659" spans="2:60" x14ac:dyDescent="0.25">
      <c r="B659" s="2"/>
      <c r="C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row>
    <row r="660" spans="2:60" x14ac:dyDescent="0.25">
      <c r="B660" s="2"/>
      <c r="C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row>
    <row r="661" spans="2:60" x14ac:dyDescent="0.25">
      <c r="B661" s="2"/>
      <c r="C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row>
    <row r="662" spans="2:60" x14ac:dyDescent="0.25">
      <c r="B662" s="2"/>
      <c r="C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row>
    <row r="663" spans="2:60" x14ac:dyDescent="0.25">
      <c r="B663" s="2"/>
      <c r="C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row>
    <row r="664" spans="2:60" x14ac:dyDescent="0.25">
      <c r="B664" s="2"/>
      <c r="C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row>
    <row r="665" spans="2:60" x14ac:dyDescent="0.25">
      <c r="B665" s="2"/>
      <c r="C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row>
    <row r="666" spans="2:60" x14ac:dyDescent="0.25">
      <c r="B666" s="2"/>
      <c r="C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row>
    <row r="667" spans="2:60" x14ac:dyDescent="0.25">
      <c r="B667" s="2"/>
      <c r="C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row>
    <row r="668" spans="2:60" x14ac:dyDescent="0.25">
      <c r="B668" s="2"/>
      <c r="C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row>
    <row r="669" spans="2:60" x14ac:dyDescent="0.25">
      <c r="B669" s="2"/>
      <c r="C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row>
    <row r="670" spans="2:60" x14ac:dyDescent="0.25">
      <c r="B670" s="2"/>
      <c r="C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row>
    <row r="671" spans="2:60" x14ac:dyDescent="0.25">
      <c r="B671" s="2"/>
      <c r="C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row>
    <row r="672" spans="2:60" x14ac:dyDescent="0.25">
      <c r="B672" s="2"/>
      <c r="C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row>
    <row r="673" spans="2:60" x14ac:dyDescent="0.25">
      <c r="B673" s="2"/>
      <c r="C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row>
    <row r="674" spans="2:60" x14ac:dyDescent="0.25">
      <c r="B674" s="2"/>
      <c r="C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row>
    <row r="675" spans="2:60" x14ac:dyDescent="0.25">
      <c r="B675" s="2"/>
      <c r="C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row>
    <row r="676" spans="2:60" x14ac:dyDescent="0.25">
      <c r="B676" s="2"/>
      <c r="C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row>
    <row r="677" spans="2:60" x14ac:dyDescent="0.25">
      <c r="B677" s="2"/>
      <c r="C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row>
    <row r="678" spans="2:60" x14ac:dyDescent="0.25">
      <c r="B678" s="2"/>
      <c r="C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row>
    <row r="679" spans="2:60" x14ac:dyDescent="0.25">
      <c r="B679" s="2"/>
      <c r="C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row>
    <row r="680" spans="2:60" x14ac:dyDescent="0.25">
      <c r="B680" s="2"/>
      <c r="C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row>
    <row r="681" spans="2:60" x14ac:dyDescent="0.25">
      <c r="B681" s="2"/>
      <c r="C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row>
    <row r="682" spans="2:60" x14ac:dyDescent="0.25">
      <c r="B682" s="2"/>
      <c r="C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row>
    <row r="683" spans="2:60" x14ac:dyDescent="0.25">
      <c r="B683" s="2"/>
      <c r="C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row>
    <row r="684" spans="2:60" x14ac:dyDescent="0.25">
      <c r="B684" s="2"/>
      <c r="C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row>
    <row r="685" spans="2:60" x14ac:dyDescent="0.25">
      <c r="B685" s="2"/>
      <c r="C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row>
    <row r="686" spans="2:60" x14ac:dyDescent="0.25">
      <c r="B686" s="2"/>
      <c r="C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row>
    <row r="687" spans="2:60" x14ac:dyDescent="0.25">
      <c r="B687" s="2"/>
      <c r="C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row>
    <row r="688" spans="2:60" x14ac:dyDescent="0.25">
      <c r="B688" s="2"/>
      <c r="C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row>
    <row r="689" spans="2:60" x14ac:dyDescent="0.25">
      <c r="B689" s="2"/>
      <c r="C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row>
    <row r="690" spans="2:60" x14ac:dyDescent="0.25">
      <c r="B690" s="2"/>
      <c r="C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row>
    <row r="691" spans="2:60" x14ac:dyDescent="0.25">
      <c r="B691" s="2"/>
      <c r="C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row>
    <row r="692" spans="2:60" x14ac:dyDescent="0.25">
      <c r="B692" s="2"/>
      <c r="C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row>
    <row r="693" spans="2:60" x14ac:dyDescent="0.25">
      <c r="B693" s="2"/>
      <c r="C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row>
    <row r="694" spans="2:60" x14ac:dyDescent="0.25">
      <c r="B694" s="2"/>
      <c r="C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row>
    <row r="695" spans="2:60" x14ac:dyDescent="0.25">
      <c r="B695" s="2"/>
      <c r="C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row>
    <row r="696" spans="2:60" x14ac:dyDescent="0.25">
      <c r="B696" s="2"/>
      <c r="C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row>
    <row r="697" spans="2:60" x14ac:dyDescent="0.25">
      <c r="B697" s="2"/>
      <c r="C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row>
    <row r="698" spans="2:60" x14ac:dyDescent="0.25">
      <c r="B698" s="2"/>
      <c r="C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row>
    <row r="699" spans="2:60" x14ac:dyDescent="0.25">
      <c r="B699" s="2"/>
      <c r="C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row>
    <row r="700" spans="2:60" x14ac:dyDescent="0.25">
      <c r="B700" s="2"/>
      <c r="C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row>
    <row r="701" spans="2:60" x14ac:dyDescent="0.25">
      <c r="B701" s="2"/>
      <c r="C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row>
    <row r="702" spans="2:60" x14ac:dyDescent="0.25">
      <c r="B702" s="2"/>
      <c r="C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row>
    <row r="703" spans="2:60" x14ac:dyDescent="0.25">
      <c r="B703" s="2"/>
      <c r="C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row>
    <row r="704" spans="2:60" x14ac:dyDescent="0.25">
      <c r="B704" s="2"/>
      <c r="C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row>
    <row r="705" spans="2:60" x14ac:dyDescent="0.25">
      <c r="B705" s="2"/>
      <c r="C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row>
    <row r="706" spans="2:60" x14ac:dyDescent="0.25">
      <c r="B706" s="2"/>
      <c r="C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row>
    <row r="707" spans="2:60" x14ac:dyDescent="0.25">
      <c r="B707" s="2"/>
      <c r="C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row>
    <row r="708" spans="2:60" x14ac:dyDescent="0.25">
      <c r="B708" s="2"/>
      <c r="C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row>
    <row r="709" spans="2:60" x14ac:dyDescent="0.25">
      <c r="B709" s="2"/>
      <c r="C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row>
    <row r="710" spans="2:60" x14ac:dyDescent="0.25">
      <c r="B710" s="2"/>
      <c r="C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row>
    <row r="711" spans="2:60" x14ac:dyDescent="0.25">
      <c r="B711" s="2"/>
      <c r="C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row>
    <row r="712" spans="2:60" x14ac:dyDescent="0.25">
      <c r="B712" s="2"/>
      <c r="C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row>
    <row r="713" spans="2:60" x14ac:dyDescent="0.25">
      <c r="B713" s="2"/>
      <c r="C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row>
    <row r="714" spans="2:60" x14ac:dyDescent="0.25">
      <c r="B714" s="2"/>
      <c r="C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row>
    <row r="715" spans="2:60" x14ac:dyDescent="0.25">
      <c r="B715" s="2"/>
      <c r="C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row>
    <row r="716" spans="2:60" x14ac:dyDescent="0.25">
      <c r="B716" s="2"/>
      <c r="C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row>
    <row r="717" spans="2:60" x14ac:dyDescent="0.25">
      <c r="B717" s="2"/>
      <c r="C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row>
    <row r="718" spans="2:60" x14ac:dyDescent="0.25">
      <c r="B718" s="2"/>
      <c r="C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row>
    <row r="719" spans="2:60" x14ac:dyDescent="0.25">
      <c r="B719" s="2"/>
      <c r="C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row>
    <row r="720" spans="2:60" x14ac:dyDescent="0.25">
      <c r="B720" s="2"/>
      <c r="C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row>
    <row r="721" spans="2:60" x14ac:dyDescent="0.25">
      <c r="B721" s="2"/>
      <c r="C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row>
    <row r="722" spans="2:60" x14ac:dyDescent="0.25">
      <c r="B722" s="2"/>
      <c r="C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row>
    <row r="723" spans="2:60" x14ac:dyDescent="0.25">
      <c r="B723" s="2"/>
      <c r="C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row>
    <row r="724" spans="2:60" x14ac:dyDescent="0.25">
      <c r="B724" s="2"/>
      <c r="C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row>
    <row r="725" spans="2:60" x14ac:dyDescent="0.25">
      <c r="B725" s="2"/>
      <c r="C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row>
    <row r="726" spans="2:60" x14ac:dyDescent="0.25">
      <c r="B726" s="2"/>
      <c r="C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row>
    <row r="727" spans="2:60" x14ac:dyDescent="0.25">
      <c r="B727" s="2"/>
      <c r="C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row>
    <row r="728" spans="2:60" x14ac:dyDescent="0.25">
      <c r="B728" s="2"/>
      <c r="C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row>
    <row r="729" spans="2:60" x14ac:dyDescent="0.25">
      <c r="B729" s="2"/>
      <c r="C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row>
    <row r="730" spans="2:60" x14ac:dyDescent="0.25">
      <c r="B730" s="2"/>
      <c r="C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row>
    <row r="731" spans="2:60" x14ac:dyDescent="0.25">
      <c r="B731" s="2"/>
      <c r="C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row>
    <row r="732" spans="2:60" x14ac:dyDescent="0.25">
      <c r="B732" s="2"/>
      <c r="C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row>
    <row r="733" spans="2:60" x14ac:dyDescent="0.25">
      <c r="B733" s="2"/>
      <c r="C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row>
    <row r="734" spans="2:60" x14ac:dyDescent="0.25">
      <c r="B734" s="2"/>
      <c r="C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row>
    <row r="735" spans="2:60" x14ac:dyDescent="0.25">
      <c r="B735" s="2"/>
      <c r="C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row>
    <row r="736" spans="2:60" x14ac:dyDescent="0.25">
      <c r="B736" s="2"/>
      <c r="C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row>
    <row r="737" spans="2:60" x14ac:dyDescent="0.25">
      <c r="B737" s="2"/>
      <c r="C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row>
    <row r="738" spans="2:60" x14ac:dyDescent="0.25">
      <c r="B738" s="2"/>
      <c r="C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row>
    <row r="739" spans="2:60" x14ac:dyDescent="0.25">
      <c r="B739" s="2"/>
      <c r="C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row>
    <row r="740" spans="2:60" x14ac:dyDescent="0.25">
      <c r="B740" s="2"/>
      <c r="C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row>
    <row r="741" spans="2:60" x14ac:dyDescent="0.25">
      <c r="B741" s="2"/>
      <c r="C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row>
    <row r="742" spans="2:60" x14ac:dyDescent="0.25">
      <c r="B742" s="2"/>
      <c r="C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row>
    <row r="743" spans="2:60" x14ac:dyDescent="0.25">
      <c r="B743" s="2"/>
      <c r="C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row>
    <row r="744" spans="2:60" x14ac:dyDescent="0.25">
      <c r="B744" s="2"/>
      <c r="C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row>
    <row r="745" spans="2:60" x14ac:dyDescent="0.25">
      <c r="B745" s="2"/>
      <c r="C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row>
    <row r="746" spans="2:60" x14ac:dyDescent="0.25">
      <c r="B746" s="2"/>
      <c r="C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row>
    <row r="747" spans="2:60" x14ac:dyDescent="0.25">
      <c r="B747" s="2"/>
      <c r="C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row>
    <row r="748" spans="2:60" x14ac:dyDescent="0.25">
      <c r="B748" s="2"/>
      <c r="C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row>
    <row r="749" spans="2:60" x14ac:dyDescent="0.25">
      <c r="B749" s="2"/>
      <c r="C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row>
    <row r="750" spans="2:60" x14ac:dyDescent="0.25">
      <c r="B750" s="2"/>
      <c r="C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row>
    <row r="751" spans="2:60" x14ac:dyDescent="0.25">
      <c r="B751" s="2"/>
      <c r="C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row>
    <row r="752" spans="2:60" x14ac:dyDescent="0.25">
      <c r="B752" s="2"/>
      <c r="C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row>
    <row r="753" spans="2:60" x14ac:dyDescent="0.25">
      <c r="B753" s="2"/>
      <c r="C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row>
    <row r="754" spans="2:60" x14ac:dyDescent="0.25">
      <c r="B754" s="2"/>
      <c r="C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row>
    <row r="755" spans="2:60" x14ac:dyDescent="0.25">
      <c r="B755" s="2"/>
      <c r="C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row>
    <row r="756" spans="2:60" x14ac:dyDescent="0.25">
      <c r="B756" s="2"/>
      <c r="C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row>
    <row r="757" spans="2:60" x14ac:dyDescent="0.25">
      <c r="B757" s="2"/>
      <c r="C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row>
    <row r="758" spans="2:60" x14ac:dyDescent="0.25">
      <c r="B758" s="2"/>
      <c r="C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row>
    <row r="759" spans="2:60" x14ac:dyDescent="0.25">
      <c r="B759" s="2"/>
      <c r="C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row>
    <row r="760" spans="2:60" x14ac:dyDescent="0.25">
      <c r="B760" s="2"/>
      <c r="C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row>
    <row r="761" spans="2:60" x14ac:dyDescent="0.25">
      <c r="B761" s="2"/>
      <c r="C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row>
    <row r="762" spans="2:60" x14ac:dyDescent="0.25">
      <c r="B762" s="2"/>
      <c r="C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row>
    <row r="763" spans="2:60" x14ac:dyDescent="0.25">
      <c r="B763" s="2"/>
      <c r="C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row>
    <row r="764" spans="2:60" x14ac:dyDescent="0.25">
      <c r="B764" s="2"/>
      <c r="C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row>
    <row r="765" spans="2:60" x14ac:dyDescent="0.25">
      <c r="B765" s="2"/>
      <c r="C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row>
    <row r="766" spans="2:60" x14ac:dyDescent="0.25">
      <c r="B766" s="2"/>
      <c r="C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row>
    <row r="767" spans="2:60" x14ac:dyDescent="0.25">
      <c r="B767" s="2"/>
      <c r="C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row>
    <row r="768" spans="2:60" x14ac:dyDescent="0.25">
      <c r="B768" s="2"/>
      <c r="C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row>
    <row r="769" spans="2:60" x14ac:dyDescent="0.25">
      <c r="B769" s="2"/>
      <c r="C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row>
    <row r="770" spans="2:60" x14ac:dyDescent="0.25">
      <c r="B770" s="2"/>
      <c r="C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row>
    <row r="771" spans="2:60" x14ac:dyDescent="0.25">
      <c r="B771" s="2"/>
      <c r="C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row>
    <row r="772" spans="2:60" x14ac:dyDescent="0.25">
      <c r="B772" s="2"/>
      <c r="C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row>
    <row r="773" spans="2:60" x14ac:dyDescent="0.25">
      <c r="B773" s="2"/>
      <c r="C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row>
    <row r="774" spans="2:60" x14ac:dyDescent="0.25">
      <c r="B774" s="2"/>
      <c r="C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row>
    <row r="775" spans="2:60" x14ac:dyDescent="0.25">
      <c r="B775" s="2"/>
      <c r="C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row>
    <row r="776" spans="2:60" x14ac:dyDescent="0.25">
      <c r="B776" s="2"/>
      <c r="C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row>
    <row r="777" spans="2:60" x14ac:dyDescent="0.25">
      <c r="B777" s="2"/>
      <c r="C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row>
    <row r="778" spans="2:60" x14ac:dyDescent="0.25">
      <c r="B778" s="2"/>
      <c r="C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row>
    <row r="779" spans="2:60" x14ac:dyDescent="0.25">
      <c r="B779" s="2"/>
      <c r="C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row>
    <row r="780" spans="2:60" x14ac:dyDescent="0.25">
      <c r="B780" s="2"/>
      <c r="C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row>
    <row r="781" spans="2:60" x14ac:dyDescent="0.25">
      <c r="B781" s="2"/>
      <c r="C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row>
    <row r="782" spans="2:60" x14ac:dyDescent="0.25">
      <c r="B782" s="2"/>
      <c r="C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row>
    <row r="783" spans="2:60" x14ac:dyDescent="0.25">
      <c r="B783" s="2"/>
      <c r="C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row>
    <row r="784" spans="2:60" x14ac:dyDescent="0.25">
      <c r="B784" s="2"/>
      <c r="C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row>
    <row r="785" spans="2:60" x14ac:dyDescent="0.25">
      <c r="B785" s="2"/>
      <c r="C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row>
    <row r="786" spans="2:60" x14ac:dyDescent="0.25">
      <c r="B786" s="2"/>
      <c r="C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row>
    <row r="787" spans="2:60" x14ac:dyDescent="0.25">
      <c r="B787" s="2"/>
      <c r="C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row>
    <row r="788" spans="2:60" x14ac:dyDescent="0.25">
      <c r="B788" s="2"/>
      <c r="C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row>
    <row r="789" spans="2:60" x14ac:dyDescent="0.25">
      <c r="B789" s="2"/>
      <c r="C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row>
    <row r="790" spans="2:60" x14ac:dyDescent="0.25">
      <c r="B790" s="2"/>
      <c r="C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row>
    <row r="791" spans="2:60" x14ac:dyDescent="0.25">
      <c r="B791" s="2"/>
      <c r="C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row>
    <row r="792" spans="2:60" x14ac:dyDescent="0.25">
      <c r="B792" s="2"/>
      <c r="C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row>
    <row r="793" spans="2:60" x14ac:dyDescent="0.25">
      <c r="B793" s="2"/>
      <c r="C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row>
    <row r="794" spans="2:60" x14ac:dyDescent="0.25">
      <c r="B794" s="2"/>
      <c r="C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row>
    <row r="795" spans="2:60" x14ac:dyDescent="0.25">
      <c r="B795" s="2"/>
      <c r="C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row>
    <row r="796" spans="2:60" x14ac:dyDescent="0.25">
      <c r="B796" s="2"/>
      <c r="C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row>
    <row r="797" spans="2:60" x14ac:dyDescent="0.25">
      <c r="B797" s="2"/>
      <c r="C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row>
    <row r="798" spans="2:60" x14ac:dyDescent="0.25">
      <c r="B798" s="2"/>
      <c r="C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row>
    <row r="799" spans="2:60" x14ac:dyDescent="0.25">
      <c r="B799" s="2"/>
      <c r="C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row>
    <row r="800" spans="2:60" x14ac:dyDescent="0.25">
      <c r="B800" s="2"/>
      <c r="C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row>
    <row r="801" spans="2:60" x14ac:dyDescent="0.25">
      <c r="B801" s="2"/>
      <c r="C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row>
    <row r="802" spans="2:60" x14ac:dyDescent="0.25">
      <c r="B802" s="2"/>
      <c r="C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row>
    <row r="803" spans="2:60" x14ac:dyDescent="0.25">
      <c r="B803" s="2"/>
      <c r="C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row>
    <row r="804" spans="2:60" x14ac:dyDescent="0.25">
      <c r="B804" s="2"/>
      <c r="C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row>
    <row r="805" spans="2:60" x14ac:dyDescent="0.25">
      <c r="B805" s="2"/>
      <c r="C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row>
    <row r="806" spans="2:60" x14ac:dyDescent="0.25">
      <c r="B806" s="2"/>
      <c r="C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row>
    <row r="807" spans="2:60" x14ac:dyDescent="0.25">
      <c r="B807" s="2"/>
      <c r="C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row>
    <row r="808" spans="2:60" x14ac:dyDescent="0.25">
      <c r="B808" s="2"/>
      <c r="C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row>
    <row r="809" spans="2:60" x14ac:dyDescent="0.25">
      <c r="B809" s="2"/>
      <c r="C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row>
    <row r="810" spans="2:60" x14ac:dyDescent="0.25">
      <c r="B810" s="2"/>
      <c r="C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row>
    <row r="811" spans="2:60" x14ac:dyDescent="0.25">
      <c r="B811" s="2"/>
      <c r="C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row>
    <row r="812" spans="2:60" x14ac:dyDescent="0.25">
      <c r="B812" s="2"/>
      <c r="C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row>
    <row r="813" spans="2:60" x14ac:dyDescent="0.25">
      <c r="B813" s="2"/>
      <c r="C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row>
    <row r="814" spans="2:60" x14ac:dyDescent="0.25">
      <c r="B814" s="2"/>
      <c r="C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row>
    <row r="815" spans="2:60" x14ac:dyDescent="0.25">
      <c r="B815" s="2"/>
      <c r="C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row>
    <row r="816" spans="2:60" x14ac:dyDescent="0.25">
      <c r="B816" s="2"/>
      <c r="C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row>
    <row r="817" spans="2:60" x14ac:dyDescent="0.25">
      <c r="B817" s="2"/>
      <c r="C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row>
    <row r="818" spans="2:60" x14ac:dyDescent="0.25">
      <c r="B818" s="2"/>
      <c r="C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row>
    <row r="819" spans="2:60" x14ac:dyDescent="0.25">
      <c r="B819" s="2"/>
      <c r="C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row>
    <row r="820" spans="2:60" x14ac:dyDescent="0.25">
      <c r="B820" s="2"/>
      <c r="C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row>
    <row r="821" spans="2:60" x14ac:dyDescent="0.25">
      <c r="B821" s="2"/>
      <c r="C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row>
    <row r="822" spans="2:60" x14ac:dyDescent="0.25">
      <c r="B822" s="2"/>
      <c r="C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row>
    <row r="823" spans="2:60" x14ac:dyDescent="0.25">
      <c r="B823" s="2"/>
      <c r="C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row>
    <row r="824" spans="2:60" x14ac:dyDescent="0.25">
      <c r="B824" s="2"/>
      <c r="C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row>
    <row r="825" spans="2:60" x14ac:dyDescent="0.25">
      <c r="B825" s="2"/>
      <c r="C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row>
    <row r="826" spans="2:60" x14ac:dyDescent="0.25">
      <c r="B826" s="2"/>
      <c r="C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row>
    <row r="827" spans="2:60" x14ac:dyDescent="0.25">
      <c r="B827" s="2"/>
      <c r="C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row>
    <row r="828" spans="2:60" x14ac:dyDescent="0.25">
      <c r="B828" s="2"/>
      <c r="C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row>
    <row r="829" spans="2:60" x14ac:dyDescent="0.25">
      <c r="B829" s="2"/>
      <c r="C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row>
    <row r="830" spans="2:60" x14ac:dyDescent="0.25">
      <c r="B830" s="2"/>
      <c r="C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row>
    <row r="831" spans="2:60" x14ac:dyDescent="0.25">
      <c r="B831" s="2"/>
      <c r="C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row>
    <row r="832" spans="2:60" x14ac:dyDescent="0.25">
      <c r="B832" s="2"/>
      <c r="C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row>
    <row r="833" spans="2:60" x14ac:dyDescent="0.25">
      <c r="B833" s="2"/>
      <c r="C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row>
    <row r="834" spans="2:60" x14ac:dyDescent="0.25">
      <c r="B834" s="2"/>
      <c r="C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row>
    <row r="835" spans="2:60" x14ac:dyDescent="0.25">
      <c r="B835" s="2"/>
      <c r="C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row>
    <row r="836" spans="2:60" x14ac:dyDescent="0.25">
      <c r="B836" s="2"/>
      <c r="C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row>
    <row r="837" spans="2:60" x14ac:dyDescent="0.25">
      <c r="B837" s="2"/>
      <c r="C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row>
    <row r="838" spans="2:60" x14ac:dyDescent="0.25">
      <c r="B838" s="2"/>
      <c r="C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row>
    <row r="839" spans="2:60" x14ac:dyDescent="0.25">
      <c r="B839" s="2"/>
      <c r="C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row>
    <row r="840" spans="2:60" x14ac:dyDescent="0.25">
      <c r="B840" s="2"/>
      <c r="C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row>
    <row r="841" spans="2:60" x14ac:dyDescent="0.25">
      <c r="B841" s="2"/>
      <c r="C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row>
    <row r="842" spans="2:60" x14ac:dyDescent="0.25">
      <c r="B842" s="2"/>
      <c r="C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row>
    <row r="843" spans="2:60" x14ac:dyDescent="0.25">
      <c r="B843" s="2"/>
      <c r="C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row>
    <row r="844" spans="2:60" x14ac:dyDescent="0.25">
      <c r="B844" s="2"/>
      <c r="C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row>
    <row r="845" spans="2:60" x14ac:dyDescent="0.25">
      <c r="B845" s="2"/>
      <c r="C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row>
    <row r="846" spans="2:60" x14ac:dyDescent="0.25">
      <c r="B846" s="2"/>
      <c r="C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row>
    <row r="847" spans="2:60" x14ac:dyDescent="0.25">
      <c r="B847" s="2"/>
      <c r="C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row>
    <row r="848" spans="2:60" x14ac:dyDescent="0.25">
      <c r="B848" s="2"/>
      <c r="C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row>
    <row r="849" spans="2:60" x14ac:dyDescent="0.25">
      <c r="B849" s="2"/>
      <c r="C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row>
    <row r="850" spans="2:60" x14ac:dyDescent="0.25">
      <c r="B850" s="2"/>
      <c r="C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row>
    <row r="851" spans="2:60" x14ac:dyDescent="0.25">
      <c r="B851" s="2"/>
      <c r="C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row>
    <row r="852" spans="2:60" x14ac:dyDescent="0.25">
      <c r="B852" s="2"/>
      <c r="C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row>
    <row r="853" spans="2:60" x14ac:dyDescent="0.25">
      <c r="B853" s="2"/>
      <c r="C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row>
    <row r="854" spans="2:60" x14ac:dyDescent="0.25">
      <c r="B854" s="2"/>
      <c r="C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row>
    <row r="855" spans="2:60" x14ac:dyDescent="0.25">
      <c r="B855" s="2"/>
      <c r="C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row>
    <row r="856" spans="2:60" x14ac:dyDescent="0.25">
      <c r="B856" s="2"/>
      <c r="C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row>
    <row r="857" spans="2:60" x14ac:dyDescent="0.25">
      <c r="B857" s="2"/>
      <c r="C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row>
    <row r="858" spans="2:60" x14ac:dyDescent="0.25">
      <c r="B858" s="2"/>
      <c r="C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row>
    <row r="859" spans="2:60" x14ac:dyDescent="0.25">
      <c r="B859" s="2"/>
      <c r="C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row>
    <row r="860" spans="2:60" x14ac:dyDescent="0.25">
      <c r="B860" s="2"/>
      <c r="C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row>
    <row r="861" spans="2:60" x14ac:dyDescent="0.25">
      <c r="B861" s="2"/>
      <c r="C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row>
    <row r="862" spans="2:60" x14ac:dyDescent="0.25">
      <c r="B862" s="2"/>
      <c r="C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row>
    <row r="863" spans="2:60" x14ac:dyDescent="0.25">
      <c r="B863" s="2"/>
      <c r="C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row>
    <row r="864" spans="2:60" x14ac:dyDescent="0.25">
      <c r="B864" s="2"/>
      <c r="C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row>
    <row r="865" spans="2:60" x14ac:dyDescent="0.25">
      <c r="B865" s="2"/>
      <c r="C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row>
    <row r="866" spans="2:60" x14ac:dyDescent="0.25">
      <c r="B866" s="2"/>
      <c r="C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row>
    <row r="867" spans="2:60" x14ac:dyDescent="0.25">
      <c r="B867" s="2"/>
      <c r="C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row>
    <row r="868" spans="2:60" x14ac:dyDescent="0.25">
      <c r="B868" s="2"/>
      <c r="C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row>
    <row r="869" spans="2:60" x14ac:dyDescent="0.25">
      <c r="B869" s="2"/>
      <c r="C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row>
    <row r="870" spans="2:60" x14ac:dyDescent="0.25">
      <c r="B870" s="2"/>
      <c r="C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row>
    <row r="871" spans="2:60" x14ac:dyDescent="0.25">
      <c r="B871" s="2"/>
      <c r="C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row>
    <row r="872" spans="2:60" x14ac:dyDescent="0.25">
      <c r="B872" s="2"/>
      <c r="C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row>
    <row r="873" spans="2:60" x14ac:dyDescent="0.25">
      <c r="B873" s="2"/>
      <c r="C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row>
    <row r="874" spans="2:60" x14ac:dyDescent="0.25">
      <c r="B874" s="2"/>
      <c r="C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row>
    <row r="875" spans="2:60" x14ac:dyDescent="0.25">
      <c r="B875" s="2"/>
      <c r="C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row>
    <row r="876" spans="2:60" x14ac:dyDescent="0.25">
      <c r="B876" s="2"/>
      <c r="C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row>
    <row r="877" spans="2:60" x14ac:dyDescent="0.25">
      <c r="B877" s="2"/>
      <c r="C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row>
    <row r="878" spans="2:60" x14ac:dyDescent="0.25">
      <c r="B878" s="2"/>
      <c r="C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row>
    <row r="879" spans="2:60" x14ac:dyDescent="0.25">
      <c r="B879" s="2"/>
      <c r="C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row>
    <row r="880" spans="2:60" x14ac:dyDescent="0.25">
      <c r="B880" s="2"/>
      <c r="C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row>
    <row r="881" spans="2:60" x14ac:dyDescent="0.25">
      <c r="B881" s="2"/>
      <c r="C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row>
    <row r="882" spans="2:60" x14ac:dyDescent="0.25">
      <c r="B882" s="2"/>
      <c r="C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row>
    <row r="883" spans="2:60" x14ac:dyDescent="0.25">
      <c r="B883" s="2"/>
      <c r="C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row>
    <row r="884" spans="2:60" x14ac:dyDescent="0.25">
      <c r="B884" s="2"/>
      <c r="C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row>
    <row r="885" spans="2:60" x14ac:dyDescent="0.25">
      <c r="B885" s="2"/>
      <c r="C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row>
    <row r="886" spans="2:60" x14ac:dyDescent="0.25">
      <c r="B886" s="2"/>
      <c r="C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row>
    <row r="887" spans="2:60" x14ac:dyDescent="0.25">
      <c r="B887" s="2"/>
      <c r="C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row>
    <row r="888" spans="2:60" x14ac:dyDescent="0.25">
      <c r="B888" s="2"/>
      <c r="C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row>
    <row r="889" spans="2:60" x14ac:dyDescent="0.25">
      <c r="B889" s="2"/>
      <c r="C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row>
    <row r="890" spans="2:60" x14ac:dyDescent="0.25">
      <c r="B890" s="2"/>
      <c r="C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row>
    <row r="891" spans="2:60" x14ac:dyDescent="0.25">
      <c r="B891" s="2"/>
      <c r="C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row>
    <row r="892" spans="2:60" x14ac:dyDescent="0.25">
      <c r="B892" s="2"/>
      <c r="C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row>
    <row r="893" spans="2:60" x14ac:dyDescent="0.25">
      <c r="B893" s="2"/>
      <c r="C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row>
    <row r="894" spans="2:60" x14ac:dyDescent="0.25">
      <c r="B894" s="2"/>
      <c r="C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row>
    <row r="895" spans="2:60" x14ac:dyDescent="0.25">
      <c r="B895" s="2"/>
      <c r="C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row>
    <row r="896" spans="2:60" x14ac:dyDescent="0.25">
      <c r="B896" s="2"/>
      <c r="C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row>
    <row r="897" spans="2:60" x14ac:dyDescent="0.25">
      <c r="B897" s="2"/>
      <c r="C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row>
    <row r="898" spans="2:60" x14ac:dyDescent="0.25">
      <c r="B898" s="2"/>
      <c r="C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row>
    <row r="899" spans="2:60" x14ac:dyDescent="0.25">
      <c r="B899" s="2"/>
      <c r="C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row>
    <row r="900" spans="2:60" x14ac:dyDescent="0.25">
      <c r="B900" s="2"/>
      <c r="C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row>
    <row r="901" spans="2:60" x14ac:dyDescent="0.25">
      <c r="B901" s="2"/>
      <c r="C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row>
    <row r="902" spans="2:60" x14ac:dyDescent="0.25">
      <c r="B902" s="2"/>
      <c r="C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row>
    <row r="903" spans="2:60" x14ac:dyDescent="0.25">
      <c r="B903" s="2"/>
      <c r="C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row>
    <row r="904" spans="2:60" x14ac:dyDescent="0.25">
      <c r="B904" s="2"/>
      <c r="C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row>
    <row r="905" spans="2:60" x14ac:dyDescent="0.25">
      <c r="B905" s="2"/>
      <c r="C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row>
    <row r="906" spans="2:60" x14ac:dyDescent="0.25">
      <c r="B906" s="2"/>
      <c r="C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row>
    <row r="907" spans="2:60" x14ac:dyDescent="0.25">
      <c r="B907" s="2"/>
      <c r="C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row>
    <row r="908" spans="2:60" x14ac:dyDescent="0.25">
      <c r="B908" s="2"/>
      <c r="C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row>
    <row r="909" spans="2:60" x14ac:dyDescent="0.25">
      <c r="B909" s="2"/>
      <c r="C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row>
    <row r="910" spans="2:60" x14ac:dyDescent="0.25">
      <c r="B910" s="2"/>
      <c r="C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row>
    <row r="911" spans="2:60" x14ac:dyDescent="0.25">
      <c r="B911" s="2"/>
      <c r="C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row>
    <row r="912" spans="2:60" x14ac:dyDescent="0.25">
      <c r="B912" s="2"/>
      <c r="C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row>
    <row r="913" spans="2:60" x14ac:dyDescent="0.25">
      <c r="B913" s="2"/>
      <c r="C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row>
    <row r="914" spans="2:60" x14ac:dyDescent="0.25">
      <c r="B914" s="2"/>
      <c r="C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row>
    <row r="915" spans="2:60" x14ac:dyDescent="0.25">
      <c r="B915" s="2"/>
      <c r="C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row>
    <row r="916" spans="2:60" x14ac:dyDescent="0.25">
      <c r="B916" s="2"/>
      <c r="C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row>
    <row r="917" spans="2:60" x14ac:dyDescent="0.25">
      <c r="B917" s="2"/>
      <c r="C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row>
    <row r="918" spans="2:60" x14ac:dyDescent="0.25">
      <c r="B918" s="2"/>
      <c r="C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row>
    <row r="919" spans="2:60" x14ac:dyDescent="0.25">
      <c r="B919" s="2"/>
      <c r="C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row>
    <row r="920" spans="2:60" x14ac:dyDescent="0.25">
      <c r="B920" s="2"/>
      <c r="C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row>
    <row r="921" spans="2:60" x14ac:dyDescent="0.25">
      <c r="B921" s="2"/>
      <c r="C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row>
    <row r="922" spans="2:60" x14ac:dyDescent="0.25">
      <c r="B922" s="2"/>
      <c r="C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row>
    <row r="923" spans="2:60" x14ac:dyDescent="0.25">
      <c r="B923" s="2"/>
      <c r="C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row>
    <row r="924" spans="2:60" x14ac:dyDescent="0.25">
      <c r="B924" s="2"/>
      <c r="C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row>
    <row r="925" spans="2:60" x14ac:dyDescent="0.25">
      <c r="B925" s="2"/>
      <c r="C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row>
    <row r="926" spans="2:60" x14ac:dyDescent="0.25">
      <c r="B926" s="2"/>
      <c r="C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row>
    <row r="927" spans="2:60" x14ac:dyDescent="0.25">
      <c r="B927" s="2"/>
      <c r="C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row>
    <row r="928" spans="2:60" x14ac:dyDescent="0.25">
      <c r="B928" s="2"/>
      <c r="C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row>
    <row r="929" spans="2:60" x14ac:dyDescent="0.25">
      <c r="B929" s="2"/>
      <c r="C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row>
    <row r="930" spans="2:60" x14ac:dyDescent="0.25">
      <c r="B930" s="2"/>
      <c r="C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row>
    <row r="931" spans="2:60" x14ac:dyDescent="0.25">
      <c r="B931" s="2"/>
      <c r="C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row>
    <row r="932" spans="2:60" x14ac:dyDescent="0.25">
      <c r="B932" s="2"/>
      <c r="C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row>
    <row r="933" spans="2:60" x14ac:dyDescent="0.25">
      <c r="B933" s="2"/>
      <c r="C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row>
    <row r="934" spans="2:60" x14ac:dyDescent="0.25">
      <c r="B934" s="2"/>
      <c r="C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row>
    <row r="935" spans="2:60" x14ac:dyDescent="0.25">
      <c r="B935" s="2"/>
      <c r="C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row>
    <row r="936" spans="2:60" x14ac:dyDescent="0.25">
      <c r="B936" s="2"/>
      <c r="C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row>
    <row r="937" spans="2:60" x14ac:dyDescent="0.25">
      <c r="B937" s="2"/>
      <c r="C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row>
    <row r="938" spans="2:60" x14ac:dyDescent="0.25">
      <c r="B938" s="2"/>
      <c r="C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row>
    <row r="939" spans="2:60" x14ac:dyDescent="0.25">
      <c r="B939" s="2"/>
      <c r="C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row>
    <row r="940" spans="2:60" x14ac:dyDescent="0.25">
      <c r="B940" s="2"/>
      <c r="C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row>
    <row r="941" spans="2:60" x14ac:dyDescent="0.25">
      <c r="B941" s="2"/>
      <c r="C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row>
    <row r="942" spans="2:60" x14ac:dyDescent="0.25">
      <c r="B942" s="2"/>
      <c r="C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row>
    <row r="943" spans="2:60" x14ac:dyDescent="0.25">
      <c r="B943" s="2"/>
      <c r="C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row>
    <row r="944" spans="2:60" x14ac:dyDescent="0.25">
      <c r="B944" s="2"/>
      <c r="C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row>
    <row r="945" spans="2:60" x14ac:dyDescent="0.25">
      <c r="B945" s="2"/>
      <c r="C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row>
    <row r="946" spans="2:60" x14ac:dyDescent="0.25">
      <c r="B946" s="2"/>
      <c r="C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row>
    <row r="947" spans="2:60" x14ac:dyDescent="0.25">
      <c r="B947" s="2"/>
      <c r="C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row>
    <row r="948" spans="2:60" x14ac:dyDescent="0.25">
      <c r="B948" s="2"/>
      <c r="C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row>
    <row r="949" spans="2:60" x14ac:dyDescent="0.25">
      <c r="B949" s="2"/>
      <c r="C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row>
    <row r="950" spans="2:60" x14ac:dyDescent="0.25">
      <c r="B950" s="2"/>
      <c r="C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row>
    <row r="951" spans="2:60" x14ac:dyDescent="0.25">
      <c r="B951" s="2"/>
      <c r="C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row>
    <row r="952" spans="2:60" x14ac:dyDescent="0.25">
      <c r="B952" s="2"/>
      <c r="C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row>
    <row r="953" spans="2:60" x14ac:dyDescent="0.25">
      <c r="B953" s="2"/>
      <c r="C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row>
    <row r="954" spans="2:60" x14ac:dyDescent="0.25">
      <c r="B954" s="2"/>
      <c r="C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row>
    <row r="955" spans="2:60" x14ac:dyDescent="0.25">
      <c r="B955" s="2"/>
      <c r="C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row>
    <row r="956" spans="2:60" x14ac:dyDescent="0.25">
      <c r="B956" s="2"/>
      <c r="C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row>
    <row r="957" spans="2:60" x14ac:dyDescent="0.25">
      <c r="B957" s="2"/>
      <c r="C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row>
    <row r="958" spans="2:60" x14ac:dyDescent="0.25">
      <c r="B958" s="2"/>
      <c r="C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row>
    <row r="959" spans="2:60" x14ac:dyDescent="0.25">
      <c r="B959" s="2"/>
      <c r="C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row>
    <row r="960" spans="2:60" x14ac:dyDescent="0.25">
      <c r="B960" s="2"/>
      <c r="C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row>
    <row r="961" spans="2:60" x14ac:dyDescent="0.25">
      <c r="B961" s="2"/>
      <c r="C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row>
    <row r="962" spans="2:60" x14ac:dyDescent="0.25">
      <c r="B962" s="2"/>
      <c r="C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row>
    <row r="963" spans="2:60" x14ac:dyDescent="0.25">
      <c r="B963" s="2"/>
      <c r="C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row>
    <row r="964" spans="2:60" x14ac:dyDescent="0.25">
      <c r="B964" s="2"/>
      <c r="C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row>
    <row r="965" spans="2:60" x14ac:dyDescent="0.25">
      <c r="B965" s="2"/>
      <c r="C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row>
    <row r="966" spans="2:60" x14ac:dyDescent="0.25">
      <c r="B966" s="2"/>
      <c r="C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row>
    <row r="967" spans="2:60" x14ac:dyDescent="0.25">
      <c r="B967" s="2"/>
      <c r="C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row>
    <row r="968" spans="2:60" x14ac:dyDescent="0.25">
      <c r="B968" s="2"/>
      <c r="C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row>
    <row r="969" spans="2:60" x14ac:dyDescent="0.25">
      <c r="B969" s="2"/>
      <c r="C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row>
    <row r="970" spans="2:60" x14ac:dyDescent="0.25">
      <c r="B970" s="2"/>
      <c r="C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row>
    <row r="971" spans="2:60" x14ac:dyDescent="0.25">
      <c r="B971" s="2"/>
      <c r="C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row>
    <row r="972" spans="2:60" x14ac:dyDescent="0.25">
      <c r="B972" s="2"/>
      <c r="C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row>
    <row r="973" spans="2:60" x14ac:dyDescent="0.25">
      <c r="B973" s="2"/>
      <c r="C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row>
    <row r="974" spans="2:60" x14ac:dyDescent="0.25">
      <c r="B974" s="2"/>
      <c r="C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row>
    <row r="975" spans="2:60" x14ac:dyDescent="0.25">
      <c r="B975" s="2"/>
      <c r="C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row>
    <row r="976" spans="2:60" x14ac:dyDescent="0.25">
      <c r="B976" s="2"/>
      <c r="C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row>
    <row r="977" spans="2:60" x14ac:dyDescent="0.25">
      <c r="B977" s="2"/>
      <c r="C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row>
    <row r="978" spans="2:60" x14ac:dyDescent="0.25">
      <c r="B978" s="2"/>
      <c r="C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row>
    <row r="979" spans="2:60" x14ac:dyDescent="0.25">
      <c r="B979" s="2"/>
      <c r="C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row>
    <row r="980" spans="2:60" x14ac:dyDescent="0.25">
      <c r="B980" s="2"/>
      <c r="C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row>
    <row r="981" spans="2:60" x14ac:dyDescent="0.25">
      <c r="B981" s="2"/>
      <c r="C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row>
    <row r="982" spans="2:60" x14ac:dyDescent="0.25">
      <c r="B982" s="2"/>
      <c r="C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row>
    <row r="983" spans="2:60" x14ac:dyDescent="0.25">
      <c r="B983" s="2"/>
      <c r="C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row>
    <row r="984" spans="2:60" x14ac:dyDescent="0.25">
      <c r="B984" s="2"/>
      <c r="C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row>
    <row r="985" spans="2:60" x14ac:dyDescent="0.25">
      <c r="B985" s="2"/>
      <c r="C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row>
    <row r="986" spans="2:60" x14ac:dyDescent="0.25">
      <c r="B986" s="2"/>
      <c r="C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row>
    <row r="987" spans="2:60" x14ac:dyDescent="0.25">
      <c r="B987" s="2"/>
      <c r="C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row>
    <row r="988" spans="2:60" x14ac:dyDescent="0.25">
      <c r="B988" s="2"/>
      <c r="C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row>
    <row r="989" spans="2:60" x14ac:dyDescent="0.25">
      <c r="B989" s="2"/>
      <c r="C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row>
    <row r="990" spans="2:60" x14ac:dyDescent="0.25">
      <c r="B990" s="2"/>
      <c r="C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row>
    <row r="991" spans="2:60" x14ac:dyDescent="0.25">
      <c r="B991" s="2"/>
      <c r="C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row>
    <row r="992" spans="2:60" x14ac:dyDescent="0.25">
      <c r="B992" s="2"/>
      <c r="C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row>
    <row r="993" spans="2:60" x14ac:dyDescent="0.25">
      <c r="B993" s="2"/>
      <c r="C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row>
    <row r="994" spans="2:60" x14ac:dyDescent="0.25">
      <c r="B994" s="2"/>
      <c r="C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row>
    <row r="995" spans="2:60" x14ac:dyDescent="0.25">
      <c r="B995" s="2"/>
      <c r="C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row>
    <row r="996" spans="2:60" x14ac:dyDescent="0.25">
      <c r="B996" s="2"/>
      <c r="C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row>
    <row r="997" spans="2:60" x14ac:dyDescent="0.25">
      <c r="B997" s="2"/>
      <c r="C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row>
    <row r="998" spans="2:60" x14ac:dyDescent="0.25">
      <c r="B998" s="2"/>
      <c r="C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row>
    <row r="999" spans="2:60" x14ac:dyDescent="0.25">
      <c r="B999" s="2"/>
      <c r="C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row>
    <row r="1000" spans="2:60" x14ac:dyDescent="0.25">
      <c r="B1000" s="2"/>
      <c r="C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row>
    <row r="1001" spans="2:60" x14ac:dyDescent="0.25">
      <c r="B1001" s="2"/>
      <c r="C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row>
    <row r="1002" spans="2:60" x14ac:dyDescent="0.25">
      <c r="B1002" s="2"/>
      <c r="C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row>
    <row r="1003" spans="2:60" x14ac:dyDescent="0.25">
      <c r="B1003" s="2"/>
      <c r="C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row>
    <row r="1004" spans="2:60" x14ac:dyDescent="0.25">
      <c r="B1004" s="2"/>
      <c r="C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row>
    <row r="1005" spans="2:60" x14ac:dyDescent="0.25">
      <c r="B1005" s="2"/>
      <c r="C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row>
    <row r="1006" spans="2:60" x14ac:dyDescent="0.25">
      <c r="B1006" s="2"/>
      <c r="C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row>
    <row r="1007" spans="2:60" x14ac:dyDescent="0.25">
      <c r="B1007" s="2"/>
      <c r="C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row>
    <row r="1008" spans="2:60" x14ac:dyDescent="0.25">
      <c r="B1008" s="2"/>
      <c r="C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row>
    <row r="1009" spans="2:60" x14ac:dyDescent="0.25">
      <c r="B1009" s="2"/>
      <c r="C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row>
    <row r="1010" spans="2:60" x14ac:dyDescent="0.25">
      <c r="B1010" s="2"/>
      <c r="C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row>
    <row r="1011" spans="2:60" x14ac:dyDescent="0.25">
      <c r="B1011" s="2"/>
      <c r="C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row>
    <row r="1012" spans="2:60" x14ac:dyDescent="0.25">
      <c r="B1012" s="2"/>
      <c r="C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row>
    <row r="1013" spans="2:60" x14ac:dyDescent="0.25">
      <c r="B1013" s="2"/>
      <c r="C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row>
    <row r="1014" spans="2:60" x14ac:dyDescent="0.25">
      <c r="B1014" s="2"/>
      <c r="C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row>
    <row r="1015" spans="2:60" x14ac:dyDescent="0.25">
      <c r="B1015" s="2"/>
      <c r="C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row>
    <row r="1016" spans="2:60" x14ac:dyDescent="0.25">
      <c r="B1016" s="2"/>
      <c r="C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row>
    <row r="1017" spans="2:60" x14ac:dyDescent="0.25">
      <c r="B1017" s="2"/>
      <c r="C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row>
    <row r="1018" spans="2:60" x14ac:dyDescent="0.25">
      <c r="B1018" s="2"/>
      <c r="C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row>
    <row r="1019" spans="2:60" x14ac:dyDescent="0.25">
      <c r="B1019" s="2"/>
      <c r="C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row>
    <row r="1020" spans="2:60" x14ac:dyDescent="0.25">
      <c r="B1020" s="2"/>
      <c r="C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row>
    <row r="1021" spans="2:60" x14ac:dyDescent="0.25">
      <c r="B1021" s="2"/>
      <c r="C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row>
    <row r="1022" spans="2:60" x14ac:dyDescent="0.25">
      <c r="B1022" s="2"/>
      <c r="C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row>
    <row r="1023" spans="2:60" x14ac:dyDescent="0.25">
      <c r="B1023" s="2"/>
      <c r="C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row>
    <row r="1024" spans="2:60" x14ac:dyDescent="0.25">
      <c r="B1024" s="2"/>
      <c r="C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row>
    <row r="1025" spans="2:60" x14ac:dyDescent="0.25">
      <c r="B1025" s="2"/>
      <c r="C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row>
    <row r="1026" spans="2:60" x14ac:dyDescent="0.25">
      <c r="B1026" s="2"/>
      <c r="C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row>
    <row r="1027" spans="2:60" x14ac:dyDescent="0.25">
      <c r="B1027" s="2"/>
      <c r="C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row>
    <row r="1028" spans="2:60" x14ac:dyDescent="0.25">
      <c r="B1028" s="2"/>
      <c r="C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row>
    <row r="1029" spans="2:60" x14ac:dyDescent="0.25">
      <c r="B1029" s="2"/>
      <c r="C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row>
    <row r="1030" spans="2:60" x14ac:dyDescent="0.25">
      <c r="B1030" s="2"/>
      <c r="C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row>
    <row r="1031" spans="2:60" x14ac:dyDescent="0.25">
      <c r="B1031" s="2"/>
      <c r="C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row>
    <row r="1032" spans="2:60" x14ac:dyDescent="0.25">
      <c r="B1032" s="2"/>
      <c r="C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row>
    <row r="1033" spans="2:60" x14ac:dyDescent="0.25">
      <c r="B1033" s="2"/>
      <c r="C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row>
    <row r="1034" spans="2:60" x14ac:dyDescent="0.25">
      <c r="B1034" s="2"/>
      <c r="C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row>
    <row r="1035" spans="2:60" x14ac:dyDescent="0.25">
      <c r="B1035" s="2"/>
      <c r="C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row>
    <row r="1036" spans="2:60" x14ac:dyDescent="0.25">
      <c r="B1036" s="2"/>
      <c r="C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row>
    <row r="1037" spans="2:60" x14ac:dyDescent="0.25">
      <c r="B1037" s="2"/>
      <c r="C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row>
    <row r="1038" spans="2:60" x14ac:dyDescent="0.25">
      <c r="B1038" s="2"/>
      <c r="C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row>
    <row r="1039" spans="2:60" x14ac:dyDescent="0.25">
      <c r="B1039" s="2"/>
      <c r="C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row>
    <row r="1040" spans="2:60" x14ac:dyDescent="0.25">
      <c r="B1040" s="2"/>
      <c r="C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row>
    <row r="1041" spans="2:60" x14ac:dyDescent="0.25">
      <c r="B1041" s="2"/>
      <c r="C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row>
    <row r="1042" spans="2:60" x14ac:dyDescent="0.25">
      <c r="B1042" s="2"/>
      <c r="C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row>
    <row r="1043" spans="2:60" x14ac:dyDescent="0.25">
      <c r="B1043" s="2"/>
      <c r="C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row>
    <row r="1044" spans="2:60" x14ac:dyDescent="0.25">
      <c r="B1044" s="2"/>
      <c r="C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row>
    <row r="1045" spans="2:60" x14ac:dyDescent="0.25">
      <c r="B1045" s="2"/>
      <c r="C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row>
    <row r="1046" spans="2:60" x14ac:dyDescent="0.25">
      <c r="B1046" s="2"/>
      <c r="C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row>
    <row r="1047" spans="2:60" x14ac:dyDescent="0.25">
      <c r="B1047" s="2"/>
      <c r="C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row>
    <row r="1048" spans="2:60" x14ac:dyDescent="0.25">
      <c r="B1048" s="2"/>
      <c r="C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row>
    <row r="1049" spans="2:60" x14ac:dyDescent="0.25">
      <c r="B1049" s="2"/>
      <c r="C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row>
    <row r="1050" spans="2:60" x14ac:dyDescent="0.25">
      <c r="B1050" s="2"/>
      <c r="C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row>
    <row r="1051" spans="2:60" x14ac:dyDescent="0.25">
      <c r="B1051" s="2"/>
      <c r="C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row>
    <row r="1052" spans="2:60" x14ac:dyDescent="0.25">
      <c r="B1052" s="2"/>
      <c r="C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row>
    <row r="1053" spans="2:60" x14ac:dyDescent="0.25">
      <c r="B1053" s="2"/>
      <c r="C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row>
    <row r="1054" spans="2:60" x14ac:dyDescent="0.25">
      <c r="B1054" s="2"/>
      <c r="C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row>
    <row r="1055" spans="2:60" x14ac:dyDescent="0.25">
      <c r="B1055" s="2"/>
      <c r="C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row>
    <row r="1056" spans="2:60" x14ac:dyDescent="0.25">
      <c r="B1056" s="2"/>
      <c r="C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row>
    <row r="1057" spans="2:60" x14ac:dyDescent="0.25">
      <c r="B1057" s="2"/>
      <c r="C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row>
    <row r="1058" spans="2:60" x14ac:dyDescent="0.25">
      <c r="B1058" s="2"/>
      <c r="C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row>
    <row r="1059" spans="2:60" x14ac:dyDescent="0.25">
      <c r="B1059" s="2"/>
      <c r="C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row>
    <row r="1060" spans="2:60" x14ac:dyDescent="0.25">
      <c r="B1060" s="2"/>
      <c r="C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row>
    <row r="1061" spans="2:60" x14ac:dyDescent="0.25">
      <c r="B1061" s="2"/>
      <c r="C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row>
    <row r="1062" spans="2:60" x14ac:dyDescent="0.25">
      <c r="B1062" s="2"/>
      <c r="C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row>
    <row r="1063" spans="2:60" x14ac:dyDescent="0.25">
      <c r="B1063" s="2"/>
      <c r="C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row>
    <row r="1064" spans="2:60" x14ac:dyDescent="0.25">
      <c r="B1064" s="2"/>
      <c r="C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row>
    <row r="1065" spans="2:60" x14ac:dyDescent="0.25">
      <c r="B1065" s="2"/>
      <c r="C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row>
    <row r="1066" spans="2:60" x14ac:dyDescent="0.25">
      <c r="B1066" s="2"/>
      <c r="C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row>
    <row r="1067" spans="2:60" x14ac:dyDescent="0.25">
      <c r="B1067" s="2"/>
      <c r="C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row>
    <row r="1068" spans="2:60" x14ac:dyDescent="0.25">
      <c r="B1068" s="2"/>
      <c r="C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row>
    <row r="1069" spans="2:60" x14ac:dyDescent="0.25">
      <c r="B1069" s="2"/>
      <c r="C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row>
    <row r="1070" spans="2:60" x14ac:dyDescent="0.25">
      <c r="B1070" s="2"/>
      <c r="C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row>
    <row r="1071" spans="2:60" x14ac:dyDescent="0.25">
      <c r="B1071" s="2"/>
      <c r="C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row>
    <row r="1072" spans="2:60" x14ac:dyDescent="0.25">
      <c r="B1072" s="2"/>
      <c r="C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row>
    <row r="1073" spans="2:60" x14ac:dyDescent="0.25">
      <c r="B1073" s="2"/>
      <c r="C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row>
    <row r="1074" spans="2:60" x14ac:dyDescent="0.25">
      <c r="B1074" s="2"/>
      <c r="C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row>
    <row r="1075" spans="2:60" x14ac:dyDescent="0.25">
      <c r="B1075" s="2"/>
      <c r="C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row>
    <row r="1076" spans="2:60" x14ac:dyDescent="0.25">
      <c r="B1076" s="2"/>
      <c r="C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row>
    <row r="1077" spans="2:60" x14ac:dyDescent="0.25">
      <c r="B1077" s="2"/>
      <c r="C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row>
    <row r="1078" spans="2:60" x14ac:dyDescent="0.25">
      <c r="B1078" s="2"/>
      <c r="C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row>
    <row r="1079" spans="2:60" x14ac:dyDescent="0.25">
      <c r="B1079" s="2"/>
      <c r="C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c r="BH1079" s="2"/>
    </row>
    <row r="1080" spans="2:60" x14ac:dyDescent="0.25">
      <c r="B1080" s="2"/>
      <c r="C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row>
    <row r="1081" spans="2:60" x14ac:dyDescent="0.25">
      <c r="B1081" s="2"/>
      <c r="C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c r="BH1081" s="2"/>
    </row>
    <row r="1082" spans="2:60" x14ac:dyDescent="0.25">
      <c r="B1082" s="2"/>
      <c r="C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row>
    <row r="1083" spans="2:60" x14ac:dyDescent="0.25">
      <c r="B1083" s="2"/>
      <c r="C1083" s="2"/>
      <c r="N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c r="BH1083" s="2"/>
    </row>
    <row r="1084" spans="2:60" x14ac:dyDescent="0.25">
      <c r="B1084" s="2"/>
      <c r="C1084" s="2"/>
      <c r="N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c r="BH1084" s="2"/>
    </row>
    <row r="1085" spans="2:60" x14ac:dyDescent="0.25">
      <c r="B1085" s="2"/>
      <c r="C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c r="BH1085" s="2"/>
    </row>
    <row r="1086" spans="2:60" x14ac:dyDescent="0.25">
      <c r="B1086" s="2"/>
      <c r="C1086" s="2"/>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c r="BH1086" s="2"/>
    </row>
    <row r="1087" spans="2:60" x14ac:dyDescent="0.25">
      <c r="B1087" s="2"/>
      <c r="C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c r="BG1087" s="2"/>
      <c r="BH1087" s="2"/>
    </row>
    <row r="1088" spans="2:60" x14ac:dyDescent="0.25">
      <c r="B1088" s="2"/>
      <c r="C1088" s="2"/>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c r="BG1088" s="2"/>
      <c r="BH1088" s="2"/>
    </row>
    <row r="1089" spans="2:60" x14ac:dyDescent="0.25">
      <c r="B1089" s="2"/>
      <c r="C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c r="BG1089" s="2"/>
      <c r="BH1089" s="2"/>
    </row>
    <row r="1090" spans="2:60" x14ac:dyDescent="0.25">
      <c r="B1090" s="2"/>
      <c r="C1090" s="2"/>
      <c r="N1090" s="2"/>
      <c r="O1090" s="2"/>
      <c r="P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row>
    <row r="1091" spans="2:60" x14ac:dyDescent="0.25">
      <c r="B1091" s="2"/>
      <c r="C1091" s="2"/>
      <c r="N1091" s="2"/>
      <c r="O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row>
    <row r="1092" spans="2:60" x14ac:dyDescent="0.25">
      <c r="B1092" s="2"/>
      <c r="C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c r="BG1092" s="2"/>
      <c r="BH1092" s="2"/>
    </row>
    <row r="1093" spans="2:60" x14ac:dyDescent="0.25">
      <c r="B1093" s="2"/>
      <c r="C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row>
    <row r="1094" spans="2:60" x14ac:dyDescent="0.25">
      <c r="B1094" s="2"/>
      <c r="C1094" s="2"/>
      <c r="N1094" s="2"/>
      <c r="O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row>
    <row r="1095" spans="2:60" x14ac:dyDescent="0.25">
      <c r="B1095" s="2"/>
      <c r="C1095" s="2"/>
      <c r="N1095" s="2"/>
      <c r="O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row>
    <row r="1096" spans="2:60" x14ac:dyDescent="0.25">
      <c r="B1096" s="2"/>
      <c r="C1096" s="2"/>
      <c r="N1096" s="2"/>
      <c r="O1096" s="2"/>
      <c r="P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row>
    <row r="1097" spans="2:60" x14ac:dyDescent="0.25">
      <c r="B1097" s="2"/>
      <c r="C1097" s="2"/>
      <c r="N1097" s="2"/>
      <c r="O1097" s="2"/>
      <c r="P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c r="BF1097" s="2"/>
      <c r="BG1097" s="2"/>
      <c r="BH1097" s="2"/>
    </row>
    <row r="1098" spans="2:60" x14ac:dyDescent="0.25">
      <c r="B1098" s="2"/>
      <c r="C1098" s="2"/>
      <c r="N1098" s="2"/>
      <c r="O1098" s="2"/>
      <c r="P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c r="BF1098" s="2"/>
      <c r="BG1098" s="2"/>
      <c r="BH1098" s="2"/>
    </row>
    <row r="1099" spans="2:60" x14ac:dyDescent="0.25">
      <c r="B1099" s="2"/>
      <c r="C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row>
    <row r="1100" spans="2:60" x14ac:dyDescent="0.25">
      <c r="B1100" s="2"/>
      <c r="C1100" s="2"/>
      <c r="N1100" s="2"/>
      <c r="O1100" s="2"/>
      <c r="P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c r="BF1100" s="2"/>
      <c r="BG1100" s="2"/>
      <c r="BH1100" s="2"/>
    </row>
  </sheetData>
  <pageMargins left="0.7" right="0.7" top="0.75" bottom="0.75" header="0.3" footer="0.3"/>
  <pageSetup scale="52"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pageSetUpPr fitToPage="1"/>
  </sheetPr>
  <dimension ref="A1:BH1100"/>
  <sheetViews>
    <sheetView workbookViewId="0"/>
  </sheetViews>
  <sheetFormatPr defaultColWidth="9.140625" defaultRowHeight="15" x14ac:dyDescent="0.25"/>
  <cols>
    <col min="1" max="1" width="52.5703125" style="6" customWidth="1"/>
    <col min="2" max="3" width="10.7109375" style="7" hidden="1" customWidth="1"/>
    <col min="4" max="4" width="10.7109375" style="17" hidden="1" customWidth="1"/>
    <col min="5" max="5" width="10.7109375" style="18" hidden="1" customWidth="1"/>
    <col min="6" max="9" width="10.7109375" style="17" hidden="1" customWidth="1"/>
    <col min="10" max="13" width="10.7109375" style="17" customWidth="1"/>
    <col min="14" max="28" width="10.7109375" style="7" customWidth="1"/>
    <col min="29" max="60" width="9.140625" style="7"/>
    <col min="61" max="16384" width="9.140625" style="2"/>
  </cols>
  <sheetData>
    <row r="1" spans="1:60" x14ac:dyDescent="0.25">
      <c r="A1" s="4" t="str">
        <f>Inputs!A1</f>
        <v>Pfizer</v>
      </c>
      <c r="B1" s="2"/>
      <c r="C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row>
    <row r="2" spans="1:60" x14ac:dyDescent="0.25">
      <c r="A2" s="5" t="s">
        <v>357</v>
      </c>
      <c r="B2" s="2"/>
      <c r="C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row>
    <row r="4" spans="1:60" s="81" customFormat="1" ht="15.75" thickBot="1" x14ac:dyDescent="0.3">
      <c r="A4" s="80" t="str">
        <f>CONCATENATE("Fiscal Years Ending ",Inputs!B7)</f>
        <v>Fiscal Years Ending Dec. 31</v>
      </c>
      <c r="B4" s="81">
        <v>2012</v>
      </c>
      <c r="C4" s="81">
        <v>2013</v>
      </c>
      <c r="D4" s="81">
        <v>2014</v>
      </c>
      <c r="E4" s="81">
        <v>2015</v>
      </c>
      <c r="F4" s="81">
        <v>2016</v>
      </c>
      <c r="G4" s="81">
        <v>2017</v>
      </c>
      <c r="H4" s="81">
        <v>2018</v>
      </c>
      <c r="I4" s="81">
        <v>2019</v>
      </c>
      <c r="J4" s="81">
        <v>2020</v>
      </c>
      <c r="K4" s="81">
        <v>2021</v>
      </c>
      <c r="L4" s="81">
        <v>2022</v>
      </c>
      <c r="M4" s="81" t="s">
        <v>28</v>
      </c>
      <c r="N4" s="81" t="s">
        <v>29</v>
      </c>
      <c r="O4" s="81" t="s">
        <v>30</v>
      </c>
      <c r="P4" s="81" t="s">
        <v>31</v>
      </c>
      <c r="Q4" s="81" t="s">
        <v>32</v>
      </c>
      <c r="R4" s="81" t="s">
        <v>33</v>
      </c>
      <c r="S4" s="81" t="s">
        <v>34</v>
      </c>
      <c r="T4" s="81" t="s">
        <v>35</v>
      </c>
    </row>
    <row r="5" spans="1:60" s="9" customFormat="1" x14ac:dyDescent="0.25">
      <c r="A5" s="174" t="s">
        <v>291</v>
      </c>
      <c r="F5" s="400"/>
      <c r="G5" s="400"/>
      <c r="H5" s="400"/>
      <c r="I5" s="400"/>
      <c r="J5" s="400"/>
      <c r="K5" s="400"/>
      <c r="L5" s="400"/>
      <c r="M5" s="19"/>
    </row>
    <row r="6" spans="1:60" s="9" customFormat="1" x14ac:dyDescent="0.25">
      <c r="A6" s="168" t="s">
        <v>226</v>
      </c>
      <c r="F6" s="257">
        <f>BS_Sorted!F6/BS_Sorted!F$27</f>
        <v>1.512105585176121E-2</v>
      </c>
      <c r="G6" s="257">
        <f>BS_Sorted!G6/BS_Sorted!G$27</f>
        <v>7.8115450211586933E-3</v>
      </c>
      <c r="H6" s="257">
        <f>BS_Sorted!H6/BS_Sorted!H$27</f>
        <v>7.1445149068829466E-3</v>
      </c>
      <c r="I6" s="257">
        <f>BS_Sorted!I6/BS_Sorted!I$27</f>
        <v>7.7916029805120369E-3</v>
      </c>
      <c r="J6" s="257">
        <f>BS_Sorted!J6/BS_Sorted!J$27</f>
        <v>1.1567289986254118E-2</v>
      </c>
      <c r="K6" s="257">
        <f>BS_Sorted!K6/BS_Sorted!K$27</f>
        <v>1.071221931395509E-2</v>
      </c>
      <c r="L6" s="257">
        <f>BS_Sorted!L6/BS_Sorted!L$27</f>
        <v>2.1095013767539034E-3</v>
      </c>
      <c r="M6" s="498">
        <f>BS_Sorted!M6/BS_Sorted!M$27</f>
        <v>3.5886825856397853E-2</v>
      </c>
      <c r="N6" s="498">
        <f>BS_Sorted!N6/BS_Sorted!N$27</f>
        <v>2.0702667734835641E-2</v>
      </c>
      <c r="O6" s="498">
        <f>BS_Sorted!O6/BS_Sorted!O$27</f>
        <v>2.4372565938099892E-2</v>
      </c>
      <c r="P6" s="498">
        <f>BS_Sorted!P6/BS_Sorted!P$27</f>
        <v>3.2624089477488759E-2</v>
      </c>
      <c r="Q6" s="498">
        <f>BS_Sorted!Q6/BS_Sorted!Q$27</f>
        <v>4.070719274119132E-2</v>
      </c>
      <c r="R6" s="498">
        <f>BS_Sorted!R6/BS_Sorted!R$27</f>
        <v>3.8278561159757918E-2</v>
      </c>
      <c r="S6" s="498">
        <f>BS_Sorted!S6/BS_Sorted!S$27</f>
        <v>2.746904292323812E-2</v>
      </c>
      <c r="T6" s="498">
        <f>BS_Sorted!T6/BS_Sorted!T$27</f>
        <v>1.4540114342595266E-2</v>
      </c>
      <c r="U6" s="6"/>
    </row>
    <row r="7" spans="1:60" s="9" customFormat="1" x14ac:dyDescent="0.25">
      <c r="A7" s="168" t="s">
        <v>227</v>
      </c>
      <c r="B7" s="163"/>
      <c r="C7" s="163"/>
      <c r="D7" s="18"/>
      <c r="E7" s="18"/>
      <c r="F7" s="257">
        <f>BS_Sorted!F7/BS_Sorted!F$27</f>
        <v>8.8890831221047115E-2</v>
      </c>
      <c r="G7" s="257">
        <f>BS_Sorted!G7/BS_Sorted!G$27</f>
        <v>0.10855835666513385</v>
      </c>
      <c r="H7" s="257">
        <f>BS_Sorted!H7/BS_Sorted!H$27</f>
        <v>0.11098774957189364</v>
      </c>
      <c r="I7" s="257">
        <f>BS_Sorted!I7/BS_Sorted!I$27</f>
        <v>5.0899168895682079E-2</v>
      </c>
      <c r="J7" s="257">
        <f>BS_Sorted!J7/BS_Sorted!J$27</f>
        <v>6.7672536763752372E-2</v>
      </c>
      <c r="K7" s="257">
        <f>BS_Sorted!K7/BS_Sorted!K$27</f>
        <v>0.16049042567846811</v>
      </c>
      <c r="L7" s="257">
        <f>BS_Sorted!L7/BS_Sorted!L$27</f>
        <v>0.11316257866259641</v>
      </c>
      <c r="M7" s="498">
        <f>BS_Sorted!M7/BS_Sorted!M$27</f>
        <v>0.21610984668943189</v>
      </c>
      <c r="N7" s="498">
        <f>BS_Sorted!N7/BS_Sorted!N$27</f>
        <v>0.22802092537747612</v>
      </c>
      <c r="O7" s="498">
        <f>BS_Sorted!O7/BS_Sorted!O$27</f>
        <v>0.24176765980216225</v>
      </c>
      <c r="P7" s="498">
        <f>BS_Sorted!P7/BS_Sorted!P$27</f>
        <v>0.25306910752765688</v>
      </c>
      <c r="Q7" s="498">
        <f>BS_Sorted!Q7/BS_Sorted!Q$27</f>
        <v>0.26324911894195219</v>
      </c>
      <c r="R7" s="498">
        <f>BS_Sorted!R7/BS_Sorted!R$27</f>
        <v>0.27616568392037344</v>
      </c>
      <c r="S7" s="498">
        <f>BS_Sorted!S7/BS_Sorted!S$27</f>
        <v>0.29162905773029124</v>
      </c>
      <c r="T7" s="498">
        <f>BS_Sorted!T7/BS_Sorted!T$27</f>
        <v>0.30583574163444888</v>
      </c>
    </row>
    <row r="8" spans="1:60" s="9" customFormat="1" x14ac:dyDescent="0.25">
      <c r="A8" s="196" t="s">
        <v>230</v>
      </c>
      <c r="B8" s="163"/>
      <c r="C8" s="163"/>
      <c r="D8" s="18"/>
      <c r="E8" s="18"/>
      <c r="F8" s="257">
        <f>BS_Sorted!F8/BS_Sorted!F$27</f>
        <v>4.7927046004137171E-2</v>
      </c>
      <c r="G8" s="257">
        <f>BS_Sorted!G8/BS_Sorted!G$27</f>
        <v>4.7852989283864097E-2</v>
      </c>
      <c r="H8" s="257">
        <f>BS_Sorted!H8/BS_Sorted!H$27</f>
        <v>5.0337780621365798E-2</v>
      </c>
      <c r="I8" s="257">
        <f>BS_Sorted!I8/BS_Sorted!I$27</f>
        <v>5.2087313717997706E-2</v>
      </c>
      <c r="J8" s="257">
        <f>BS_Sorted!J8/BS_Sorted!J$27</f>
        <v>5.1417382057732705E-2</v>
      </c>
      <c r="K8" s="257">
        <f>BS_Sorted!K8/BS_Sorted!K$27</f>
        <v>6.3253891720622679E-2</v>
      </c>
      <c r="L8" s="257">
        <f>BS_Sorted!L8/BS_Sorted!L$27</f>
        <v>5.5536680476463339E-2</v>
      </c>
      <c r="M8" s="498">
        <f>BS_Sorted!M8/BS_Sorted!M$27</f>
        <v>4.107719277246788E-2</v>
      </c>
      <c r="N8" s="498">
        <f>BS_Sorted!N8/BS_Sorted!N$27</f>
        <v>3.7871890690631106E-2</v>
      </c>
      <c r="O8" s="498">
        <f>BS_Sorted!O8/BS_Sorted!O$27</f>
        <v>3.5661329225305849E-2</v>
      </c>
      <c r="P8" s="498">
        <f>BS_Sorted!P8/BS_Sorted!P$27</f>
        <v>3.4626533044904144E-2</v>
      </c>
      <c r="Q8" s="498">
        <f>BS_Sorted!Q8/BS_Sorted!Q$27</f>
        <v>3.4129391901859867E-2</v>
      </c>
      <c r="R8" s="498">
        <f>BS_Sorted!R8/BS_Sorted!R$27</f>
        <v>3.2942873893277824E-2</v>
      </c>
      <c r="S8" s="498">
        <f>BS_Sorted!S8/BS_Sorted!S$27</f>
        <v>3.2120564980715048E-2</v>
      </c>
      <c r="T8" s="498">
        <f>BS_Sorted!T8/BS_Sorted!T$27</f>
        <v>3.2341125709308118E-2</v>
      </c>
    </row>
    <row r="9" spans="1:60" s="9" customFormat="1" x14ac:dyDescent="0.25">
      <c r="A9" s="224" t="s">
        <v>228</v>
      </c>
      <c r="B9" s="89"/>
      <c r="C9" s="89"/>
      <c r="D9" s="89"/>
      <c r="E9" s="89"/>
      <c r="F9" s="257">
        <f>BS_Sorted!F9/BS_Sorted!F$27</f>
        <v>5.1475686857209449E-2</v>
      </c>
      <c r="G9" s="257">
        <f>BS_Sorted!G9/BS_Sorted!G$27</f>
        <v>5.1252350157453275E-2</v>
      </c>
      <c r="H9" s="257">
        <f>BS_Sorted!H9/BS_Sorted!H$27</f>
        <v>5.3731268386619242E-2</v>
      </c>
      <c r="I9" s="257">
        <f>BS_Sorted!I9/BS_Sorted!I$27</f>
        <v>5.523380779518533E-2</v>
      </c>
      <c r="J9" s="257">
        <f>BS_Sorted!J9/BS_Sorted!J$27</f>
        <v>5.4711206784760227E-2</v>
      </c>
      <c r="K9" s="257">
        <f>BS_Sorted!K9/BS_Sorted!K$27</f>
        <v>6.5965008954401438E-2</v>
      </c>
      <c r="L9" s="257">
        <f>BS_Sorted!L9/BS_Sorted!L$27</f>
        <v>5.7813522106661665E-2</v>
      </c>
      <c r="M9" s="498">
        <f>BS_Sorted!M9/BS_Sorted!M$27</f>
        <v>4.3594229431188986E-2</v>
      </c>
      <c r="N9" s="498">
        <f>BS_Sorted!N9/BS_Sorted!N$27</f>
        <v>4.0192519992916072E-2</v>
      </c>
      <c r="O9" s="498">
        <f>BS_Sorted!O9/BS_Sorted!O$27</f>
        <v>3.7846504669402398E-2</v>
      </c>
      <c r="P9" s="498">
        <f>BS_Sorted!P9/BS_Sorted!P$27</f>
        <v>3.674830055519171E-2</v>
      </c>
      <c r="Q9" s="498">
        <f>BS_Sorted!Q9/BS_Sorted!Q$27</f>
        <v>3.6220696705298587E-2</v>
      </c>
      <c r="R9" s="498">
        <f>BS_Sorted!R9/BS_Sorted!R$27</f>
        <v>3.4961473890904322E-2</v>
      </c>
      <c r="S9" s="498">
        <f>BS_Sorted!S9/BS_Sorted!S$27</f>
        <v>3.4088777365702622E-2</v>
      </c>
      <c r="T9" s="498">
        <f>BS_Sorted!T9/BS_Sorted!T$27</f>
        <v>3.4322853122998306E-2</v>
      </c>
    </row>
    <row r="10" spans="1:60" s="9" customFormat="1" x14ac:dyDescent="0.25">
      <c r="A10" s="224" t="s">
        <v>229</v>
      </c>
      <c r="B10" s="73"/>
      <c r="C10" s="73"/>
      <c r="D10" s="73"/>
      <c r="E10" s="73"/>
      <c r="F10" s="257">
        <f>BS_Sorted!F10/BS_Sorted!F$27</f>
        <v>3.5486408530722839E-3</v>
      </c>
      <c r="G10" s="257">
        <f>BS_Sorted!G10/BS_Sorted!G$27</f>
        <v>3.3993608735891781E-3</v>
      </c>
      <c r="H10" s="257">
        <f>BS_Sorted!H10/BS_Sorted!H$27</f>
        <v>3.3934877652534454E-3</v>
      </c>
      <c r="I10" s="257">
        <f>BS_Sorted!I10/BS_Sorted!I$27</f>
        <v>3.1464940771876193E-3</v>
      </c>
      <c r="J10" s="257">
        <f>BS_Sorted!J10/BS_Sorted!J$27</f>
        <v>3.2938247270275175E-3</v>
      </c>
      <c r="K10" s="257">
        <f>BS_Sorted!K10/BS_Sorted!K$27</f>
        <v>2.7111172337787575E-3</v>
      </c>
      <c r="L10" s="257">
        <f>BS_Sorted!L10/BS_Sorted!L$27</f>
        <v>2.2768416301983236E-3</v>
      </c>
      <c r="M10" s="498">
        <f>BS_Sorted!M10/BS_Sorted!M$27</f>
        <v>2.5170366587211053E-3</v>
      </c>
      <c r="N10" s="498">
        <f>BS_Sorted!N10/BS_Sorted!N$27</f>
        <v>2.320629302284963E-3</v>
      </c>
      <c r="O10" s="498">
        <f>BS_Sorted!O10/BS_Sorted!O$27</f>
        <v>2.1851754440965509E-3</v>
      </c>
      <c r="P10" s="498">
        <f>BS_Sorted!P10/BS_Sorted!P$27</f>
        <v>2.1217675102875636E-3</v>
      </c>
      <c r="Q10" s="498">
        <f>BS_Sorted!Q10/BS_Sorted!Q$27</f>
        <v>2.091304803438724E-3</v>
      </c>
      <c r="R10" s="498">
        <f>BS_Sorted!R10/BS_Sorted!R$27</f>
        <v>2.0185999976264947E-3</v>
      </c>
      <c r="S10" s="498">
        <f>BS_Sorted!S10/BS_Sorted!S$27</f>
        <v>1.9682123849875696E-3</v>
      </c>
      <c r="T10" s="498">
        <f>BS_Sorted!T10/BS_Sorted!T$27</f>
        <v>1.9817274136901897E-3</v>
      </c>
    </row>
    <row r="11" spans="1:60" x14ac:dyDescent="0.25">
      <c r="A11" s="168" t="s">
        <v>234</v>
      </c>
      <c r="B11" s="73"/>
      <c r="C11" s="73"/>
      <c r="D11" s="73"/>
      <c r="E11" s="73"/>
      <c r="F11" s="257">
        <f>BS_Sorted!F11/BS_Sorted!F$27</f>
        <v>3.952451708766716E-2</v>
      </c>
      <c r="G11" s="257">
        <f>BS_Sorted!G11/BS_Sorted!G$27</f>
        <v>4.411019982886779E-2</v>
      </c>
      <c r="H11" s="257">
        <f>BS_Sorted!H11/BS_Sorted!H$27</f>
        <v>4.7094835751428588E-2</v>
      </c>
      <c r="I11" s="257">
        <f>BS_Sorted!I11/BS_Sorted!I$27</f>
        <v>4.9454289262514328E-2</v>
      </c>
      <c r="J11" s="257">
        <f>BS_Sorted!J11/BS_Sorted!J$27</f>
        <v>5.2169515263116945E-2</v>
      </c>
      <c r="K11" s="257">
        <f>BS_Sorted!K11/BS_Sorted!K$27</f>
        <v>4.9918721586995451E-2</v>
      </c>
      <c r="L11" s="257">
        <f>BS_Sorted!L11/BS_Sorted!L$27</f>
        <v>4.5541903520737517E-2</v>
      </c>
      <c r="M11" s="498">
        <f>BS_Sorted!M11/BS_Sorted!M$27</f>
        <v>3.7071242816825584E-2</v>
      </c>
      <c r="N11" s="498">
        <f>BS_Sorted!N11/BS_Sorted!N$27</f>
        <v>3.4178529762278927E-2</v>
      </c>
      <c r="O11" s="498">
        <f>BS_Sorted!O11/BS_Sorted!O$27</f>
        <v>3.2183547746431035E-2</v>
      </c>
      <c r="P11" s="498">
        <f>BS_Sorted!P11/BS_Sorted!P$27</f>
        <v>3.1249667462009384E-2</v>
      </c>
      <c r="Q11" s="498">
        <f>BS_Sorted!Q11/BS_Sorted!Q$27</f>
        <v>3.0801008759110356E-2</v>
      </c>
      <c r="R11" s="498">
        <f>BS_Sorted!R11/BS_Sorted!R$27</f>
        <v>2.9730202936367699E-2</v>
      </c>
      <c r="S11" s="498">
        <f>BS_Sorted!S11/BS_Sorted!S$27</f>
        <v>2.8988087633189379E-2</v>
      </c>
      <c r="T11" s="498">
        <f>BS_Sorted!T11/BS_Sorted!T$27</f>
        <v>2.9187138731223757E-2</v>
      </c>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row>
    <row r="12" spans="1:60" x14ac:dyDescent="0.25">
      <c r="A12" s="168" t="s">
        <v>235</v>
      </c>
      <c r="B12" s="31"/>
      <c r="C12" s="31"/>
      <c r="D12" s="31"/>
      <c r="E12" s="31"/>
      <c r="F12" s="257">
        <f>BS_Sorted!F12/BS_Sorted!F$27</f>
        <v>1.771989627946275E-2</v>
      </c>
      <c r="G12" s="257">
        <f>BS_Sorted!G12/BS_Sorted!G$27</f>
        <v>1.7753511411724304E-2</v>
      </c>
      <c r="H12" s="257">
        <f>BS_Sorted!H12/BS_Sorted!H$27</f>
        <v>2.1163822033207255E-2</v>
      </c>
      <c r="I12" s="257">
        <f>BS_Sorted!I12/BS_Sorted!I$27</f>
        <v>1.9965609476499811E-2</v>
      </c>
      <c r="J12" s="257">
        <f>BS_Sorted!J12/BS_Sorted!J$27</f>
        <v>2.11634722618461E-2</v>
      </c>
      <c r="K12" s="257">
        <f>BS_Sorted!K12/BS_Sorted!K$27</f>
        <v>2.3507370161179226E-2</v>
      </c>
      <c r="L12" s="257">
        <f>BS_Sorted!L12/BS_Sorted!L$27</f>
        <v>1.8138669290020944E-2</v>
      </c>
      <c r="M12" s="498">
        <f>BS_Sorted!M12/BS_Sorted!M$27</f>
        <v>3.1149872986087242E-2</v>
      </c>
      <c r="N12" s="498">
        <f>BS_Sorted!N12/BS_Sorted!N$27</f>
        <v>4.8890117522760727E-2</v>
      </c>
      <c r="O12" s="498">
        <f>BS_Sorted!O12/BS_Sorted!O$27</f>
        <v>4.6012665164624857E-2</v>
      </c>
      <c r="P12" s="498">
        <f>BS_Sorted!P12/BS_Sorted!P$27</f>
        <v>4.4391922406171992E-2</v>
      </c>
      <c r="Q12" s="498">
        <f>BS_Sorted!Q12/BS_Sorted!Q$27</f>
        <v>4.4113186202798353E-2</v>
      </c>
      <c r="R12" s="498">
        <f>BS_Sorted!R12/BS_Sorted!R$27</f>
        <v>4.4168899779826132E-2</v>
      </c>
      <c r="S12" s="498">
        <f>BS_Sorted!S12/BS_Sorted!S$27</f>
        <v>4.3704132004150076E-2</v>
      </c>
      <c r="T12" s="498">
        <f>BS_Sorted!T12/BS_Sorted!T$27</f>
        <v>4.5264559151742982E-2</v>
      </c>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row>
    <row r="13" spans="1:60" s="1" customFormat="1" x14ac:dyDescent="0.25">
      <c r="A13" s="168" t="s">
        <v>738</v>
      </c>
      <c r="B13" s="167"/>
      <c r="C13" s="167"/>
      <c r="D13" s="167"/>
      <c r="E13" s="167"/>
      <c r="F13" s="260" t="s">
        <v>54</v>
      </c>
      <c r="G13" s="260" t="s">
        <v>54</v>
      </c>
      <c r="H13" s="260" t="s">
        <v>54</v>
      </c>
      <c r="I13" s="260" t="s">
        <v>54</v>
      </c>
      <c r="J13" s="257">
        <f>BS_Sorted!J13/BS_Sorted!J$27</f>
        <v>1.0828124594755816E-3</v>
      </c>
      <c r="K13" s="260" t="s">
        <v>54</v>
      </c>
      <c r="L13" s="260" t="s">
        <v>54</v>
      </c>
      <c r="M13" s="499" t="s">
        <v>54</v>
      </c>
      <c r="N13" s="499" t="s">
        <v>54</v>
      </c>
      <c r="O13" s="499" t="s">
        <v>54</v>
      </c>
      <c r="P13" s="499" t="s">
        <v>54</v>
      </c>
      <c r="Q13" s="499" t="s">
        <v>54</v>
      </c>
      <c r="R13" s="499" t="s">
        <v>54</v>
      </c>
      <c r="S13" s="499" t="s">
        <v>54</v>
      </c>
      <c r="T13" s="499" t="s">
        <v>54</v>
      </c>
    </row>
    <row r="14" spans="1:60" s="1" customFormat="1" x14ac:dyDescent="0.25">
      <c r="A14" s="168" t="s">
        <v>237</v>
      </c>
      <c r="B14" s="167"/>
      <c r="C14" s="167"/>
      <c r="D14" s="167"/>
      <c r="E14" s="167"/>
      <c r="F14" s="257">
        <f>BS_Sorted!F14/BS_Sorted!F$27</f>
        <v>4.6674241762083733E-3</v>
      </c>
      <c r="G14" s="257">
        <f>BS_Sorted!G14/BS_Sorted!G$27</f>
        <v>6.9849880964161187E-5</v>
      </c>
      <c r="H14" s="257">
        <f>BS_Sorted!H14/BS_Sorted!H$27</f>
        <v>6.100123570626572E-2</v>
      </c>
      <c r="I14" s="257">
        <f>BS_Sorted!I14/BS_Sorted!I$27</f>
        <v>1.253821169277799E-4</v>
      </c>
      <c r="J14" s="260" t="s">
        <v>54</v>
      </c>
      <c r="K14" s="260" t="s">
        <v>54</v>
      </c>
      <c r="L14" s="260" t="s">
        <v>54</v>
      </c>
      <c r="M14" s="499" t="s">
        <v>54</v>
      </c>
      <c r="N14" s="499" t="s">
        <v>54</v>
      </c>
      <c r="O14" s="499" t="s">
        <v>54</v>
      </c>
      <c r="P14" s="499" t="s">
        <v>54</v>
      </c>
      <c r="Q14" s="499" t="s">
        <v>54</v>
      </c>
      <c r="R14" s="499" t="s">
        <v>54</v>
      </c>
      <c r="S14" s="499" t="s">
        <v>54</v>
      </c>
      <c r="T14" s="499" t="s">
        <v>54</v>
      </c>
    </row>
    <row r="15" spans="1:60" s="1" customFormat="1" x14ac:dyDescent="0.25">
      <c r="A15" s="198" t="s">
        <v>236</v>
      </c>
      <c r="B15" s="164" t="s">
        <v>216</v>
      </c>
      <c r="C15" s="164" t="s">
        <v>216</v>
      </c>
      <c r="D15" s="164" t="s">
        <v>216</v>
      </c>
      <c r="E15" s="164" t="s">
        <v>216</v>
      </c>
      <c r="F15" s="261">
        <f>BS_Sorted!F15/BS_Sorted!F$27</f>
        <v>1.3104915071526382E-2</v>
      </c>
      <c r="G15" s="261">
        <f>BS_Sorted!G15/BS_Sorted!G$27</f>
        <v>1.3323864793913747E-2</v>
      </c>
      <c r="H15" s="261">
        <f>BS_Sorted!H15/BS_Sorted!H$27</f>
        <v>1.5436919390552179E-2</v>
      </c>
      <c r="I15" s="261">
        <f>BS_Sorted!I15/BS_Sorted!I$27</f>
        <v>1.5523500191058463E-2</v>
      </c>
      <c r="J15" s="261">
        <f>BS_Sorted!J15/BS_Sorted!J$27</f>
        <v>2.2291672069922452E-2</v>
      </c>
      <c r="K15" s="261">
        <f>BS_Sorted!K15/BS_Sorted!K$27</f>
        <v>2.1049731367957018E-2</v>
      </c>
      <c r="L15" s="261">
        <f>BS_Sorted!L15/BS_Sorted!L$27</f>
        <v>2.5440789440322915E-2</v>
      </c>
      <c r="M15" s="500">
        <f>BS_Sorted!M15/BS_Sorted!M$27</f>
        <v>2.5015256276624927E-2</v>
      </c>
      <c r="N15" s="500">
        <f>BS_Sorted!N15/BS_Sorted!N$27</f>
        <v>2.6393993481231177E-2</v>
      </c>
      <c r="O15" s="500">
        <f>BS_Sorted!O15/BS_Sorted!O$27</f>
        <v>2.7985212437091195E-2</v>
      </c>
      <c r="P15" s="500">
        <f>BS_Sorted!P15/BS_Sorted!P$27</f>
        <v>2.9293383330185222E-2</v>
      </c>
      <c r="Q15" s="500">
        <f>BS_Sorted!Q15/BS_Sorted!Q$27</f>
        <v>3.0471745160192559E-2</v>
      </c>
      <c r="R15" s="500">
        <f>BS_Sorted!R15/BS_Sorted!R$27</f>
        <v>3.1966869922430835E-2</v>
      </c>
      <c r="S15" s="500">
        <f>BS_Sorted!S15/BS_Sorted!S$27</f>
        <v>3.375679418864086E-2</v>
      </c>
      <c r="T15" s="500">
        <f>BS_Sorted!T15/BS_Sorted!T$27</f>
        <v>3.5401253449278913E-2</v>
      </c>
    </row>
    <row r="16" spans="1:60" x14ac:dyDescent="0.25">
      <c r="A16" s="298" t="s">
        <v>239</v>
      </c>
      <c r="B16" s="213"/>
      <c r="C16" s="213"/>
      <c r="D16" s="213"/>
      <c r="E16" s="213"/>
      <c r="F16" s="317">
        <f>BS_Sorted!F16/BS_Sorted!F$27</f>
        <v>0.22695568569181016</v>
      </c>
      <c r="G16" s="317">
        <f>BS_Sorted!G16/BS_Sorted!G$27</f>
        <v>0.23948031688562665</v>
      </c>
      <c r="H16" s="317">
        <f>BS_Sorted!H16/BS_Sorted!H$27</f>
        <v>0.31316685798159616</v>
      </c>
      <c r="I16" s="317">
        <f>BS_Sorted!I16/BS_Sorted!I$27</f>
        <v>0.19584686664119219</v>
      </c>
      <c r="J16" s="317">
        <f>BS_Sorted!J16/BS_Sorted!J$27</f>
        <v>0.22736468086210027</v>
      </c>
      <c r="K16" s="317">
        <f>BS_Sorted!K16/BS_Sorted!K$27</f>
        <v>0.32893235982917757</v>
      </c>
      <c r="L16" s="317">
        <f>BS_Sorted!L16/BS_Sorted!L$27</f>
        <v>0.25993012276689503</v>
      </c>
      <c r="M16" s="501">
        <f>BS_Sorted!M16/BS_Sorted!M$27</f>
        <v>0.38631023739783538</v>
      </c>
      <c r="N16" s="501">
        <f>BS_Sorted!N16/BS_Sorted!N$27</f>
        <v>0.39605812456921369</v>
      </c>
      <c r="O16" s="501">
        <f>BS_Sorted!O16/BS_Sorted!O$27</f>
        <v>0.40798298031371499</v>
      </c>
      <c r="P16" s="501">
        <f>BS_Sorted!P16/BS_Sorted!P$27</f>
        <v>0.42525470324841641</v>
      </c>
      <c r="Q16" s="501">
        <f>BS_Sorted!Q16/BS_Sorted!Q$27</f>
        <v>0.44347164370710457</v>
      </c>
      <c r="R16" s="501">
        <f>BS_Sorted!R16/BS_Sorted!R$27</f>
        <v>0.45325309161203386</v>
      </c>
      <c r="S16" s="501">
        <f>BS_Sorted!S16/BS_Sorted!S$27</f>
        <v>0.45766767946022469</v>
      </c>
      <c r="T16" s="501">
        <f>BS_Sorted!T16/BS_Sorted!T$27</f>
        <v>0.46256993301859795</v>
      </c>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row>
    <row r="17" spans="1:60" s="1" customFormat="1" x14ac:dyDescent="0.25">
      <c r="A17" s="168" t="s">
        <v>240</v>
      </c>
      <c r="B17" s="31"/>
      <c r="C17" s="31"/>
      <c r="D17" s="31"/>
      <c r="E17" s="31"/>
      <c r="F17" s="260" t="s">
        <v>54</v>
      </c>
      <c r="G17" s="260" t="s">
        <v>54</v>
      </c>
      <c r="H17" s="260" t="s">
        <v>54</v>
      </c>
      <c r="I17" s="257">
        <f>BS_Sorted!I17/BS_Sorted!I$27</f>
        <v>0.10229389568207872</v>
      </c>
      <c r="J17" s="257">
        <f>BS_Sorted!J17/BS_Sorted!J$27</f>
        <v>0.10929273543066111</v>
      </c>
      <c r="K17" s="257">
        <f>BS_Sorted!K17/BS_Sorted!K$27</f>
        <v>9.0767323322771737E-2</v>
      </c>
      <c r="L17" s="257">
        <f>BS_Sorted!L17/BS_Sorted!L$27</f>
        <v>5.5947424734917824E-2</v>
      </c>
      <c r="M17" s="498">
        <f>BS_Sorted!M17/BS_Sorted!M$27</f>
        <v>5.494327449007369E-2</v>
      </c>
      <c r="N17" s="498">
        <f>BS_Sorted!N17/BS_Sorted!N$27</f>
        <v>5.7899491891303397E-2</v>
      </c>
      <c r="O17" s="498">
        <f>BS_Sorted!O17/BS_Sorted!O$27</f>
        <v>6.1313812371709284E-2</v>
      </c>
      <c r="P17" s="498">
        <f>BS_Sorted!P17/BS_Sorted!P$27</f>
        <v>6.4100189352285453E-2</v>
      </c>
      <c r="Q17" s="498">
        <f>BS_Sorted!Q17/BS_Sorted!Q$27</f>
        <v>6.6595850606241319E-2</v>
      </c>
      <c r="R17" s="498">
        <f>BS_Sorted!R17/BS_Sorted!R$27</f>
        <v>6.9776635021294026E-2</v>
      </c>
      <c r="S17" s="498">
        <f>BS_Sorted!S17/BS_Sorted!S$27</f>
        <v>7.3592095414751618E-2</v>
      </c>
      <c r="T17" s="498">
        <f>BS_Sorted!T17/BS_Sorted!T$27</f>
        <v>7.7081237337383438E-2</v>
      </c>
    </row>
    <row r="18" spans="1:60" s="1" customFormat="1" x14ac:dyDescent="0.25">
      <c r="A18" s="168" t="s">
        <v>241</v>
      </c>
      <c r="B18" s="73"/>
      <c r="C18" s="73"/>
      <c r="D18" s="73"/>
      <c r="E18" s="73"/>
      <c r="F18" s="257">
        <f>BS_Sorted!F18/BS_Sorted!F$27</f>
        <v>4.1464906913731316E-2</v>
      </c>
      <c r="G18" s="257">
        <f>BS_Sorted!G18/BS_Sorted!G$27</f>
        <v>4.0833076246965895E-2</v>
      </c>
      <c r="H18" s="257">
        <f>BS_Sorted!H18/BS_Sorted!H$27</f>
        <v>1.7356341305834164E-2</v>
      </c>
      <c r="I18" s="257">
        <f>BS_Sorted!I18/BS_Sorted!I$27</f>
        <v>1.7995319067634696E-2</v>
      </c>
      <c r="J18" s="257">
        <f>BS_Sorted!J18/BS_Sorted!J$27</f>
        <v>2.2084187047747492E-2</v>
      </c>
      <c r="K18" s="257">
        <f>BS_Sorted!K18/BS_Sorted!K$27</f>
        <v>2.7849566055930568E-2</v>
      </c>
      <c r="L18" s="257">
        <f>BS_Sorted!L18/BS_Sorted!L$27</f>
        <v>2.0466220087929698E-2</v>
      </c>
      <c r="M18" s="498">
        <f>BS_Sorted!M18/BS_Sorted!M$27</f>
        <v>2.012389362815591E-2</v>
      </c>
      <c r="N18" s="498">
        <f>BS_Sorted!N18/BS_Sorted!N$27</f>
        <v>2.123303920475364E-2</v>
      </c>
      <c r="O18" s="498">
        <f>BS_Sorted!O18/BS_Sorted!O$27</f>
        <v>2.2513118875044855E-2</v>
      </c>
      <c r="P18" s="498">
        <f>BS_Sorted!P18/BS_Sorted!P$27</f>
        <v>2.3565496336581129E-2</v>
      </c>
      <c r="Q18" s="498">
        <f>BS_Sorted!Q18/BS_Sorted!Q$27</f>
        <v>2.4513446973597197E-2</v>
      </c>
      <c r="R18" s="498">
        <f>BS_Sorted!R18/BS_Sorted!R$27</f>
        <v>2.5716222245750611E-2</v>
      </c>
      <c r="S18" s="498">
        <f>BS_Sorted!S18/BS_Sorted!S$27</f>
        <v>2.7156153347688755E-2</v>
      </c>
      <c r="T18" s="498">
        <f>BS_Sorted!T18/BS_Sorted!T$27</f>
        <v>2.8479062970159393E-2</v>
      </c>
    </row>
    <row r="19" spans="1:60" s="1" customFormat="1" x14ac:dyDescent="0.25">
      <c r="A19" s="168" t="s">
        <v>294</v>
      </c>
      <c r="B19" s="31"/>
      <c r="C19" s="31"/>
      <c r="D19" s="31"/>
      <c r="E19" s="31"/>
      <c r="F19" s="257">
        <f>BS_Sorted!F19/BS_Sorted!F$27</f>
        <v>7.7603939049616877E-2</v>
      </c>
      <c r="G19" s="257">
        <f>BS_Sorted!G19/BS_Sorted!G$27</f>
        <v>8.0705716630674579E-2</v>
      </c>
      <c r="H19" s="257">
        <f>BS_Sorted!H19/BS_Sorted!H$27</f>
        <v>8.3959027241991432E-2</v>
      </c>
      <c r="I19" s="257">
        <f>BS_Sorted!I19/BS_Sorted!I$27</f>
        <v>8.3391048910966756E-2</v>
      </c>
      <c r="J19" s="257">
        <f>BS_Sorted!J19/BS_Sorted!J$27</f>
        <v>9.012630650724901E-2</v>
      </c>
      <c r="K19" s="257">
        <f>BS_Sorted!K19/BS_Sorted!K$27</f>
        <v>8.200578592092575E-2</v>
      </c>
      <c r="L19" s="257">
        <f>BS_Sorted!L19/BS_Sorted!L$27</f>
        <v>8.2524099531954387E-2</v>
      </c>
      <c r="M19" s="498">
        <f>BS_Sorted!M19/BS_Sorted!M$27</f>
        <v>7.4056922758230559E-2</v>
      </c>
      <c r="N19" s="498">
        <f>BS_Sorted!N19/BS_Sorted!N$27</f>
        <v>7.1685999477621165E-2</v>
      </c>
      <c r="O19" s="498">
        <f>BS_Sorted!O19/BS_Sorted!O$27</f>
        <v>7.0096748117752503E-2</v>
      </c>
      <c r="P19" s="498">
        <f>BS_Sorted!P19/BS_Sorted!P$27</f>
        <v>6.8020547620026683E-2</v>
      </c>
      <c r="Q19" s="498">
        <f>BS_Sorted!Q19/BS_Sorted!Q$27</f>
        <v>6.5932135742222148E-2</v>
      </c>
      <c r="R19" s="498">
        <f>BS_Sorted!R19/BS_Sorted!R$27</f>
        <v>6.477416141764715E-2</v>
      </c>
      <c r="S19" s="498">
        <f>BS_Sorted!S19/BS_Sorted!S$27</f>
        <v>6.4366879849295372E-2</v>
      </c>
      <c r="T19" s="498">
        <f>BS_Sorted!T19/BS_Sorted!T$27</f>
        <v>6.3815386240671859E-2</v>
      </c>
    </row>
    <row r="20" spans="1:60" x14ac:dyDescent="0.25">
      <c r="A20" s="205" t="s">
        <v>293</v>
      </c>
      <c r="B20" s="165"/>
      <c r="C20" s="165"/>
      <c r="D20" s="165"/>
      <c r="E20" s="165"/>
      <c r="F20" s="262">
        <f>BS_Sorted!F20/BS_Sorted!F$27</f>
        <v>0.16388427585001311</v>
      </c>
      <c r="G20" s="262">
        <f>BS_Sorted!G20/BS_Sorted!G$27</f>
        <v>0.17484007287670913</v>
      </c>
      <c r="H20" s="262">
        <f>BS_Sorted!H20/BS_Sorted!H$27</f>
        <v>0.18803434887061465</v>
      </c>
      <c r="I20" s="262">
        <f>BS_Sorted!I20/BS_Sorted!I$27</f>
        <v>0.18363106610622851</v>
      </c>
      <c r="J20" s="262">
        <f>BS_Sorted!J20/BS_Sorted!J$27</f>
        <v>0.18615945223954145</v>
      </c>
      <c r="K20" s="262">
        <f>BS_Sorted!K20/BS_Sorted!K$27</f>
        <v>0.16506405841024935</v>
      </c>
      <c r="L20" s="262">
        <f>BS_Sorted!L20/BS_Sorted!L$27</f>
        <v>0.15947019061576143</v>
      </c>
      <c r="M20" s="502">
        <f>BS_Sorted!M20/BS_Sorted!M$27</f>
        <v>0.15446754987939607</v>
      </c>
      <c r="N20" s="502">
        <f>BS_Sorted!N20/BS_Sorted!N$27</f>
        <v>0.16057375085015721</v>
      </c>
      <c r="O20" s="502">
        <f>BS_Sorted!O20/BS_Sorted!O$27</f>
        <v>0.16775967499396957</v>
      </c>
      <c r="P20" s="502">
        <f>BS_Sorted!P20/BS_Sorted!P$27</f>
        <v>0.1730489723343237</v>
      </c>
      <c r="Q20" s="502">
        <f>BS_Sorted!Q20/BS_Sorted!Q$27</f>
        <v>0.17741363312675179</v>
      </c>
      <c r="R20" s="502">
        <f>BS_Sorted!R20/BS_Sorted!R$27</f>
        <v>0.18345445941814703</v>
      </c>
      <c r="S20" s="502">
        <f>BS_Sorted!S20/BS_Sorted!S$27</f>
        <v>0.19097427798438979</v>
      </c>
      <c r="T20" s="502">
        <f>BS_Sorted!T20/BS_Sorted!T$27</f>
        <v>0.1974529337317151</v>
      </c>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row>
    <row r="21" spans="1:60" x14ac:dyDescent="0.25">
      <c r="A21" s="205" t="s">
        <v>248</v>
      </c>
      <c r="B21" s="166"/>
      <c r="C21" s="166"/>
      <c r="D21" s="166"/>
      <c r="E21" s="166"/>
      <c r="F21" s="262">
        <f>BS_Sorted!F21/BS_Sorted!F$27</f>
        <v>8.6280336800396235E-2</v>
      </c>
      <c r="G21" s="262">
        <f>BS_Sorted!G21/BS_Sorted!G$27</f>
        <v>9.413435624603457E-2</v>
      </c>
      <c r="H21" s="262">
        <f>BS_Sorted!H21/BS_Sorted!H$27</f>
        <v>0.10406904900798504</v>
      </c>
      <c r="I21" s="262">
        <f>BS_Sorted!I21/BS_Sorted!I$27</f>
        <v>0.10024001719526175</v>
      </c>
      <c r="J21" s="262">
        <f>BS_Sorted!J21/BS_Sorted!J$27</f>
        <v>9.6039629639235416E-2</v>
      </c>
      <c r="K21" s="262">
        <f>BS_Sorted!K21/BS_Sorted!K$27</f>
        <v>8.3063782890205259E-2</v>
      </c>
      <c r="L21" s="262">
        <f>BS_Sorted!L21/BS_Sorted!L$27</f>
        <v>7.6946091083807039E-2</v>
      </c>
      <c r="M21" s="502">
        <f>BS_Sorted!M21/BS_Sorted!M$27</f>
        <v>8.0410627121165507E-2</v>
      </c>
      <c r="N21" s="502">
        <f>BS_Sorted!N21/BS_Sorted!N$27</f>
        <v>8.8887751372536045E-2</v>
      </c>
      <c r="O21" s="502">
        <f>BS_Sorted!O21/BS_Sorted!O$27</f>
        <v>9.7662926876217068E-2</v>
      </c>
      <c r="P21" s="502">
        <f>BS_Sorted!P21/BS_Sorted!P$27</f>
        <v>0.10502842471429701</v>
      </c>
      <c r="Q21" s="502">
        <f>BS_Sorted!Q21/BS_Sorted!Q$27</f>
        <v>0.11148149738452966</v>
      </c>
      <c r="R21" s="502">
        <f>BS_Sorted!R21/BS_Sorted!R$27</f>
        <v>0.11868029800049988</v>
      </c>
      <c r="S21" s="502">
        <f>BS_Sorted!S21/BS_Sorted!S$27</f>
        <v>0.12660739813509442</v>
      </c>
      <c r="T21" s="502">
        <f>BS_Sorted!T21/BS_Sorted!T$27</f>
        <v>0.13363754749104326</v>
      </c>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row>
    <row r="22" spans="1:60" x14ac:dyDescent="0.25">
      <c r="A22" s="168" t="s">
        <v>250</v>
      </c>
      <c r="B22" s="31"/>
      <c r="C22" s="31"/>
      <c r="D22" s="31"/>
      <c r="E22" s="31"/>
      <c r="F22" s="257">
        <f>BS_Sorted!F22/BS_Sorted!F$27</f>
        <v>0.30677971039827523</v>
      </c>
      <c r="G22" s="257">
        <f>BS_Sorted!G22/BS_Sorted!G$27</f>
        <v>0.28371275400618173</v>
      </c>
      <c r="H22" s="257">
        <f>BS_Sorted!H22/BS_Sorted!H$27</f>
        <v>0.22086524529083004</v>
      </c>
      <c r="I22" s="257">
        <f>BS_Sorted!I22/BS_Sorted!I$27</f>
        <v>0.21117930836836071</v>
      </c>
      <c r="J22" s="257">
        <f>BS_Sorted!J22/BS_Sorted!J$27</f>
        <v>0.18460331457322923</v>
      </c>
      <c r="K22" s="257">
        <f>BS_Sorted!K22/BS_Sorted!K$27</f>
        <v>0.13856454057032649</v>
      </c>
      <c r="L22" s="257">
        <f>BS_Sorted!L22/BS_Sorted!L$27</f>
        <v>0.2199256603601365</v>
      </c>
      <c r="M22" s="498">
        <f>BS_Sorted!M22/BS_Sorted!M$27</f>
        <v>0.18655337740262595</v>
      </c>
      <c r="N22" s="498">
        <f>BS_Sorted!N22/BS_Sorted!N$27</f>
        <v>0.16899409323260736</v>
      </c>
      <c r="O22" s="498">
        <f>BS_Sorted!O22/BS_Sorted!O$27</f>
        <v>0.15284519890147419</v>
      </c>
      <c r="P22" s="498">
        <f>BS_Sorted!P22/BS_Sorted!P$27</f>
        <v>0.13481588949528928</v>
      </c>
      <c r="Q22" s="498">
        <f>BS_Sorted!Q22/BS_Sorted!Q$27</f>
        <v>0.11706600064079715</v>
      </c>
      <c r="R22" s="498">
        <f>BS_Sorted!R22/BS_Sorted!R$27</f>
        <v>0.10404504035748227</v>
      </c>
      <c r="S22" s="498">
        <f>BS_Sorted!S22/BS_Sorted!S$27</f>
        <v>9.3082980334645918E-2</v>
      </c>
      <c r="T22" s="498">
        <f>BS_Sorted!T22/BS_Sorted!T$27</f>
        <v>8.2701909791963318E-2</v>
      </c>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row>
    <row r="23" spans="1:60" x14ac:dyDescent="0.25">
      <c r="A23" s="168" t="s">
        <v>251</v>
      </c>
      <c r="B23" s="31"/>
      <c r="C23" s="31"/>
      <c r="D23" s="31"/>
      <c r="E23" s="31"/>
      <c r="F23" s="257">
        <f>BS_Sorted!F23/BS_Sorted!F$27</f>
        <v>0.3172741310491507</v>
      </c>
      <c r="G23" s="257">
        <f>BS_Sorted!G23/BS_Sorted!G$27</f>
        <v>0.3256867116422289</v>
      </c>
      <c r="H23" s="257">
        <f>BS_Sorted!H23/BS_Sorted!H$27</f>
        <v>0.33502694090564095</v>
      </c>
      <c r="I23" s="257">
        <f>BS_Sorted!I23/BS_Sorted!I$27</f>
        <v>0.35019225257928926</v>
      </c>
      <c r="J23" s="257">
        <f>BS_Sorted!J23/BS_Sorted!J$27</f>
        <v>0.32145265451150246</v>
      </c>
      <c r="K23" s="257">
        <f>BS_Sorted!K23/BS_Sorted!K$27</f>
        <v>0.27115580658492905</v>
      </c>
      <c r="L23" s="257">
        <f>BS_Sorted!L23/BS_Sorted!L$27</f>
        <v>0.26051834911233601</v>
      </c>
      <c r="M23" s="498">
        <f>BS_Sorted!M23/BS_Sorted!M$27</f>
        <v>0.24482539566403322</v>
      </c>
      <c r="N23" s="498">
        <f>BS_Sorted!N23/BS_Sorted!N$27</f>
        <v>0.24688823124111936</v>
      </c>
      <c r="O23" s="498">
        <f>BS_Sorted!O23/BS_Sorted!O$27</f>
        <v>0.25018868583327714</v>
      </c>
      <c r="P23" s="498">
        <f>BS_Sorted!P23/BS_Sorted!P$27</f>
        <v>0.25029511140577065</v>
      </c>
      <c r="Q23" s="498">
        <f>BS_Sorted!Q23/BS_Sorted!Q$27</f>
        <v>0.24884214418970391</v>
      </c>
      <c r="R23" s="498">
        <f>BS_Sorted!R23/BS_Sorted!R$27</f>
        <v>0.24949996887750131</v>
      </c>
      <c r="S23" s="498">
        <f>BS_Sorted!S23/BS_Sorted!S$27</f>
        <v>0.25181137965853007</v>
      </c>
      <c r="T23" s="498">
        <f>BS_Sorted!T23/BS_Sorted!T$27</f>
        <v>0.2523925727579297</v>
      </c>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row>
    <row r="24" spans="1:60" x14ac:dyDescent="0.25">
      <c r="A24" s="168" t="s">
        <v>739</v>
      </c>
      <c r="B24" s="31"/>
      <c r="C24" s="31"/>
      <c r="D24" s="31"/>
      <c r="E24" s="31"/>
      <c r="F24" s="257">
        <f>BS_Sorted!F24/BS_Sorted!F$27</f>
        <v>1.0558517612096845E-2</v>
      </c>
      <c r="G24" s="257">
        <f>BS_Sorted!G24/BS_Sorted!G$27</f>
        <v>1.0797627432376585E-2</v>
      </c>
      <c r="H24" s="257">
        <f>BS_Sorted!H24/BS_Sorted!H$27</f>
        <v>1.206852210785144E-2</v>
      </c>
      <c r="I24" s="257">
        <f>BS_Sorted!I24/BS_Sorted!I$27</f>
        <v>1.2532241115781429E-2</v>
      </c>
      <c r="J24" s="257">
        <f>BS_Sorted!J24/BS_Sorted!J$27</f>
        <v>1.5451150245091682E-2</v>
      </c>
      <c r="K24" s="257">
        <f>BS_Sorted!K24/BS_Sorted!K$27</f>
        <v>1.8410249345639895E-2</v>
      </c>
      <c r="L24" s="257">
        <f>BS_Sorted!L24/BS_Sorted!L$27</f>
        <v>3.3939645948591043E-2</v>
      </c>
      <c r="M24" s="498">
        <f>BS_Sorted!M24/BS_Sorted!M$27</f>
        <v>1.0259900782251018E-2</v>
      </c>
      <c r="N24" s="498">
        <f>BS_Sorted!N24/BS_Sorted!N$27</f>
        <v>1.6103043349170468E-2</v>
      </c>
      <c r="O24" s="498">
        <f>BS_Sorted!O24/BS_Sorted!O$27</f>
        <v>1.5155290666091659E-2</v>
      </c>
      <c r="P24" s="498">
        <f>BS_Sorted!P24/BS_Sorted!P$27</f>
        <v>1.4621463131619682E-2</v>
      </c>
      <c r="Q24" s="498">
        <f>BS_Sorted!Q24/BS_Sorted!Q$27</f>
        <v>1.4529655187737784E-2</v>
      </c>
      <c r="R24" s="498">
        <f>BS_Sorted!R24/BS_Sorted!R$27</f>
        <v>1.4548005688646235E-2</v>
      </c>
      <c r="S24" s="498">
        <f>BS_Sorted!S24/BS_Sorted!S$27</f>
        <v>1.4394924124963661E-2</v>
      </c>
      <c r="T24" s="498">
        <f>BS_Sorted!T24/BS_Sorted!T$27</f>
        <v>1.4908885376728147E-2</v>
      </c>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row>
    <row r="25" spans="1:60" s="1" customFormat="1" x14ac:dyDescent="0.25">
      <c r="A25" s="168" t="s">
        <v>253</v>
      </c>
      <c r="B25" s="31"/>
      <c r="C25" s="31"/>
      <c r="D25" s="31"/>
      <c r="E25" s="31"/>
      <c r="F25" s="257">
        <f>BS_Sorted!F25/BS_Sorted!F$27</f>
        <v>1.9363109285318883E-2</v>
      </c>
      <c r="G25" s="257">
        <f>BS_Sorted!G25/BS_Sorted!G$27</f>
        <v>1.8783797155945681E-2</v>
      </c>
      <c r="H25" s="257">
        <f>BS_Sorted!H25/BS_Sorted!H$27</f>
        <v>1.7557065166255811E-2</v>
      </c>
      <c r="I25" s="257">
        <f>BS_Sorted!I25/BS_Sorted!I$27</f>
        <v>2.6569067634696217E-2</v>
      </c>
      <c r="J25" s="257">
        <f>BS_Sorted!J25/BS_Sorted!J$27</f>
        <v>2.9624970822418755E-2</v>
      </c>
      <c r="K25" s="257">
        <f>BS_Sorted!K25/BS_Sorted!K$27</f>
        <v>4.2314368370298942E-2</v>
      </c>
      <c r="L25" s="257">
        <f>BS_Sorted!L25/BS_Sorted!L$27</f>
        <v>6.6748477457239497E-2</v>
      </c>
      <c r="M25" s="498">
        <f>BS_Sorted!M25/BS_Sorted!M$27</f>
        <v>2.2926997876794405E-2</v>
      </c>
      <c r="N25" s="498">
        <f>BS_Sorted!N25/BS_Sorted!N$27</f>
        <v>2.1137977034211126E-2</v>
      </c>
      <c r="O25" s="498">
        <f>BS_Sorted!O25/BS_Sorted!O$27</f>
        <v>1.990416492093533E-2</v>
      </c>
      <c r="P25" s="498">
        <f>BS_Sorted!P25/BS_Sorted!P$27</f>
        <v>1.9326599410010581E-2</v>
      </c>
      <c r="Q25" s="498">
        <f>BS_Sorted!Q25/BS_Sorted!Q$27</f>
        <v>1.9049122952595924E-2</v>
      </c>
      <c r="R25" s="498">
        <f>BS_Sorted!R25/BS_Sorted!R$27</f>
        <v>1.8386874779644534E-2</v>
      </c>
      <c r="S25" s="498">
        <f>BS_Sorted!S25/BS_Sorted!S$27</f>
        <v>1.79279078098999E-2</v>
      </c>
      <c r="T25" s="498">
        <f>BS_Sorted!T25/BS_Sorted!T$27</f>
        <v>1.805101250656619E-2</v>
      </c>
    </row>
    <row r="26" spans="1:60" x14ac:dyDescent="0.25">
      <c r="A26" s="224" t="s">
        <v>295</v>
      </c>
      <c r="B26" s="31"/>
      <c r="C26" s="31"/>
      <c r="D26" s="31"/>
      <c r="E26" s="31"/>
      <c r="F26" s="260" t="s">
        <v>54</v>
      </c>
      <c r="G26" s="260" t="s">
        <v>54</v>
      </c>
      <c r="H26" s="260" t="s">
        <v>54</v>
      </c>
      <c r="I26" s="257">
        <f>BS_Sorted!I26/BS_Sorted!I$27</f>
        <v>7.6960737485670611E-3</v>
      </c>
      <c r="J26" s="257">
        <f>BS_Sorted!J26/BS_Sorted!J$27</f>
        <v>8.9866950229530312E-3</v>
      </c>
      <c r="K26" s="257">
        <f>BS_Sorted!K26/BS_Sorted!K$27</f>
        <v>1.5644028103044497E-2</v>
      </c>
      <c r="L26" s="257">
        <f>BS_Sorted!L26/BS_Sorted!L$27</f>
        <v>1.5222892146671196E-2</v>
      </c>
      <c r="M26" s="498">
        <f>BS_Sorted!M26/BS_Sorted!M$27</f>
        <v>1.3630539921950837E-2</v>
      </c>
      <c r="N26" s="498">
        <f>BS_Sorted!N26/BS_Sorted!N$27</f>
        <v>1.3171130602537565E-2</v>
      </c>
      <c r="O26" s="498">
        <f>BS_Sorted!O26/BS_Sorted!O$27</f>
        <v>1.2862120189971703E-2</v>
      </c>
      <c r="P26" s="498">
        <f>BS_Sorted!P26/BS_Sorted!P$27</f>
        <v>1.2469191531375164E-2</v>
      </c>
      <c r="Q26" s="498">
        <f>BS_Sorted!Q26/BS_Sorted!Q$27</f>
        <v>1.2078379762562595E-2</v>
      </c>
      <c r="R26" s="498">
        <f>BS_Sorted!R26/BS_Sorted!R$27</f>
        <v>1.1861225791499223E-2</v>
      </c>
      <c r="S26" s="503" t="s">
        <v>54</v>
      </c>
      <c r="T26" s="503" t="s">
        <v>54</v>
      </c>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row>
    <row r="27" spans="1:60" x14ac:dyDescent="0.25">
      <c r="A27" s="206" t="s">
        <v>296</v>
      </c>
      <c r="B27" s="215" t="s">
        <v>216</v>
      </c>
      <c r="C27" s="215" t="s">
        <v>216</v>
      </c>
      <c r="D27" s="215" t="s">
        <v>216</v>
      </c>
      <c r="E27" s="215" t="s">
        <v>216</v>
      </c>
      <c r="F27" s="295">
        <f>BS_Sorted!F27/BS_Sorted!F$27</f>
        <v>1</v>
      </c>
      <c r="G27" s="295">
        <f>BS_Sorted!G27/BS_Sorted!G$27</f>
        <v>1</v>
      </c>
      <c r="H27" s="295">
        <f>BS_Sorted!H27/BS_Sorted!H$27</f>
        <v>1</v>
      </c>
      <c r="I27" s="295">
        <f>BS_Sorted!I27/BS_Sorted!I$27</f>
        <v>1</v>
      </c>
      <c r="J27" s="295">
        <f>BS_Sorted!J27/BS_Sorted!J$27</f>
        <v>1</v>
      </c>
      <c r="K27" s="295">
        <f>BS_Sorted!K27/BS_Sorted!K$27</f>
        <v>1</v>
      </c>
      <c r="L27" s="295">
        <f>BS_Sorted!L27/BS_Sorted!L$27</f>
        <v>1</v>
      </c>
      <c r="M27" s="343">
        <f>BS_Sorted!M27/BS_Sorted!M$27</f>
        <v>1</v>
      </c>
      <c r="N27" s="343">
        <f>BS_Sorted!N27/BS_Sorted!N$27</f>
        <v>1</v>
      </c>
      <c r="O27" s="343">
        <f>BS_Sorted!O27/BS_Sorted!O$27</f>
        <v>1</v>
      </c>
      <c r="P27" s="343">
        <f>BS_Sorted!P27/BS_Sorted!P$27</f>
        <v>1</v>
      </c>
      <c r="Q27" s="343">
        <f>BS_Sorted!Q27/BS_Sorted!Q$27</f>
        <v>1</v>
      </c>
      <c r="R27" s="343">
        <f>BS_Sorted!R27/BS_Sorted!R$27</f>
        <v>1</v>
      </c>
      <c r="S27" s="343">
        <f>BS_Sorted!S27/BS_Sorted!S$27</f>
        <v>1</v>
      </c>
      <c r="T27" s="343">
        <f>BS_Sorted!T27/BS_Sorted!T$27</f>
        <v>1</v>
      </c>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row>
    <row r="28" spans="1:60" x14ac:dyDescent="0.25">
      <c r="A28" s="174" t="s">
        <v>297</v>
      </c>
      <c r="B28" s="169"/>
      <c r="C28" s="169"/>
      <c r="D28" s="169"/>
      <c r="E28" s="169"/>
      <c r="F28" s="399"/>
      <c r="G28" s="399"/>
      <c r="H28" s="399"/>
      <c r="I28" s="399"/>
      <c r="J28" s="399"/>
      <c r="K28" s="399"/>
      <c r="L28" s="399"/>
      <c r="M28" s="504"/>
      <c r="N28" s="504"/>
      <c r="O28" s="504"/>
      <c r="P28" s="504"/>
      <c r="Q28" s="504"/>
      <c r="R28" s="504"/>
      <c r="S28" s="504"/>
      <c r="T28" s="504"/>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row>
    <row r="29" spans="1:60" s="1" customFormat="1" x14ac:dyDescent="0.25">
      <c r="A29" s="168" t="s">
        <v>255</v>
      </c>
      <c r="B29" s="170"/>
      <c r="C29" s="170"/>
      <c r="D29" s="170"/>
      <c r="E29" s="170"/>
      <c r="F29" s="257">
        <f>BS_Sorted!F29/BS_Sorted!F$27</f>
        <v>6.2278938321242316E-2</v>
      </c>
      <c r="G29" s="257">
        <f>BS_Sorted!G29/BS_Sorted!G$27</f>
        <v>5.7934655436358028E-2</v>
      </c>
      <c r="H29" s="257">
        <f>BS_Sorted!H29/BS_Sorted!H$27</f>
        <v>5.5393512855735995E-2</v>
      </c>
      <c r="I29" s="257">
        <f>BS_Sorted!I29/BS_Sorted!I$27</f>
        <v>9.6693494459304544E-2</v>
      </c>
      <c r="J29" s="257">
        <f>BS_Sorted!J29/BS_Sorted!J$27</f>
        <v>1.7526000466841298E-2</v>
      </c>
      <c r="K29" s="257">
        <f>BS_Sorted!K29/BS_Sorted!K$27</f>
        <v>1.234880837580934E-2</v>
      </c>
      <c r="L29" s="257">
        <f>BS_Sorted!L29/BS_Sorted!L$27</f>
        <v>1.4933849890721744E-2</v>
      </c>
      <c r="M29" s="498">
        <f>BS_Sorted!M29/BS_Sorted!M$27</f>
        <v>3.8036573362198997E-2</v>
      </c>
      <c r="N29" s="498">
        <f>BS_Sorted!N29/BS_Sorted!N$27</f>
        <v>3.5068534420026928E-2</v>
      </c>
      <c r="O29" s="498">
        <f>BS_Sorted!O29/BS_Sorted!O$27</f>
        <v>3.3021603320980392E-2</v>
      </c>
      <c r="P29" s="498">
        <f>BS_Sorted!P29/BS_Sorted!P$27</f>
        <v>3.2063404910276094E-2</v>
      </c>
      <c r="Q29" s="498">
        <f>BS_Sorted!Q29/BS_Sorted!Q$27</f>
        <v>3.1603063190638297E-2</v>
      </c>
      <c r="R29" s="498">
        <f>BS_Sorted!R29/BS_Sorted!R$27</f>
        <v>3.0504373717650492E-2</v>
      </c>
      <c r="S29" s="498">
        <f>BS_Sorted!S29/BS_Sorted!S$27</f>
        <v>2.9742933824414945E-2</v>
      </c>
      <c r="T29" s="498">
        <f>BS_Sorted!T29/BS_Sorted!T$27</f>
        <v>2.9947168188248423E-2</v>
      </c>
    </row>
    <row r="30" spans="1:60" s="1" customFormat="1" x14ac:dyDescent="0.25">
      <c r="A30" s="168" t="s">
        <v>256</v>
      </c>
      <c r="B30" s="167"/>
      <c r="C30" s="167"/>
      <c r="D30" s="167"/>
      <c r="E30" s="167"/>
      <c r="F30" s="257">
        <f>BS_Sorted!F30/BS_Sorted!F$27</f>
        <v>2.6431256009090114E-2</v>
      </c>
      <c r="G30" s="257">
        <f>BS_Sorted!G30/BS_Sorted!G$27</f>
        <v>2.7101753814094541E-2</v>
      </c>
      <c r="H30" s="257">
        <f>BS_Sorted!H30/BS_Sorted!H$27</f>
        <v>2.9318228862836606E-2</v>
      </c>
      <c r="I30" s="257">
        <f>BS_Sorted!I30/BS_Sorted!I$27</f>
        <v>2.5195834925487198E-2</v>
      </c>
      <c r="J30" s="257">
        <f>BS_Sorted!J30/BS_Sorted!J$27</f>
        <v>2.7939155017247193E-2</v>
      </c>
      <c r="K30" s="257">
        <f>BS_Sorted!K30/BS_Sorted!K$27</f>
        <v>3.073701611792258E-2</v>
      </c>
      <c r="L30" s="257">
        <f>BS_Sorted!L30/BS_Sorted!L$27</f>
        <v>3.4527872294032036E-2</v>
      </c>
      <c r="M30" s="498">
        <f>BS_Sorted!M30/BS_Sorted!M$27</f>
        <v>2.2361977148898139E-2</v>
      </c>
      <c r="N30" s="498">
        <f>BS_Sorted!N30/BS_Sorted!N$27</f>
        <v>2.0617045543995696E-2</v>
      </c>
      <c r="O30" s="498">
        <f>BS_Sorted!O30/BS_Sorted!O$27</f>
        <v>1.9413639915776364E-2</v>
      </c>
      <c r="P30" s="498">
        <f>BS_Sorted!P30/BS_Sorted!P$27</f>
        <v>1.8850308125600585E-2</v>
      </c>
      <c r="Q30" s="498">
        <f>BS_Sorted!Q30/BS_Sorted!Q$27</f>
        <v>1.8579669892308644E-2</v>
      </c>
      <c r="R30" s="498">
        <f>BS_Sorted!R30/BS_Sorted!R$27</f>
        <v>1.7933742388410383E-2</v>
      </c>
      <c r="S30" s="498">
        <f>BS_Sorted!S30/BS_Sorted!S$27</f>
        <v>1.7486086356657677E-2</v>
      </c>
      <c r="T30" s="498">
        <f>BS_Sorted!T30/BS_Sorted!T$27</f>
        <v>1.7606157219339613E-2</v>
      </c>
    </row>
    <row r="31" spans="1:60" x14ac:dyDescent="0.25">
      <c r="A31" s="168" t="s">
        <v>257</v>
      </c>
      <c r="B31" s="167"/>
      <c r="C31" s="167"/>
      <c r="D31" s="167"/>
      <c r="E31" s="167"/>
      <c r="F31" s="257">
        <f>BS_Sorted!F31/BS_Sorted!F$27</f>
        <v>1.1327681146752906E-2</v>
      </c>
      <c r="G31" s="257">
        <f>BS_Sorted!G31/BS_Sorted!G$27</f>
        <v>1.1810450706356921E-2</v>
      </c>
      <c r="H31" s="257">
        <f>BS_Sorted!H31/BS_Sorted!H$27</f>
        <v>1.284005444634714E-2</v>
      </c>
      <c r="I31" s="257">
        <f>BS_Sorted!I31/BS_Sorted!I$27</f>
        <v>1.2562094000764234E-2</v>
      </c>
      <c r="J31" s="257">
        <f>BS_Sorted!J31/BS_Sorted!J$27</f>
        <v>1.4018206810695853E-2</v>
      </c>
      <c r="K31" s="257">
        <f>BS_Sorted!K31/BS_Sorted!K$27</f>
        <v>1.2392891582862654E-2</v>
      </c>
      <c r="L31" s="257">
        <f>BS_Sorted!L31/BS_Sorted!L$27</f>
        <v>1.1678321323712115E-2</v>
      </c>
      <c r="M31" s="498">
        <f>BS_Sorted!M31/BS_Sorted!M$27</f>
        <v>1.1439001602865376E-2</v>
      </c>
      <c r="N31" s="498">
        <f>BS_Sorted!N31/BS_Sorted!N$27</f>
        <v>1.1783821604659166E-2</v>
      </c>
      <c r="O31" s="498">
        <f>BS_Sorted!O31/BS_Sorted!O$27</f>
        <v>1.2165862574096737E-2</v>
      </c>
      <c r="P31" s="498">
        <f>BS_Sorted!P31/BS_Sorted!P$27</f>
        <v>1.2396154420847577E-2</v>
      </c>
      <c r="Q31" s="498">
        <f>BS_Sorted!Q31/BS_Sorted!Q$27</f>
        <v>1.2552121334376528E-2</v>
      </c>
      <c r="R31" s="498">
        <f>BS_Sorted!R31/BS_Sorted!R$27</f>
        <v>1.2818035929361494E-2</v>
      </c>
      <c r="S31" s="498">
        <f>BS_Sorted!S31/BS_Sorted!S$27</f>
        <v>1.3175992702728954E-2</v>
      </c>
      <c r="T31" s="498">
        <f>BS_Sorted!T31/BS_Sorted!T$27</f>
        <v>1.3450572672585866E-2</v>
      </c>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row>
    <row r="32" spans="1:60" s="1" customFormat="1" x14ac:dyDescent="0.25">
      <c r="A32" s="168" t="s">
        <v>258</v>
      </c>
      <c r="B32" s="171"/>
      <c r="C32" s="171"/>
      <c r="D32" s="171"/>
      <c r="E32" s="171"/>
      <c r="F32" s="257">
        <f>BS_Sorted!F32/BS_Sorted!F$27</f>
        <v>2.5463974594295371E-3</v>
      </c>
      <c r="G32" s="257">
        <f>BS_Sorted!G32/BS_Sorted!G$27</f>
        <v>2.7765327683254072E-3</v>
      </c>
      <c r="H32" s="257">
        <f>BS_Sorted!H32/BS_Sorted!H$27</f>
        <v>7.9348651072931754E-3</v>
      </c>
      <c r="I32" s="257">
        <f>BS_Sorted!I32/BS_Sorted!I$27</f>
        <v>5.851165456629729E-3</v>
      </c>
      <c r="J32" s="257">
        <f>BS_Sorted!J32/BS_Sorted!J$27</f>
        <v>6.8016183831729644E-3</v>
      </c>
      <c r="K32" s="257">
        <f>BS_Sorted!K32/BS_Sorted!K$27</f>
        <v>6.9761675161868026E-3</v>
      </c>
      <c r="L32" s="257">
        <f>BS_Sorted!L32/BS_Sorted!L$27</f>
        <v>8.0475449156452994E-3</v>
      </c>
      <c r="M32" s="498">
        <f>BS_Sorted!M32/BS_Sorted!M$27</f>
        <v>3.0291503354856345E-3</v>
      </c>
      <c r="N32" s="498">
        <f>BS_Sorted!N32/BS_Sorted!N$27</f>
        <v>4.7542895588096948E-3</v>
      </c>
      <c r="O32" s="498">
        <f>BS_Sorted!O32/BS_Sorted!O$27</f>
        <v>4.474473465181184E-3</v>
      </c>
      <c r="P32" s="498">
        <f>BS_Sorted!P32/BS_Sorted!P$27</f>
        <v>4.316865327494839E-3</v>
      </c>
      <c r="Q32" s="498">
        <f>BS_Sorted!Q32/BS_Sorted!Q$27</f>
        <v>4.2897597959782787E-3</v>
      </c>
      <c r="R32" s="498">
        <f>BS_Sorted!R32/BS_Sorted!R$27</f>
        <v>4.2951776286808442E-3</v>
      </c>
      <c r="S32" s="498">
        <f>BS_Sorted!S32/BS_Sorted!S$27</f>
        <v>4.2499815707630209E-3</v>
      </c>
      <c r="T32" s="498">
        <f>BS_Sorted!T32/BS_Sorted!T$27</f>
        <v>4.4017243537831348E-3</v>
      </c>
    </row>
    <row r="33" spans="1:60" x14ac:dyDescent="0.25">
      <c r="A33" s="168" t="s">
        <v>259</v>
      </c>
      <c r="B33" s="171"/>
      <c r="C33" s="171"/>
      <c r="D33" s="171"/>
      <c r="E33" s="171"/>
      <c r="F33" s="257">
        <f>BS_Sorted!F33/BS_Sorted!F$27</f>
        <v>1.449174023249716E-2</v>
      </c>
      <c r="G33" s="257">
        <f>BS_Sorted!G33/BS_Sorted!G$27</f>
        <v>1.2782528216441498E-2</v>
      </c>
      <c r="H33" s="257">
        <f>BS_Sorted!H33/BS_Sorted!H$27</f>
        <v>1.5035471669708887E-2</v>
      </c>
      <c r="I33" s="257">
        <f>BS_Sorted!I33/BS_Sorted!I$27</f>
        <v>1.6239969430645776E-2</v>
      </c>
      <c r="J33" s="257">
        <f>BS_Sorted!J33/BS_Sorted!J$27</f>
        <v>1.982778743159478E-2</v>
      </c>
      <c r="K33" s="257">
        <f>BS_Sorted!K33/BS_Sorted!K$27</f>
        <v>1.8360655737704918E-2</v>
      </c>
      <c r="L33" s="257">
        <f>BS_Sorted!L33/BS_Sorted!L$27</f>
        <v>1.7276613438943628E-2</v>
      </c>
      <c r="M33" s="498">
        <f>BS_Sorted!M33/BS_Sorted!M$27</f>
        <v>1.2824329579280673E-2</v>
      </c>
      <c r="N33" s="498">
        <f>BS_Sorted!N33/BS_Sorted!N$27</f>
        <v>1.1823631928729915E-2</v>
      </c>
      <c r="O33" s="498">
        <f>BS_Sorted!O33/BS_Sorted!O$27</f>
        <v>1.1133493025041498E-2</v>
      </c>
      <c r="P33" s="498">
        <f>BS_Sorted!P33/BS_Sorted!P$27</f>
        <v>1.0810428901882944E-2</v>
      </c>
      <c r="Q33" s="498">
        <f>BS_Sorted!Q33/BS_Sorted!Q$27</f>
        <v>1.0655221073998139E-2</v>
      </c>
      <c r="R33" s="498">
        <f>BS_Sorted!R33/BS_Sorted!R$27</f>
        <v>1.0284789285290155E-2</v>
      </c>
      <c r="S33" s="498">
        <f>BS_Sorted!S33/BS_Sorted!S$27</f>
        <v>1.0028063842315069E-2</v>
      </c>
      <c r="T33" s="498">
        <f>BS_Sorted!T33/BS_Sorted!T$27</f>
        <v>1.0096923062841441E-2</v>
      </c>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row>
    <row r="34" spans="1:60" x14ac:dyDescent="0.25">
      <c r="A34" s="168" t="s">
        <v>260</v>
      </c>
      <c r="B34" s="171"/>
      <c r="C34" s="171"/>
      <c r="D34" s="171"/>
      <c r="E34" s="171"/>
      <c r="F34" s="260" t="s">
        <v>54</v>
      </c>
      <c r="G34" s="260" t="s">
        <v>54</v>
      </c>
      <c r="H34" s="260" t="s">
        <v>54</v>
      </c>
      <c r="I34" s="260" t="s">
        <v>54</v>
      </c>
      <c r="J34" s="260" t="s">
        <v>54</v>
      </c>
      <c r="K34" s="257">
        <f>BS_Sorted!K34/BS_Sorted!K$27</f>
        <v>1.6900399504063919E-2</v>
      </c>
      <c r="L34" s="257">
        <f>BS_Sorted!L34/BS_Sorted!L$27</f>
        <v>1.2778710263028454E-2</v>
      </c>
      <c r="M34" s="498">
        <f>BS_Sorted!M34/BS_Sorted!M$27</f>
        <v>8.4450240578201191E-3</v>
      </c>
      <c r="N34" s="498">
        <f>BS_Sorted!N34/BS_Sorted!N$27</f>
        <v>7.7860488122713191E-3</v>
      </c>
      <c r="O34" s="498">
        <f>BS_Sorted!O34/BS_Sorted!O$27</f>
        <v>7.3315814181782553E-3</v>
      </c>
      <c r="P34" s="498">
        <f>BS_Sorted!P34/BS_Sorted!P$27</f>
        <v>7.1188385784511444E-3</v>
      </c>
      <c r="Q34" s="498">
        <f>BS_Sorted!Q34/BS_Sorted!Q$27</f>
        <v>7.0166317665982395E-3</v>
      </c>
      <c r="R34" s="498">
        <f>BS_Sorted!R34/BS_Sorted!R$27</f>
        <v>6.7726965692001297E-3</v>
      </c>
      <c r="S34" s="498">
        <f>BS_Sorted!S34/BS_Sorted!S$27</f>
        <v>6.6036388006223542E-3</v>
      </c>
      <c r="T34" s="498">
        <f>BS_Sorted!T34/BS_Sorted!T$27</f>
        <v>6.6489836874917231E-3</v>
      </c>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row>
    <row r="35" spans="1:60" x14ac:dyDescent="0.25">
      <c r="A35" s="168" t="s">
        <v>261</v>
      </c>
      <c r="B35" s="171"/>
      <c r="C35" s="171"/>
      <c r="D35" s="171"/>
      <c r="E35" s="171"/>
      <c r="F35" s="257">
        <f>BS_Sorted!F35/BS_Sorted!F$27</f>
        <v>6.4230982140255799E-2</v>
      </c>
      <c r="G35" s="257">
        <f>BS_Sorted!G35/BS_Sorted!G$27</f>
        <v>6.4698452243054302E-2</v>
      </c>
      <c r="H35" s="257">
        <f>BS_Sorted!H35/BS_Sorted!H$27</f>
        <v>6.7449489722311087E-2</v>
      </c>
      <c r="I35" s="257">
        <f>BS_Sorted!I35/BS_Sorted!I$27</f>
        <v>6.6171904852884988E-2</v>
      </c>
      <c r="J35" s="257">
        <f>BS_Sorted!J35/BS_Sorted!J$27</f>
        <v>8.1956583759109886E-2</v>
      </c>
      <c r="K35" s="257">
        <f>BS_Sorted!K35/BS_Sorted!K$27</f>
        <v>0.13742388758782201</v>
      </c>
      <c r="L35" s="257">
        <f>BS_Sorted!L35/BS_Sorted!L$27</f>
        <v>0.11444044968889926</v>
      </c>
      <c r="M35" s="498">
        <f>BS_Sorted!M35/BS_Sorted!M$27</f>
        <v>6.4044797387777644E-2</v>
      </c>
      <c r="N35" s="498">
        <f>BS_Sorted!N35/BS_Sorted!N$27</f>
        <v>5.9047305871379532E-2</v>
      </c>
      <c r="O35" s="498">
        <f>BS_Sorted!O35/BS_Sorted!O$27</f>
        <v>5.560074704872122E-2</v>
      </c>
      <c r="P35" s="498">
        <f>BS_Sorted!P35/BS_Sorted!P$27</f>
        <v>5.3987362412663692E-2</v>
      </c>
      <c r="Q35" s="498">
        <f>BS_Sorted!Q35/BS_Sorted!Q$27</f>
        <v>5.3212253364784946E-2</v>
      </c>
      <c r="R35" s="498">
        <f>BS_Sorted!R35/BS_Sorted!R$27</f>
        <v>5.13623142543519E-2</v>
      </c>
      <c r="S35" s="498">
        <f>BS_Sorted!S35/BS_Sorted!S$27</f>
        <v>5.0080225480979214E-2</v>
      </c>
      <c r="T35" s="498">
        <f>BS_Sorted!T35/BS_Sorted!T$27</f>
        <v>5.0424108940900346E-2</v>
      </c>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row>
    <row r="36" spans="1:60" x14ac:dyDescent="0.25">
      <c r="A36" s="198" t="s">
        <v>262</v>
      </c>
      <c r="B36" s="172" t="s">
        <v>216</v>
      </c>
      <c r="C36" s="172" t="s">
        <v>216</v>
      </c>
      <c r="D36" s="172" t="s">
        <v>216</v>
      </c>
      <c r="E36" s="172" t="s">
        <v>216</v>
      </c>
      <c r="F36" s="238" t="s">
        <v>54</v>
      </c>
      <c r="G36" s="238" t="s">
        <v>54</v>
      </c>
      <c r="H36" s="261">
        <f>BS_Sorted!H36/BS_Sorted!H$27</f>
        <v>1.185525300615344E-2</v>
      </c>
      <c r="I36" s="238" t="s">
        <v>54</v>
      </c>
      <c r="J36" s="238" t="s">
        <v>54</v>
      </c>
      <c r="K36" s="238" t="s">
        <v>54</v>
      </c>
      <c r="L36" s="238" t="s">
        <v>54</v>
      </c>
      <c r="M36" s="503" t="s">
        <v>54</v>
      </c>
      <c r="N36" s="503" t="s">
        <v>54</v>
      </c>
      <c r="O36" s="503" t="s">
        <v>54</v>
      </c>
      <c r="P36" s="503" t="s">
        <v>54</v>
      </c>
      <c r="Q36" s="503" t="s">
        <v>54</v>
      </c>
      <c r="R36" s="503" t="s">
        <v>54</v>
      </c>
      <c r="S36" s="503" t="s">
        <v>54</v>
      </c>
      <c r="T36" s="503" t="s">
        <v>54</v>
      </c>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row>
    <row r="37" spans="1:60" x14ac:dyDescent="0.25">
      <c r="A37" s="174" t="s">
        <v>263</v>
      </c>
      <c r="B37" s="167"/>
      <c r="C37" s="167"/>
      <c r="D37" s="167"/>
      <c r="E37" s="167"/>
      <c r="F37" s="401">
        <f>BS_Sorted!F37/BS_Sorted!F$27</f>
        <v>0.18130699530926783</v>
      </c>
      <c r="G37" s="401">
        <f>BS_Sorted!G37/BS_Sorted!G$27</f>
        <v>0.17710437318463071</v>
      </c>
      <c r="H37" s="401">
        <f>BS_Sorted!H37/BS_Sorted!H$27</f>
        <v>0.19982687567038632</v>
      </c>
      <c r="I37" s="401">
        <f>BS_Sorted!I37/BS_Sorted!I$27</f>
        <v>0.22271446312571647</v>
      </c>
      <c r="J37" s="401">
        <f>BS_Sorted!J37/BS_Sorted!J$27</f>
        <v>0.16806935186866198</v>
      </c>
      <c r="K37" s="401">
        <f>BS_Sorted!K37/BS_Sorted!K$27</f>
        <v>0.23513982642237222</v>
      </c>
      <c r="L37" s="401">
        <f>BS_Sorted!L37/BS_Sorted!L$27</f>
        <v>0.21368336181498254</v>
      </c>
      <c r="M37" s="510">
        <f>BS_Sorted!M37/BS_Sorted!M$27</f>
        <v>0.16018085347432662</v>
      </c>
      <c r="N37" s="510">
        <f>BS_Sorted!N37/BS_Sorted!N$27</f>
        <v>0.15088067773987224</v>
      </c>
      <c r="O37" s="510">
        <f>BS_Sorted!O37/BS_Sorted!O$27</f>
        <v>0.14314140076797566</v>
      </c>
      <c r="P37" s="510">
        <f>BS_Sorted!P37/BS_Sorted!P$27</f>
        <v>0.13954336267721687</v>
      </c>
      <c r="Q37" s="510">
        <f>BS_Sorted!Q37/BS_Sorted!Q$27</f>
        <v>0.13790872041868307</v>
      </c>
      <c r="R37" s="510">
        <f>BS_Sorted!R37/BS_Sorted!R$27</f>
        <v>0.1339711297729454</v>
      </c>
      <c r="S37" s="510">
        <f>BS_Sorted!S37/BS_Sorted!S$27</f>
        <v>0.13136692257848126</v>
      </c>
      <c r="T37" s="510">
        <f>BS_Sorted!T37/BS_Sorted!T$27</f>
        <v>0.13257563812519055</v>
      </c>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row>
    <row r="38" spans="1:60" x14ac:dyDescent="0.25">
      <c r="A38" s="168" t="s">
        <v>268</v>
      </c>
      <c r="B38" s="167"/>
      <c r="C38" s="167"/>
      <c r="D38" s="167"/>
      <c r="E38" s="167"/>
      <c r="F38" s="257">
        <f>BS_Sorted!F38/BS_Sorted!F$27</f>
        <v>0.18295603531159862</v>
      </c>
      <c r="G38" s="257">
        <f>BS_Sorted!G38/BS_Sorted!G$27</f>
        <v>0.19521877564800316</v>
      </c>
      <c r="H38" s="257">
        <f>BS_Sorted!H38/BS_Sorted!H$27</f>
        <v>0.20642567258174793</v>
      </c>
      <c r="I38" s="257">
        <f>BS_Sorted!I38/BS_Sorted!I$27</f>
        <v>0.21467209591134886</v>
      </c>
      <c r="J38" s="257">
        <f>BS_Sorted!J38/BS_Sorted!J$27</f>
        <v>0.24076691651321419</v>
      </c>
      <c r="K38" s="257">
        <f>BS_Sorted!K38/BS_Sorted!K$27</f>
        <v>0.19944895991183359</v>
      </c>
      <c r="L38" s="257">
        <f>BS_Sorted!L38/BS_Sorted!L$27</f>
        <v>0.16675202709897921</v>
      </c>
      <c r="M38" s="498">
        <f>BS_Sorted!M38/BS_Sorted!M$27</f>
        <v>0.30029162413710692</v>
      </c>
      <c r="N38" s="498">
        <f>BS_Sorted!N38/BS_Sorted!N$27</f>
        <v>0.30425321488573087</v>
      </c>
      <c r="O38" s="498">
        <f>BS_Sorted!O38/BS_Sorted!O$27</f>
        <v>0.30492256162125841</v>
      </c>
      <c r="P38" s="498">
        <f>BS_Sorted!P38/BS_Sorted!P$27</f>
        <v>0.30329533085447163</v>
      </c>
      <c r="Q38" s="498">
        <f>BS_Sorted!Q38/BS_Sorted!Q$27</f>
        <v>0.3010344742119192</v>
      </c>
      <c r="R38" s="498">
        <f>BS_Sorted!R38/BS_Sorted!R$27</f>
        <v>0.30180851907045803</v>
      </c>
      <c r="S38" s="498">
        <f>BS_Sorted!S38/BS_Sorted!S$27</f>
        <v>0.30498969902417572</v>
      </c>
      <c r="T38" s="498">
        <f>BS_Sorted!T38/BS_Sorted!T$27</f>
        <v>0.30785961972928827</v>
      </c>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row>
    <row r="39" spans="1:60" x14ac:dyDescent="0.25">
      <c r="A39" s="168" t="s">
        <v>271</v>
      </c>
      <c r="B39" s="167"/>
      <c r="C39" s="167"/>
      <c r="D39" s="167"/>
      <c r="E39" s="167"/>
      <c r="F39" s="263">
        <f>BS_Sorted!F39/BS_Sorted!F$27</f>
        <v>4.7618215190979807E-2</v>
      </c>
      <c r="G39" s="263">
        <f>BS_Sorted!G39/BS_Sorted!G$27</f>
        <v>4.3248717963643137E-2</v>
      </c>
      <c r="H39" s="263">
        <f>BS_Sorted!H39/BS_Sorted!H$27</f>
        <v>4.1462022418346157E-2</v>
      </c>
      <c r="I39" s="263">
        <f>BS_Sorted!I39/BS_Sorted!I$27</f>
        <v>4.037304165074513E-2</v>
      </c>
      <c r="J39" s="263">
        <f>BS_Sorted!J39/BS_Sorted!J$27</f>
        <v>3.5084420468397437E-2</v>
      </c>
      <c r="K39" s="263">
        <f>BS_Sorted!K39/BS_Sorted!K$27</f>
        <v>2.0520732883317263E-2</v>
      </c>
      <c r="L39" s="263">
        <f>BS_Sorted!L39/BS_Sorted!L$27</f>
        <v>1.1409562734846833E-2</v>
      </c>
      <c r="M39" s="506">
        <f>BS_Sorted!M39/BS_Sorted!M$27</f>
        <v>7.5055960714521131E-3</v>
      </c>
      <c r="N39" s="506">
        <f>BS_Sorted!N39/BS_Sorted!N$27</f>
        <v>5.2981854003568678E-3</v>
      </c>
      <c r="O39" s="506">
        <f>BS_Sorted!O39/BS_Sorted!O$27</f>
        <v>3.7583088718604698E-3</v>
      </c>
      <c r="P39" s="506">
        <f>BS_Sorted!P39/BS_Sorted!P$27</f>
        <v>2.6319353101544028E-3</v>
      </c>
      <c r="Q39" s="506">
        <f>BS_Sorted!Q39/BS_Sorted!Q$27</f>
        <v>1.8316598178378188E-3</v>
      </c>
      <c r="R39" s="506">
        <f>BS_Sorted!R39/BS_Sorted!R$27</f>
        <v>1.2855513213928091E-3</v>
      </c>
      <c r="S39" s="506">
        <f>BS_Sorted!S39/BS_Sorted!S$27</f>
        <v>9.0822262352463403E-4</v>
      </c>
      <c r="T39" s="506">
        <f>BS_Sorted!T39/BS_Sorted!T$27</f>
        <v>6.3722319233320516E-4</v>
      </c>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row>
    <row r="40" spans="1:60" x14ac:dyDescent="0.25">
      <c r="A40" s="168" t="s">
        <v>272</v>
      </c>
      <c r="B40" s="167"/>
      <c r="C40" s="167"/>
      <c r="D40" s="167"/>
      <c r="E40" s="167"/>
      <c r="F40" s="257">
        <f>BS_Sorted!F40/BS_Sorted!F$27</f>
        <v>0.17919762258543834</v>
      </c>
      <c r="G40" s="257">
        <f>BS_Sorted!G40/BS_Sorted!G$27</f>
        <v>2.2701211313352388E-2</v>
      </c>
      <c r="H40" s="257">
        <f>BS_Sorted!H40/BS_Sorted!H$27</f>
        <v>2.3208696361252768E-2</v>
      </c>
      <c r="I40" s="257">
        <f>BS_Sorted!I40/BS_Sorted!I$27</f>
        <v>3.3303878486816964E-2</v>
      </c>
      <c r="J40" s="257">
        <f>BS_Sorted!J40/BS_Sorted!J$27</f>
        <v>2.6344113909277173E-2</v>
      </c>
      <c r="K40" s="257">
        <f>BS_Sorted!K40/BS_Sorted!K$27</f>
        <v>1.9231299077007852E-3</v>
      </c>
      <c r="L40" s="257">
        <f>BS_Sorted!L40/BS_Sorted!L$27</f>
        <v>5.1875478567770267E-3</v>
      </c>
      <c r="M40" s="498">
        <f>BS_Sorted!M40/BS_Sorted!M$27</f>
        <v>2.2317624299477137E-3</v>
      </c>
      <c r="N40" s="498">
        <f>BS_Sorted!N40/BS_Sorted!N$27</f>
        <v>-4.1486940520595013E-3</v>
      </c>
      <c r="O40" s="498">
        <f>BS_Sorted!O40/BS_Sorted!O$27</f>
        <v>-6.0226290397574628E-3</v>
      </c>
      <c r="P40" s="498">
        <f>BS_Sorted!P40/BS_Sorted!P$27</f>
        <v>-1.754420709758425E-3</v>
      </c>
      <c r="Q40" s="498">
        <f>BS_Sorted!Q40/BS_Sorted!Q$27</f>
        <v>4.2439541421990332E-3</v>
      </c>
      <c r="R40" s="498">
        <f>BS_Sorted!R40/BS_Sorted!R$27</f>
        <v>5.9957533085852697E-3</v>
      </c>
      <c r="S40" s="498">
        <f>BS_Sorted!S40/BS_Sorted!S$27</f>
        <v>1.7222648200378935E-3</v>
      </c>
      <c r="T40" s="498">
        <f>BS_Sorted!T40/BS_Sorted!T$27</f>
        <v>-4.4835994864638011E-3</v>
      </c>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row>
    <row r="41" spans="1:60" x14ac:dyDescent="0.25">
      <c r="A41" s="168" t="s">
        <v>273</v>
      </c>
      <c r="B41" s="167"/>
      <c r="C41" s="167"/>
      <c r="D41" s="167"/>
      <c r="E41" s="167"/>
      <c r="F41" s="257">
        <f>BS_Sorted!F41/BS_Sorted!F$27</f>
        <v>2.3307985898668532E-2</v>
      </c>
      <c r="G41" s="257">
        <f>BS_Sorted!G41/BS_Sorted!G$27</f>
        <v>0.10883193536557681</v>
      </c>
      <c r="H41" s="257">
        <f>BS_Sorted!H41/BS_Sorted!H$27</f>
        <v>9.2439610344805953E-2</v>
      </c>
      <c r="I41" s="257">
        <f>BS_Sorted!I41/BS_Sorted!I$27</f>
        <v>7.2399216660298055E-2</v>
      </c>
      <c r="J41" s="257">
        <f>BS_Sorted!J41/BS_Sorted!J$27</f>
        <v>7.4953964260704928E-2</v>
      </c>
      <c r="K41" s="257">
        <f>BS_Sorted!K41/BS_Sorted!K$27</f>
        <v>6.2438352390136384E-2</v>
      </c>
      <c r="L41" s="257">
        <f>BS_Sorted!L41/BS_Sorted!L$27</f>
        <v>4.9755835357474278E-2</v>
      </c>
      <c r="M41" s="498">
        <f>BS_Sorted!M41/BS_Sorted!M$27</f>
        <v>4.1623344122813544E-2</v>
      </c>
      <c r="N41" s="498">
        <f>BS_Sorted!N41/BS_Sorted!N$27</f>
        <v>3.7364200400530137E-2</v>
      </c>
      <c r="O41" s="498">
        <f>BS_Sorted!O41/BS_Sorted!O$27</f>
        <v>3.3705266875134789E-2</v>
      </c>
      <c r="P41" s="498">
        <f>BS_Sorted!P41/BS_Sorted!P$27</f>
        <v>3.001630789332042E-2</v>
      </c>
      <c r="Q41" s="498">
        <f>BS_Sorted!Q41/BS_Sorted!Q$27</f>
        <v>2.656462190124571E-2</v>
      </c>
      <c r="R41" s="498">
        <f>BS_Sorted!R41/BS_Sorted!R$27</f>
        <v>2.3709642177088524E-2</v>
      </c>
      <c r="S41" s="498">
        <f>BS_Sorted!S41/BS_Sorted!S$27</f>
        <v>2.1301228754982599E-2</v>
      </c>
      <c r="T41" s="498">
        <f>BS_Sorted!T41/BS_Sorted!T$27</f>
        <v>1.9005560160613551E-2</v>
      </c>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row>
    <row r="42" spans="1:60" s="9" customFormat="1" x14ac:dyDescent="0.25">
      <c r="A42" s="168" t="s">
        <v>274</v>
      </c>
      <c r="B42" s="167"/>
      <c r="C42" s="167"/>
      <c r="D42" s="167"/>
      <c r="E42" s="167"/>
      <c r="F42" s="257">
        <f>BS_Sorted!F42/BS_Sorted!F$27</f>
        <v>3.6925676659965621E-2</v>
      </c>
      <c r="G42" s="257">
        <f>BS_Sorted!G42/BS_Sorted!G$27</f>
        <v>3.5792243170718926E-2</v>
      </c>
      <c r="H42" s="257">
        <f>BS_Sorted!H42/BS_Sorted!H$27</f>
        <v>3.669483073333208E-2</v>
      </c>
      <c r="I42" s="257">
        <f>BS_Sorted!I42/BS_Sorted!I$27</f>
        <v>3.7716134887275508E-2</v>
      </c>
      <c r="J42" s="257">
        <f>BS_Sorted!J42/BS_Sorted!J$27</f>
        <v>4.3241175402650621E-2</v>
      </c>
      <c r="K42" s="257">
        <f>BS_Sorted!K42/BS_Sorted!K$27</f>
        <v>5.3687835790053727E-2</v>
      </c>
      <c r="L42" s="257">
        <f>BS_Sorted!L42/BS_Sorted!L$27</f>
        <v>6.6834683042347229E-2</v>
      </c>
      <c r="M42" s="498">
        <f>BS_Sorted!M42/BS_Sorted!M$27</f>
        <v>3.3726263288751723E-2</v>
      </c>
      <c r="N42" s="498">
        <f>BS_Sorted!N42/BS_Sorted!N$27</f>
        <v>3.1094562954923965E-2</v>
      </c>
      <c r="O42" s="498">
        <f>BS_Sorted!O42/BS_Sorted!O$27</f>
        <v>2.9279590388310343E-2</v>
      </c>
      <c r="P42" s="498">
        <f>BS_Sorted!P42/BS_Sorted!P$27</f>
        <v>2.842997516207672E-2</v>
      </c>
      <c r="Q42" s="498">
        <f>BS_Sorted!Q42/BS_Sorted!Q$27</f>
        <v>2.8021799433641345E-2</v>
      </c>
      <c r="R42" s="498">
        <f>BS_Sorted!R42/BS_Sorted!R$27</f>
        <v>2.7047613612912511E-2</v>
      </c>
      <c r="S42" s="498">
        <f>BS_Sorted!S42/BS_Sorted!S$27</f>
        <v>2.6372460200083197E-2</v>
      </c>
      <c r="T42" s="498">
        <f>BS_Sorted!T42/BS_Sorted!T$27</f>
        <v>2.655355069584547E-2</v>
      </c>
    </row>
    <row r="43" spans="1:60" s="9" customFormat="1" x14ac:dyDescent="0.25">
      <c r="A43" s="206" t="s">
        <v>298</v>
      </c>
      <c r="B43" s="207" t="s">
        <v>216</v>
      </c>
      <c r="C43" s="207" t="s">
        <v>216</v>
      </c>
      <c r="D43" s="207" t="s">
        <v>216</v>
      </c>
      <c r="E43" s="207" t="s">
        <v>216</v>
      </c>
      <c r="F43" s="295">
        <f>BS_Sorted!F43/BS_Sorted!F$27</f>
        <v>0.65131253095591879</v>
      </c>
      <c r="G43" s="295">
        <f>BS_Sorted!G43/BS_Sorted!G$27</f>
        <v>0.58289725664592518</v>
      </c>
      <c r="H43" s="295">
        <f>BS_Sorted!H43/BS_Sorted!H$27</f>
        <v>0.60005770810987125</v>
      </c>
      <c r="I43" s="295">
        <f>BS_Sorted!I43/BS_Sorted!I$27</f>
        <v>0.62117883072220104</v>
      </c>
      <c r="J43" s="296">
        <f>BS_Sorted!J43/BS_Sorted!J$27</f>
        <v>0.58845994242290633</v>
      </c>
      <c r="K43" s="296">
        <f>BS_Sorted!K43/BS_Sorted!K$27</f>
        <v>0.57315883730541395</v>
      </c>
      <c r="L43" s="296">
        <f>BS_Sorted!L43/BS_Sorted!L$27</f>
        <v>0.5136230179054071</v>
      </c>
      <c r="M43" s="507">
        <f>BS_Sorted!M43/BS_Sorted!M$27</f>
        <v>0.54555944352439867</v>
      </c>
      <c r="N43" s="507">
        <f>BS_Sorted!N43/BS_Sorted!N$27</f>
        <v>0.52474214732935454</v>
      </c>
      <c r="O43" s="507">
        <f>BS_Sorted!O43/BS_Sorted!O$27</f>
        <v>0.50878449948478222</v>
      </c>
      <c r="P43" s="507">
        <f>BS_Sorted!P43/BS_Sorted!P$27</f>
        <v>0.50216249118748169</v>
      </c>
      <c r="Q43" s="507">
        <f>BS_Sorted!Q43/BS_Sorted!Q$27</f>
        <v>0.4996052299255262</v>
      </c>
      <c r="R43" s="507">
        <f>BS_Sorted!R43/BS_Sorted!R$27</f>
        <v>0.49381820926338266</v>
      </c>
      <c r="S43" s="507">
        <f>BS_Sorted!S43/BS_Sorted!S$27</f>
        <v>0.48666079800128537</v>
      </c>
      <c r="T43" s="507">
        <f>BS_Sorted!T43/BS_Sorted!T$27</f>
        <v>0.48214799241680723</v>
      </c>
    </row>
    <row r="44" spans="1:60" s="9" customFormat="1" x14ac:dyDescent="0.25">
      <c r="A44" s="168" t="s">
        <v>276</v>
      </c>
      <c r="B44" s="167"/>
      <c r="C44" s="167"/>
      <c r="D44" s="167"/>
      <c r="E44" s="167"/>
      <c r="F44" s="257">
        <f>BS_Sorted!F44/BS_Sorted!F$27</f>
        <v>1.3984791539201118E-4</v>
      </c>
      <c r="G44" s="257">
        <f>BS_Sorted!G44/BS_Sorted!G$27</f>
        <v>1.2223729168728208E-4</v>
      </c>
      <c r="H44" s="257">
        <f>BS_Sorted!H44/BS_Sorted!H$27</f>
        <v>1.1917979212535205E-4</v>
      </c>
      <c r="I44" s="257">
        <f>BS_Sorted!I44/BS_Sorted!I$27</f>
        <v>1.0149980894153611E-4</v>
      </c>
      <c r="J44" s="241" t="s">
        <v>54</v>
      </c>
      <c r="K44" s="241" t="s">
        <v>54</v>
      </c>
      <c r="L44" s="241" t="s">
        <v>54</v>
      </c>
      <c r="M44" s="508" t="s">
        <v>54</v>
      </c>
      <c r="N44" s="508" t="s">
        <v>54</v>
      </c>
      <c r="O44" s="508" t="s">
        <v>54</v>
      </c>
      <c r="P44" s="508" t="s">
        <v>54</v>
      </c>
      <c r="Q44" s="508" t="s">
        <v>54</v>
      </c>
      <c r="R44" s="508" t="s">
        <v>54</v>
      </c>
      <c r="S44" s="508" t="s">
        <v>54</v>
      </c>
      <c r="T44" s="508" t="s">
        <v>54</v>
      </c>
    </row>
    <row r="45" spans="1:60" s="9" customFormat="1" x14ac:dyDescent="0.25">
      <c r="A45" s="168" t="s">
        <v>299</v>
      </c>
      <c r="B45" s="167"/>
      <c r="C45" s="167"/>
      <c r="D45" s="167"/>
      <c r="E45" s="167"/>
      <c r="F45" s="257">
        <f>BS_Sorted!F45/BS_Sorted!F$27</f>
        <v>0.48449144888267343</v>
      </c>
      <c r="G45" s="257">
        <f>BS_Sorted!G45/BS_Sorted!G$27</f>
        <v>0.49327403854549262</v>
      </c>
      <c r="H45" s="257">
        <f>BS_Sorted!H45/BS_Sorted!H$27</f>
        <v>0.5439679343632976</v>
      </c>
      <c r="I45" s="257">
        <f>BS_Sorted!I45/BS_Sorted!I$27</f>
        <v>0.52480774742071079</v>
      </c>
      <c r="J45" s="257">
        <f>BS_Sorted!J45/BS_Sorted!J$27</f>
        <v>0.57798843271001377</v>
      </c>
      <c r="K45" s="257">
        <f>BS_Sorted!K45/BS_Sorted!K$27</f>
        <v>0.50179363548698164</v>
      </c>
      <c r="L45" s="257">
        <f>BS_Sorted!L45/BS_Sorted!L$27</f>
        <v>0.46792391596476729</v>
      </c>
      <c r="M45" s="498">
        <f>BS_Sorted!M45/BS_Sorted!M$27</f>
        <v>0.44225686457771912</v>
      </c>
      <c r="N45" s="498">
        <f>BS_Sorted!N45/BS_Sorted!N$27</f>
        <v>0.44852391370538275</v>
      </c>
      <c r="O45" s="498">
        <f>BS_Sorted!O45/BS_Sorted!O$27</f>
        <v>0.45477734432285416</v>
      </c>
      <c r="P45" s="498">
        <f>BS_Sorted!P45/BS_Sorted!P$27</f>
        <v>0.45497079807183344</v>
      </c>
      <c r="Q45" s="498">
        <f>BS_Sorted!Q45/BS_Sorted!Q$27</f>
        <v>0.45232968514656174</v>
      </c>
      <c r="R45" s="498">
        <f>BS_Sorted!R45/BS_Sorted!R$27</f>
        <v>0.45352543771846604</v>
      </c>
      <c r="S45" s="498">
        <f>BS_Sorted!S45/BS_Sorted!S$27</f>
        <v>0.45772697566225612</v>
      </c>
      <c r="T45" s="498">
        <f>BS_Sorted!T45/BS_Sorted!T$27</f>
        <v>0.45878343212591832</v>
      </c>
    </row>
    <row r="46" spans="1:60" s="9" customFormat="1" x14ac:dyDescent="0.25">
      <c r="A46" s="168" t="s">
        <v>279</v>
      </c>
      <c r="B46" s="167"/>
      <c r="C46" s="167"/>
      <c r="D46" s="167"/>
      <c r="E46" s="167"/>
      <c r="F46" s="257">
        <f>BS_Sorted!F46/BS_Sorted!F$27</f>
        <v>0.49158873058881797</v>
      </c>
      <c r="G46" s="257">
        <f>BS_Sorted!G46/BS_Sorted!G$27</f>
        <v>0.52052713376834292</v>
      </c>
      <c r="H46" s="257">
        <f>BS_Sorted!H46/BS_Sorted!H$27</f>
        <v>0.63736098304510647</v>
      </c>
      <c r="I46" s="257">
        <f>BS_Sorted!I46/BS_Sorted!I$27</f>
        <v>0.66154590179594952</v>
      </c>
      <c r="J46" s="257">
        <f>BS_Sorted!J46/BS_Sorted!J$27</f>
        <v>0.71963586378608291</v>
      </c>
      <c r="K46" s="257">
        <f>BS_Sorted!K46/BS_Sorted!K$27</f>
        <v>0.61364375258300041</v>
      </c>
      <c r="L46" s="257">
        <f>BS_Sorted!L46/BS_Sorted!L$27</f>
        <v>0.57792731347900383</v>
      </c>
      <c r="M46" s="498">
        <f>BS_Sorted!M46/BS_Sorted!M$27</f>
        <v>0.54311446264592123</v>
      </c>
      <c r="N46" s="498">
        <f>BS_Sorted!N46/BS_Sorted!N$27</f>
        <v>0.54889200747697153</v>
      </c>
      <c r="O46" s="498">
        <f>BS_Sorted!O46/BS_Sorted!O$27</f>
        <v>0.55747152549058043</v>
      </c>
      <c r="P46" s="498">
        <f>BS_Sorted!P46/BS_Sorted!P$27</f>
        <v>0.55897585093023527</v>
      </c>
      <c r="Q46" s="498">
        <f>BS_Sorted!Q46/BS_Sorted!Q$27</f>
        <v>0.55701601506985354</v>
      </c>
      <c r="R46" s="498">
        <f>BS_Sorted!R46/BS_Sorted!R$27</f>
        <v>0.55980270399005871</v>
      </c>
      <c r="S46" s="498">
        <f>BS_Sorted!S46/BS_Sorted!S$27</f>
        <v>0.56634170878836188</v>
      </c>
      <c r="T46" s="498">
        <f>BS_Sorted!T46/BS_Sorted!T$27</f>
        <v>0.56903199225355505</v>
      </c>
    </row>
    <row r="47" spans="1:60" s="9" customFormat="1" x14ac:dyDescent="0.25">
      <c r="A47" s="168" t="s">
        <v>280</v>
      </c>
      <c r="B47" s="167"/>
      <c r="C47" s="167"/>
      <c r="D47" s="167"/>
      <c r="E47" s="167"/>
      <c r="F47" s="257">
        <f>BS_Sorted!F47/BS_Sorted!F$27</f>
        <v>0.4182268449727588</v>
      </c>
      <c r="G47" s="257">
        <f>BS_Sorted!G47/BS_Sorted!G$27</f>
        <v>0.49646384977618935</v>
      </c>
      <c r="H47" s="257">
        <f>BS_Sorted!H47/BS_Sorted!H$27</f>
        <v>0.56173826863125143</v>
      </c>
      <c r="I47" s="257">
        <f>BS_Sorted!I47/BS_Sorted!I$27</f>
        <v>0.58314625525410779</v>
      </c>
      <c r="J47" s="257">
        <f>BS_Sorted!J47/BS_Sorted!J$27</f>
        <v>0.62744767487097031</v>
      </c>
      <c r="K47" s="257">
        <f>BS_Sorted!K47/BS_Sorted!K$27</f>
        <v>0.56974238875878225</v>
      </c>
      <c r="L47" s="257">
        <f>BS_Sorted!L47/BS_Sorted!L$27</f>
        <v>0.63719111778218385</v>
      </c>
      <c r="M47" s="498">
        <f>BS_Sorted!M47/BS_Sorted!M$27</f>
        <v>0.59375330481976607</v>
      </c>
      <c r="N47" s="498">
        <f>BS_Sorted!N47/BS_Sorted!N$27</f>
        <v>0.61456637057914365</v>
      </c>
      <c r="O47" s="498">
        <f>BS_Sorted!O47/BS_Sorted!O$27</f>
        <v>0.63352243933835495</v>
      </c>
      <c r="P47" s="498">
        <f>BS_Sorted!P47/BS_Sorted!P$27</f>
        <v>0.64161859355541884</v>
      </c>
      <c r="Q47" s="498">
        <f>BS_Sorted!Q47/BS_Sorted!Q$27</f>
        <v>0.64477173567956558</v>
      </c>
      <c r="R47" s="498">
        <f>BS_Sorted!R47/BS_Sorted!R$27</f>
        <v>0.65240030463740561</v>
      </c>
      <c r="S47" s="498">
        <f>BS_Sorted!S47/BS_Sorted!S$27</f>
        <v>0.66240936044270626</v>
      </c>
      <c r="T47" s="498">
        <f>BS_Sorted!T47/BS_Sorted!T$27</f>
        <v>0.66879866818574718</v>
      </c>
    </row>
    <row r="48" spans="1:60" s="9" customFormat="1" x14ac:dyDescent="0.25">
      <c r="A48" s="198" t="s">
        <v>286</v>
      </c>
      <c r="B48" s="172" t="s">
        <v>216</v>
      </c>
      <c r="C48" s="172" t="s">
        <v>216</v>
      </c>
      <c r="D48" s="172" t="s">
        <v>216</v>
      </c>
      <c r="E48" s="172" t="s">
        <v>216</v>
      </c>
      <c r="F48" s="261">
        <f>BS_Sorted!F48/BS_Sorted!F$27</f>
        <v>-6.4306733094426471E-2</v>
      </c>
      <c r="G48" s="261">
        <f>BS_Sorted!G48/BS_Sorted!G$27</f>
        <v>-5.4255895038912205E-2</v>
      </c>
      <c r="H48" s="261">
        <f>BS_Sorted!H48/BS_Sorted!H$27</f>
        <v>-7.0723797695439183E-2</v>
      </c>
      <c r="I48" s="261">
        <f>BS_Sorted!I48/BS_Sorted!I$27</f>
        <v>-6.9497516239969429E-2</v>
      </c>
      <c r="J48" s="261">
        <f>BS_Sorted!J48/BS_Sorted!J$27</f>
        <v>-7.5783904349404782E-2</v>
      </c>
      <c r="K48" s="261">
        <f>BS_Sorted!K48/BS_Sorted!K$27</f>
        <v>-3.2494833999173439E-2</v>
      </c>
      <c r="L48" s="261">
        <f>BS_Sorted!L48/BS_Sorted!L$27</f>
        <v>-4.2108892866741375E-2</v>
      </c>
      <c r="M48" s="500">
        <f>BS_Sorted!M48/BS_Sorted!M$27</f>
        <v>-3.9572361763389428E-2</v>
      </c>
      <c r="N48" s="500">
        <f>BS_Sorted!N48/BS_Sorted!N$27</f>
        <v>-3.9905788267177715E-2</v>
      </c>
      <c r="O48" s="500">
        <f>BS_Sorted!O48/BS_Sorted!O$27</f>
        <v>-4.0439257365635688E-2</v>
      </c>
      <c r="P48" s="500">
        <f>BS_Sorted!P48/BS_Sorted!P$27</f>
        <v>-4.0456459466929821E-2</v>
      </c>
      <c r="Q48" s="500">
        <f>BS_Sorted!Q48/BS_Sorted!Q$27</f>
        <v>-4.0221609057932872E-2</v>
      </c>
      <c r="R48" s="500">
        <f>BS_Sorted!R48/BS_Sorted!R$27</f>
        <v>-4.0327936575353204E-2</v>
      </c>
      <c r="S48" s="500">
        <f>BS_Sorted!S48/BS_Sorted!S$27</f>
        <v>-4.0701541541302851E-2</v>
      </c>
      <c r="T48" s="500">
        <f>BS_Sorted!T48/BS_Sorted!T$27</f>
        <v>-4.079548270913573E-2</v>
      </c>
    </row>
    <row r="49" spans="1:60" s="9" customFormat="1" x14ac:dyDescent="0.25">
      <c r="A49" s="179" t="s">
        <v>300</v>
      </c>
      <c r="B49" s="167"/>
      <c r="C49" s="167"/>
      <c r="D49" s="167"/>
      <c r="E49" s="167"/>
      <c r="F49" s="294">
        <f>BS_Sorted!F49/BS_Sorted!F$27</f>
        <v>0.34696267808757975</v>
      </c>
      <c r="G49" s="294">
        <f>BS_Sorted!G49/BS_Sorted!G$27</f>
        <v>0.41507709680611421</v>
      </c>
      <c r="H49" s="294">
        <f>BS_Sorted!H49/BS_Sorted!H$27</f>
        <v>0.39774060204612888</v>
      </c>
      <c r="I49" s="294">
        <f>BS_Sorted!I49/BS_Sorted!I$27</f>
        <v>0.37701208444784107</v>
      </c>
      <c r="J49" s="294">
        <f>BS_Sorted!J49/BS_Sorted!J$27</f>
        <v>0.41001633944549626</v>
      </c>
      <c r="K49" s="294">
        <f>BS_Sorted!K49/BS_Sorted!K$27</f>
        <v>0.42539743766359001</v>
      </c>
      <c r="L49" s="294">
        <f>BS_Sorted!L49/BS_Sorted!L$27</f>
        <v>0.48507882740120584</v>
      </c>
      <c r="M49" s="509">
        <f>BS_Sorted!M49/BS_Sorted!M$27</f>
        <v>0.45332334498817456</v>
      </c>
      <c r="N49" s="509">
        <f>BS_Sorted!N49/BS_Sorted!N$27</f>
        <v>0.47429248854037714</v>
      </c>
      <c r="O49" s="509">
        <f>BS_Sorted!O49/BS_Sorted!O$27</f>
        <v>0.49038900080499309</v>
      </c>
      <c r="P49" s="509">
        <f>BS_Sorted!P49/BS_Sorted!P$27</f>
        <v>0.49715708123008723</v>
      </c>
      <c r="Q49" s="509">
        <f>BS_Sorted!Q49/BS_Sorted!Q$27</f>
        <v>0.49986379669834086</v>
      </c>
      <c r="R49" s="509">
        <f>BS_Sorted!R49/BS_Sorted!R$27</f>
        <v>0.50579510179045983</v>
      </c>
      <c r="S49" s="509">
        <f>BS_Sorted!S49/BS_Sorted!S$27</f>
        <v>0.51309308577529777</v>
      </c>
      <c r="T49" s="509">
        <f>BS_Sorted!T49/BS_Sorted!T$27</f>
        <v>0.51775462534897476</v>
      </c>
    </row>
    <row r="50" spans="1:60" s="9" customFormat="1" x14ac:dyDescent="0.25">
      <c r="A50" s="168" t="s">
        <v>288</v>
      </c>
      <c r="B50" s="167"/>
      <c r="C50" s="167"/>
      <c r="D50" s="167"/>
      <c r="E50" s="167"/>
      <c r="F50" s="257">
        <f>BS_Sorted!F50/BS_Sorted!F$27</f>
        <v>1.7247909565014713E-3</v>
      </c>
      <c r="G50" s="257">
        <f>BS_Sorted!G50/BS_Sorted!G$27</f>
        <v>2.0256465479606745E-3</v>
      </c>
      <c r="H50" s="257">
        <f>BS_Sorted!H50/BS_Sorted!H$27</f>
        <v>2.2016898439999248E-3</v>
      </c>
      <c r="I50" s="257">
        <f>BS_Sorted!I50/BS_Sorted!I$27</f>
        <v>1.8090848299579672E-3</v>
      </c>
      <c r="J50" s="257">
        <f>BS_Sorted!J50/BS_Sorted!J$27</f>
        <v>1.5237181315973752E-3</v>
      </c>
      <c r="K50" s="257">
        <f>BS_Sorted!K50/BS_Sorted!K$27</f>
        <v>1.4437250309960049E-3</v>
      </c>
      <c r="L50" s="257">
        <f>BS_Sorted!L50/BS_Sorted!L$27</f>
        <v>1.2981546933870174E-3</v>
      </c>
      <c r="M50" s="498">
        <f>BS_Sorted!M50/BS_Sorted!M$27</f>
        <v>1.1172114874269253E-3</v>
      </c>
      <c r="N50" s="498">
        <f>BS_Sorted!N50/BS_Sorted!N$27</f>
        <v>9.6536413026847561E-4</v>
      </c>
      <c r="O50" s="498">
        <f>BS_Sorted!O50/BS_Sorted!O$27</f>
        <v>8.2649971022468252E-4</v>
      </c>
      <c r="P50" s="498">
        <f>BS_Sorted!P50/BS_Sorted!P$27</f>
        <v>6.8042758243087116E-4</v>
      </c>
      <c r="Q50" s="498">
        <f>BS_Sorted!Q50/BS_Sorted!Q$27</f>
        <v>5.3097337613291714E-4</v>
      </c>
      <c r="R50" s="498">
        <f>BS_Sorted!R50/BS_Sorted!R$27</f>
        <v>3.8668894615751935E-4</v>
      </c>
      <c r="S50" s="498">
        <f>BS_Sorted!S50/BS_Sorted!S$27</f>
        <v>2.4611622341693052E-4</v>
      </c>
      <c r="T50" s="498">
        <f>BS_Sorted!T50/BS_Sorted!T$27</f>
        <v>9.738223421801404E-5</v>
      </c>
    </row>
    <row r="51" spans="1:60" s="9" customFormat="1" x14ac:dyDescent="0.25">
      <c r="A51" s="407" t="s">
        <v>301</v>
      </c>
      <c r="B51" s="207"/>
      <c r="C51" s="207"/>
      <c r="D51" s="207"/>
      <c r="E51" s="207"/>
      <c r="F51" s="295">
        <f>BS_Sorted!F51/BS_Sorted!F$27</f>
        <v>0.34868746904408121</v>
      </c>
      <c r="G51" s="295">
        <f>BS_Sorted!G51/BS_Sorted!G$27</f>
        <v>0.41710274335407488</v>
      </c>
      <c r="H51" s="295">
        <f>BS_Sorted!H51/BS_Sorted!H$27</f>
        <v>0.39994229189012875</v>
      </c>
      <c r="I51" s="295">
        <f>BS_Sorted!I51/BS_Sorted!I$27</f>
        <v>0.37882116927779902</v>
      </c>
      <c r="J51" s="295">
        <f>BS_Sorted!J51/BS_Sorted!J$27</f>
        <v>0.41154005757709367</v>
      </c>
      <c r="K51" s="295">
        <f>BS_Sorted!K51/BS_Sorted!K$27</f>
        <v>0.42684116269458605</v>
      </c>
      <c r="L51" s="295">
        <f>BS_Sorted!L51/BS_Sorted!L$27</f>
        <v>0.4863769820945929</v>
      </c>
      <c r="M51" s="343">
        <f>BS_Sorted!M51/BS_Sorted!M$27</f>
        <v>0.4544405564756015</v>
      </c>
      <c r="N51" s="343">
        <f>BS_Sorted!N51/BS_Sorted!N$27</f>
        <v>0.47525785267064558</v>
      </c>
      <c r="O51" s="343">
        <f>BS_Sorted!O51/BS_Sorted!O$27</f>
        <v>0.49121550051521778</v>
      </c>
      <c r="P51" s="343">
        <f>BS_Sorted!P51/BS_Sorted!P$27</f>
        <v>0.49783750881251815</v>
      </c>
      <c r="Q51" s="343">
        <f>BS_Sorted!Q51/BS_Sorted!Q$27</f>
        <v>0.50039477007447375</v>
      </c>
      <c r="R51" s="343">
        <f>BS_Sorted!R51/BS_Sorted!R$27</f>
        <v>0.50618179073661729</v>
      </c>
      <c r="S51" s="343">
        <f>BS_Sorted!S51/BS_Sorted!S$27</f>
        <v>0.51333920199871463</v>
      </c>
      <c r="T51" s="343">
        <f>BS_Sorted!T51/BS_Sorted!T$27</f>
        <v>0.51785200758319272</v>
      </c>
    </row>
    <row r="52" spans="1:60" s="16" customFormat="1" x14ac:dyDescent="0.25">
      <c r="A52" s="206" t="s">
        <v>302</v>
      </c>
      <c r="B52" s="315"/>
      <c r="C52" s="315"/>
      <c r="D52" s="315"/>
      <c r="E52" s="315"/>
      <c r="F52" s="295">
        <f>BS_Sorted!F52/BS_Sorted!F$27</f>
        <v>1</v>
      </c>
      <c r="G52" s="295">
        <f>BS_Sorted!G52/BS_Sorted!G$27</f>
        <v>1</v>
      </c>
      <c r="H52" s="295">
        <f>BS_Sorted!H52/BS_Sorted!H$27</f>
        <v>1</v>
      </c>
      <c r="I52" s="295">
        <f>BS_Sorted!I52/BS_Sorted!I$27</f>
        <v>1</v>
      </c>
      <c r="J52" s="295">
        <f>BS_Sorted!J52/BS_Sorted!J$27</f>
        <v>1</v>
      </c>
      <c r="K52" s="295">
        <f>BS_Sorted!K52/BS_Sorted!K$27</f>
        <v>1</v>
      </c>
      <c r="L52" s="295">
        <f>BS_Sorted!L52/BS_Sorted!L$27</f>
        <v>1</v>
      </c>
      <c r="M52" s="343">
        <f>BS_Sorted!M52/BS_Sorted!M$27</f>
        <v>1.0000000000000002</v>
      </c>
      <c r="N52" s="343">
        <f>BS_Sorted!N52/BS_Sorted!N$27</f>
        <v>1.0000000000000002</v>
      </c>
      <c r="O52" s="343">
        <f>BS_Sorted!O52/BS_Sorted!O$27</f>
        <v>1</v>
      </c>
      <c r="P52" s="343">
        <f>BS_Sorted!P52/BS_Sorted!P$27</f>
        <v>0.99999999999999989</v>
      </c>
      <c r="Q52" s="343">
        <f>BS_Sorted!Q52/BS_Sorted!Q$27</f>
        <v>1</v>
      </c>
      <c r="R52" s="343">
        <f>BS_Sorted!R52/BS_Sorted!R$27</f>
        <v>0.99999999999999989</v>
      </c>
      <c r="S52" s="343">
        <f>BS_Sorted!S52/BS_Sorted!S$27</f>
        <v>1</v>
      </c>
      <c r="T52" s="343">
        <f>BS_Sorted!T52/BS_Sorted!T$27</f>
        <v>1</v>
      </c>
    </row>
    <row r="53" spans="1:60" x14ac:dyDescent="0.25">
      <c r="A53" s="168"/>
      <c r="B53" s="167"/>
      <c r="C53" s="167"/>
      <c r="D53" s="167"/>
      <c r="E53" s="167"/>
      <c r="F53" s="173"/>
      <c r="G53" s="173"/>
      <c r="H53" s="173"/>
      <c r="I53" s="173"/>
      <c r="J53" s="173"/>
      <c r="K53" s="173"/>
      <c r="L53" s="173"/>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row>
    <row r="54" spans="1:60" x14ac:dyDescent="0.25">
      <c r="A54" s="179"/>
      <c r="B54" s="167"/>
      <c r="C54" s="167"/>
      <c r="D54" s="167"/>
      <c r="E54" s="167"/>
      <c r="F54" s="173"/>
      <c r="G54" s="173"/>
      <c r="H54" s="173"/>
      <c r="I54" s="173"/>
      <c r="J54" s="173"/>
      <c r="K54" s="173"/>
      <c r="L54" s="173"/>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row>
    <row r="55" spans="1:60" x14ac:dyDescent="0.25">
      <c r="A55" s="168"/>
      <c r="B55" s="73"/>
      <c r="C55" s="73"/>
      <c r="D55" s="73"/>
      <c r="E55" s="73"/>
      <c r="F55" s="176"/>
      <c r="G55" s="176"/>
      <c r="H55" s="176"/>
      <c r="I55" s="176"/>
      <c r="J55" s="176"/>
      <c r="K55" s="176"/>
      <c r="L55" s="176"/>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row>
    <row r="56" spans="1:60" x14ac:dyDescent="0.25">
      <c r="A56" s="168"/>
      <c r="B56" s="31"/>
      <c r="C56" s="31"/>
      <c r="D56" s="31"/>
      <c r="E56" s="31"/>
      <c r="F56" s="176"/>
      <c r="G56" s="176"/>
      <c r="H56" s="176"/>
      <c r="I56" s="176"/>
      <c r="J56" s="176"/>
      <c r="K56" s="176"/>
      <c r="L56" s="176"/>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row>
    <row r="57" spans="1:60" x14ac:dyDescent="0.25">
      <c r="A57" s="168"/>
      <c r="B57" s="167"/>
      <c r="C57" s="167"/>
      <c r="D57" s="167"/>
      <c r="E57" s="167"/>
      <c r="F57" s="180"/>
      <c r="G57" s="180"/>
      <c r="H57" s="180"/>
      <c r="I57" s="180"/>
      <c r="J57" s="173"/>
      <c r="K57" s="180"/>
      <c r="L57" s="180"/>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row>
    <row r="58" spans="1:60" x14ac:dyDescent="0.25">
      <c r="A58" s="168"/>
      <c r="B58" s="167"/>
      <c r="C58" s="167"/>
      <c r="D58" s="167"/>
      <c r="E58" s="167"/>
      <c r="F58" s="173"/>
      <c r="G58" s="173"/>
      <c r="H58" s="173"/>
      <c r="I58" s="173"/>
      <c r="J58" s="180"/>
      <c r="K58" s="180"/>
      <c r="L58" s="180"/>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row>
    <row r="59" spans="1:60" x14ac:dyDescent="0.25">
      <c r="A59" s="168"/>
      <c r="B59" s="31"/>
      <c r="C59" s="31"/>
      <c r="D59" s="31"/>
      <c r="E59" s="31"/>
      <c r="F59" s="176"/>
      <c r="G59" s="176"/>
      <c r="H59" s="176"/>
      <c r="I59" s="176"/>
      <c r="J59" s="176"/>
      <c r="K59" s="176"/>
      <c r="L59" s="176"/>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row>
    <row r="60" spans="1:60" x14ac:dyDescent="0.25">
      <c r="A60" s="216"/>
      <c r="B60" s="31"/>
      <c r="C60" s="31"/>
      <c r="D60" s="31"/>
      <c r="E60" s="31"/>
      <c r="F60" s="176"/>
      <c r="G60" s="176"/>
      <c r="H60" s="176"/>
      <c r="I60" s="176"/>
      <c r="J60" s="176"/>
      <c r="K60" s="176"/>
      <c r="L60" s="176"/>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row>
    <row r="61" spans="1:60" x14ac:dyDescent="0.25">
      <c r="A61" s="168"/>
      <c r="B61" s="31"/>
      <c r="C61" s="31"/>
      <c r="D61" s="31"/>
      <c r="E61" s="31"/>
      <c r="F61" s="169"/>
      <c r="G61" s="169"/>
      <c r="H61" s="169"/>
      <c r="I61" s="176"/>
      <c r="J61" s="176"/>
      <c r="K61" s="176"/>
      <c r="L61" s="176"/>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row>
    <row r="62" spans="1:60" x14ac:dyDescent="0.25">
      <c r="A62" s="168"/>
      <c r="B62" s="73"/>
      <c r="C62" s="73"/>
      <c r="D62" s="73"/>
      <c r="E62" s="73"/>
      <c r="F62" s="176"/>
      <c r="G62" s="176"/>
      <c r="H62" s="176"/>
      <c r="I62" s="176"/>
      <c r="J62" s="176"/>
      <c r="K62" s="176"/>
      <c r="L62" s="176"/>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row>
    <row r="63" spans="1:60" x14ac:dyDescent="0.25">
      <c r="A63" s="177"/>
      <c r="B63" s="165"/>
      <c r="C63" s="165"/>
      <c r="D63" s="165"/>
      <c r="E63" s="165"/>
      <c r="F63" s="178"/>
      <c r="G63" s="178"/>
      <c r="H63" s="178"/>
      <c r="I63" s="178"/>
      <c r="J63" s="178"/>
      <c r="K63" s="178"/>
      <c r="L63" s="178"/>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row>
    <row r="64" spans="1:60" x14ac:dyDescent="0.25">
      <c r="A64" s="205"/>
      <c r="B64" s="166"/>
      <c r="C64" s="166"/>
      <c r="D64" s="166"/>
      <c r="E64" s="166"/>
      <c r="F64" s="178"/>
      <c r="G64" s="178"/>
      <c r="H64" s="178"/>
      <c r="I64" s="178"/>
      <c r="J64" s="178"/>
      <c r="K64" s="178"/>
      <c r="L64" s="178"/>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row>
    <row r="65" spans="1:60" x14ac:dyDescent="0.25">
      <c r="A65" s="168"/>
      <c r="B65" s="31"/>
      <c r="C65" s="31"/>
      <c r="D65" s="31"/>
      <c r="E65" s="31"/>
      <c r="F65" s="176"/>
      <c r="G65" s="176"/>
      <c r="H65" s="176"/>
      <c r="I65" s="176"/>
      <c r="J65" s="176"/>
      <c r="K65" s="176"/>
      <c r="L65" s="176"/>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row>
    <row r="66" spans="1:60" x14ac:dyDescent="0.25">
      <c r="A66" s="168"/>
      <c r="B66" s="31"/>
      <c r="C66" s="31"/>
      <c r="D66" s="31"/>
      <c r="E66" s="31"/>
      <c r="F66" s="176"/>
      <c r="G66" s="176"/>
      <c r="H66" s="176"/>
      <c r="I66" s="176"/>
      <c r="J66" s="176"/>
      <c r="K66" s="176"/>
      <c r="L66" s="176"/>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row>
    <row r="67" spans="1:60" x14ac:dyDescent="0.25">
      <c r="A67" s="168"/>
      <c r="B67" s="31"/>
      <c r="C67" s="31"/>
      <c r="D67" s="31"/>
      <c r="E67" s="31"/>
      <c r="F67" s="176"/>
      <c r="G67" s="176"/>
      <c r="H67" s="176"/>
      <c r="I67" s="176"/>
      <c r="J67" s="176"/>
      <c r="K67" s="176"/>
      <c r="L67" s="176"/>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row>
    <row r="68" spans="1:60" x14ac:dyDescent="0.25">
      <c r="A68" s="168"/>
      <c r="B68" s="31"/>
      <c r="C68" s="31"/>
      <c r="D68" s="31"/>
      <c r="E68" s="31"/>
      <c r="F68" s="176"/>
      <c r="G68" s="176"/>
      <c r="H68" s="176"/>
      <c r="I68" s="176"/>
      <c r="J68" s="176"/>
      <c r="K68" s="176"/>
      <c r="L68" s="176"/>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row>
    <row r="69" spans="1:60" x14ac:dyDescent="0.25">
      <c r="A69" s="168"/>
      <c r="B69" s="31"/>
      <c r="C69" s="31"/>
      <c r="D69" s="31"/>
      <c r="E69" s="31"/>
      <c r="F69" s="176"/>
      <c r="G69" s="176"/>
      <c r="H69" s="176"/>
      <c r="I69" s="176"/>
      <c r="J69" s="176"/>
      <c r="K69" s="176"/>
      <c r="L69" s="176"/>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row>
    <row r="70" spans="1:60" x14ac:dyDescent="0.25">
      <c r="A70" s="212"/>
      <c r="B70" s="213"/>
      <c r="C70" s="213"/>
      <c r="D70" s="213"/>
      <c r="E70" s="213"/>
      <c r="F70" s="214"/>
      <c r="G70" s="214"/>
      <c r="H70" s="214"/>
      <c r="I70" s="214"/>
      <c r="J70" s="214"/>
      <c r="K70" s="214"/>
      <c r="L70" s="214"/>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row>
    <row r="71" spans="1:60" x14ac:dyDescent="0.25">
      <c r="A71" s="174"/>
      <c r="B71" s="169"/>
      <c r="C71" s="169"/>
      <c r="D71" s="169"/>
      <c r="E71" s="169"/>
      <c r="F71" s="169"/>
      <c r="G71" s="169"/>
      <c r="H71" s="169"/>
      <c r="I71" s="169"/>
      <c r="J71" s="169"/>
      <c r="K71" s="169"/>
      <c r="L71" s="169"/>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row>
    <row r="72" spans="1:60" x14ac:dyDescent="0.25">
      <c r="A72" s="168"/>
      <c r="B72" s="170"/>
      <c r="C72" s="170"/>
      <c r="D72" s="170"/>
      <c r="E72" s="170"/>
      <c r="F72" s="175"/>
      <c r="G72" s="175"/>
      <c r="H72" s="175"/>
      <c r="I72" s="175"/>
      <c r="J72" s="175"/>
      <c r="K72" s="175"/>
      <c r="L72" s="175"/>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row>
    <row r="73" spans="1:60" x14ac:dyDescent="0.25">
      <c r="A73" s="168"/>
      <c r="B73" s="167"/>
      <c r="C73" s="167"/>
      <c r="D73" s="167"/>
      <c r="E73" s="167"/>
      <c r="F73" s="173"/>
      <c r="G73" s="173"/>
      <c r="H73" s="173"/>
      <c r="I73" s="173"/>
      <c r="J73" s="173"/>
      <c r="K73" s="173"/>
      <c r="L73" s="173"/>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row>
    <row r="74" spans="1:60" x14ac:dyDescent="0.25">
      <c r="A74" s="168"/>
      <c r="B74" s="167"/>
      <c r="C74" s="167"/>
      <c r="D74" s="167"/>
      <c r="E74" s="167"/>
      <c r="F74" s="173"/>
      <c r="G74" s="173"/>
      <c r="H74" s="173"/>
      <c r="I74" s="173"/>
      <c r="J74" s="173"/>
      <c r="K74" s="173"/>
      <c r="L74" s="173"/>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row>
    <row r="75" spans="1:60" x14ac:dyDescent="0.25">
      <c r="A75" s="168"/>
      <c r="B75" s="171"/>
      <c r="C75" s="171"/>
      <c r="D75" s="171"/>
      <c r="E75" s="171"/>
      <c r="F75" s="173"/>
      <c r="G75" s="173"/>
      <c r="H75" s="173"/>
      <c r="I75" s="173"/>
      <c r="J75" s="173"/>
      <c r="K75" s="173"/>
      <c r="L75" s="173"/>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row>
    <row r="76" spans="1:60" x14ac:dyDescent="0.25">
      <c r="A76" s="168"/>
      <c r="B76" s="171"/>
      <c r="C76" s="171"/>
      <c r="D76" s="171"/>
      <c r="E76" s="171"/>
      <c r="F76" s="173"/>
      <c r="G76" s="173"/>
      <c r="H76" s="173"/>
      <c r="I76" s="173"/>
      <c r="J76" s="173"/>
      <c r="K76" s="173"/>
      <c r="L76" s="173"/>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row>
    <row r="77" spans="1:60" x14ac:dyDescent="0.25">
      <c r="A77" s="168"/>
      <c r="B77" s="171"/>
      <c r="C77" s="171"/>
      <c r="D77" s="171"/>
      <c r="E77" s="171"/>
      <c r="F77" s="180"/>
      <c r="G77" s="180"/>
      <c r="H77" s="180"/>
      <c r="I77" s="180"/>
      <c r="J77" s="180"/>
      <c r="K77" s="173"/>
      <c r="L77" s="173"/>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row>
    <row r="78" spans="1:60" x14ac:dyDescent="0.25">
      <c r="A78" s="168"/>
      <c r="B78" s="171"/>
      <c r="C78" s="171"/>
      <c r="D78" s="171"/>
      <c r="E78" s="171"/>
      <c r="F78" s="173"/>
      <c r="G78" s="173"/>
      <c r="H78" s="173"/>
      <c r="I78" s="173"/>
      <c r="J78" s="173"/>
      <c r="K78" s="173"/>
      <c r="L78" s="173"/>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row>
    <row r="79" spans="1:60" x14ac:dyDescent="0.25">
      <c r="A79" s="168"/>
      <c r="B79" s="167"/>
      <c r="C79" s="167"/>
      <c r="D79" s="167"/>
      <c r="E79" s="167"/>
      <c r="F79" s="180"/>
      <c r="G79" s="180"/>
      <c r="H79" s="173"/>
      <c r="I79" s="180"/>
      <c r="J79" s="180"/>
      <c r="K79" s="180"/>
      <c r="L79" s="180"/>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row>
    <row r="80" spans="1:60" x14ac:dyDescent="0.25">
      <c r="A80" s="174"/>
      <c r="B80" s="167"/>
      <c r="C80" s="167"/>
      <c r="D80" s="167"/>
      <c r="E80" s="167"/>
      <c r="F80" s="173"/>
      <c r="G80" s="173"/>
      <c r="H80" s="173"/>
      <c r="I80" s="173"/>
      <c r="J80" s="173"/>
      <c r="K80" s="173"/>
      <c r="L80" s="173"/>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row>
    <row r="81" spans="1:60" x14ac:dyDescent="0.25">
      <c r="A81" s="168"/>
      <c r="B81" s="167"/>
      <c r="C81" s="167"/>
      <c r="D81" s="167"/>
      <c r="E81" s="167"/>
      <c r="F81" s="173"/>
      <c r="G81" s="173"/>
      <c r="H81" s="173"/>
      <c r="I81" s="173"/>
      <c r="J81" s="173"/>
      <c r="K81" s="173"/>
      <c r="L81" s="173"/>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row>
    <row r="82" spans="1:60" x14ac:dyDescent="0.25">
      <c r="A82" s="168"/>
      <c r="B82" s="167"/>
      <c r="C82" s="167"/>
      <c r="D82" s="167"/>
      <c r="E82" s="167"/>
      <c r="F82" s="180"/>
      <c r="G82" s="180"/>
      <c r="H82" s="180"/>
      <c r="I82" s="180"/>
      <c r="J82" s="180"/>
      <c r="K82" s="180"/>
      <c r="L82" s="180"/>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row>
    <row r="83" spans="1:60" x14ac:dyDescent="0.25">
      <c r="A83" s="168"/>
      <c r="B83" s="167"/>
      <c r="C83" s="167"/>
      <c r="D83" s="167"/>
      <c r="E83" s="167"/>
      <c r="F83" s="173"/>
      <c r="G83" s="173"/>
      <c r="H83" s="173"/>
      <c r="I83" s="173"/>
      <c r="J83" s="173"/>
      <c r="K83" s="173"/>
      <c r="L83" s="173"/>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row>
    <row r="84" spans="1:60" x14ac:dyDescent="0.25">
      <c r="A84" s="168"/>
      <c r="B84" s="167"/>
      <c r="C84" s="167"/>
      <c r="D84" s="167"/>
      <c r="E84" s="167"/>
      <c r="F84" s="173"/>
      <c r="G84" s="173"/>
      <c r="H84" s="173"/>
      <c r="I84" s="173"/>
      <c r="J84" s="173"/>
      <c r="K84" s="173"/>
      <c r="L84" s="173"/>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row>
    <row r="85" spans="1:60" x14ac:dyDescent="0.25">
      <c r="A85" s="168"/>
      <c r="B85" s="167"/>
      <c r="C85" s="167"/>
      <c r="D85" s="167"/>
      <c r="E85" s="167"/>
      <c r="F85" s="173"/>
      <c r="G85" s="173"/>
      <c r="H85" s="173"/>
      <c r="I85" s="173"/>
      <c r="J85" s="173"/>
      <c r="K85" s="173"/>
      <c r="L85" s="173"/>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row>
    <row r="86" spans="1:60" x14ac:dyDescent="0.25">
      <c r="A86" s="212"/>
      <c r="B86" s="217"/>
      <c r="C86" s="217"/>
      <c r="D86" s="217"/>
      <c r="E86" s="217"/>
      <c r="F86" s="218"/>
      <c r="G86" s="218"/>
      <c r="H86" s="218"/>
      <c r="I86" s="218"/>
      <c r="J86" s="218"/>
      <c r="K86" s="218"/>
      <c r="L86" s="218"/>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row>
    <row r="87" spans="1:60" x14ac:dyDescent="0.25">
      <c r="A87" s="168"/>
      <c r="B87" s="167"/>
      <c r="C87" s="167"/>
      <c r="D87" s="167"/>
      <c r="E87" s="167"/>
      <c r="F87" s="173"/>
      <c r="G87" s="173"/>
      <c r="H87" s="173"/>
      <c r="I87" s="173"/>
      <c r="J87" s="180"/>
      <c r="K87" s="180"/>
      <c r="L87" s="180"/>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row>
    <row r="88" spans="1:60" x14ac:dyDescent="0.25">
      <c r="A88" s="168"/>
      <c r="B88" s="167"/>
      <c r="C88" s="167"/>
      <c r="D88" s="167"/>
      <c r="E88" s="167"/>
      <c r="F88" s="173"/>
      <c r="G88" s="173"/>
      <c r="H88" s="173"/>
      <c r="I88" s="173"/>
      <c r="J88" s="173"/>
      <c r="K88" s="173"/>
      <c r="L88" s="173"/>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row>
    <row r="89" spans="1:60" x14ac:dyDescent="0.25">
      <c r="A89" s="168"/>
      <c r="B89" s="167"/>
      <c r="C89" s="167"/>
      <c r="D89" s="167"/>
      <c r="E89" s="167"/>
      <c r="F89" s="173"/>
      <c r="G89" s="173"/>
      <c r="H89" s="173"/>
      <c r="I89" s="173"/>
      <c r="J89" s="173"/>
      <c r="K89" s="173"/>
      <c r="L89" s="173"/>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row>
    <row r="90" spans="1:60" x14ac:dyDescent="0.25">
      <c r="A90" s="168"/>
      <c r="B90" s="167"/>
      <c r="C90" s="167"/>
      <c r="D90" s="167"/>
      <c r="E90" s="167"/>
      <c r="F90" s="173"/>
      <c r="G90" s="173"/>
      <c r="H90" s="173"/>
      <c r="I90" s="173"/>
      <c r="J90" s="173"/>
      <c r="K90" s="173"/>
      <c r="L90" s="173"/>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row>
    <row r="91" spans="1:60" x14ac:dyDescent="0.25">
      <c r="A91" s="168"/>
      <c r="B91" s="167"/>
      <c r="C91" s="167"/>
      <c r="D91" s="167"/>
      <c r="E91" s="167"/>
      <c r="F91" s="173"/>
      <c r="G91" s="173"/>
      <c r="H91" s="173"/>
      <c r="I91" s="173"/>
      <c r="J91" s="173"/>
      <c r="K91" s="173"/>
      <c r="L91" s="173"/>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row>
    <row r="92" spans="1:60" x14ac:dyDescent="0.25">
      <c r="A92" s="179"/>
      <c r="B92" s="167"/>
      <c r="C92" s="167"/>
      <c r="D92" s="167"/>
      <c r="E92" s="167"/>
      <c r="F92" s="173"/>
      <c r="G92" s="173"/>
      <c r="H92" s="173"/>
      <c r="I92" s="173"/>
      <c r="J92" s="173"/>
      <c r="K92" s="173"/>
      <c r="L92" s="173"/>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row>
    <row r="93" spans="1:60" x14ac:dyDescent="0.25">
      <c r="A93" s="168"/>
      <c r="B93" s="167"/>
      <c r="C93" s="167"/>
      <c r="D93" s="167"/>
      <c r="E93" s="167"/>
      <c r="F93" s="173"/>
      <c r="G93" s="173"/>
      <c r="H93" s="173"/>
      <c r="I93" s="173"/>
      <c r="J93" s="173"/>
      <c r="K93" s="173"/>
      <c r="L93" s="173"/>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row>
    <row r="94" spans="1:60" x14ac:dyDescent="0.25">
      <c r="A94" s="179"/>
      <c r="B94" s="167"/>
      <c r="C94" s="167"/>
      <c r="D94" s="167"/>
      <c r="E94" s="167"/>
      <c r="F94" s="173"/>
      <c r="G94" s="173"/>
      <c r="H94" s="173"/>
      <c r="I94" s="173"/>
      <c r="J94" s="173"/>
      <c r="K94" s="173"/>
      <c r="L94" s="173"/>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row>
    <row r="95" spans="1:60" x14ac:dyDescent="0.25">
      <c r="A95" s="179"/>
      <c r="B95" s="175"/>
      <c r="C95" s="175"/>
      <c r="D95" s="175"/>
      <c r="E95" s="175"/>
      <c r="F95" s="175"/>
      <c r="G95" s="175"/>
      <c r="H95" s="175"/>
      <c r="I95" s="175"/>
      <c r="J95" s="175"/>
      <c r="K95" s="175"/>
      <c r="L95" s="175"/>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row>
    <row r="96" spans="1:60" x14ac:dyDescent="0.25">
      <c r="B96" s="2"/>
      <c r="C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row>
    <row r="97" spans="2:60" x14ac:dyDescent="0.25">
      <c r="B97" s="2"/>
      <c r="C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row>
    <row r="98" spans="2:60" x14ac:dyDescent="0.25">
      <c r="B98" s="2"/>
      <c r="C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row>
    <row r="99" spans="2:60" x14ac:dyDescent="0.25">
      <c r="B99" s="2"/>
      <c r="C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row>
    <row r="100" spans="2:60" x14ac:dyDescent="0.25">
      <c r="B100" s="2"/>
      <c r="C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row>
    <row r="101" spans="2:60" x14ac:dyDescent="0.25">
      <c r="B101" s="2"/>
      <c r="C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row>
    <row r="102" spans="2:60" x14ac:dyDescent="0.25">
      <c r="B102" s="2"/>
      <c r="C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row>
    <row r="103" spans="2:60" x14ac:dyDescent="0.25">
      <c r="B103" s="2"/>
      <c r="C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row>
    <row r="104" spans="2:60" x14ac:dyDescent="0.25">
      <c r="B104" s="2"/>
      <c r="C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row>
    <row r="105" spans="2:60" x14ac:dyDescent="0.25">
      <c r="B105" s="2"/>
      <c r="C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row>
    <row r="106" spans="2:60" x14ac:dyDescent="0.25">
      <c r="B106" s="2"/>
      <c r="C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row>
    <row r="107" spans="2:60" x14ac:dyDescent="0.25">
      <c r="B107" s="2"/>
      <c r="C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row>
    <row r="108" spans="2:60" x14ac:dyDescent="0.25">
      <c r="B108" s="2"/>
      <c r="C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row>
    <row r="109" spans="2:60" x14ac:dyDescent="0.25">
      <c r="B109" s="2"/>
      <c r="C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row>
    <row r="110" spans="2:60" x14ac:dyDescent="0.25">
      <c r="B110" s="2"/>
      <c r="C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row>
    <row r="111" spans="2:60" x14ac:dyDescent="0.25">
      <c r="B111" s="2"/>
      <c r="C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row>
    <row r="112" spans="2:60" x14ac:dyDescent="0.25">
      <c r="B112" s="2"/>
      <c r="C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row>
    <row r="113" spans="2:60" x14ac:dyDescent="0.25">
      <c r="B113" s="2"/>
      <c r="C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row>
    <row r="114" spans="2:60" x14ac:dyDescent="0.25">
      <c r="B114" s="2"/>
      <c r="C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row>
    <row r="115" spans="2:60" x14ac:dyDescent="0.25">
      <c r="B115" s="2"/>
      <c r="C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row>
    <row r="116" spans="2:60" x14ac:dyDescent="0.25">
      <c r="B116" s="2"/>
      <c r="C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row>
    <row r="117" spans="2:60" x14ac:dyDescent="0.25">
      <c r="B117" s="2"/>
      <c r="C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row>
    <row r="118" spans="2:60" x14ac:dyDescent="0.25">
      <c r="B118" s="2"/>
      <c r="C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row>
    <row r="119" spans="2:60" x14ac:dyDescent="0.25">
      <c r="B119" s="2"/>
      <c r="C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row>
    <row r="120" spans="2:60" x14ac:dyDescent="0.25">
      <c r="B120" s="2"/>
      <c r="C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row>
    <row r="121" spans="2:60" x14ac:dyDescent="0.25">
      <c r="B121" s="2"/>
      <c r="C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row>
    <row r="122" spans="2:60" x14ac:dyDescent="0.25">
      <c r="B122" s="2"/>
      <c r="C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row>
    <row r="123" spans="2:60" x14ac:dyDescent="0.25">
      <c r="B123" s="2"/>
      <c r="C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row>
    <row r="124" spans="2:60" x14ac:dyDescent="0.25">
      <c r="B124" s="2"/>
      <c r="C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row>
    <row r="125" spans="2:60" x14ac:dyDescent="0.25">
      <c r="B125" s="2"/>
      <c r="C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row>
    <row r="126" spans="2:60" x14ac:dyDescent="0.25">
      <c r="B126" s="2"/>
      <c r="C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row>
    <row r="127" spans="2:60" x14ac:dyDescent="0.25">
      <c r="B127" s="2"/>
      <c r="C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row>
    <row r="128" spans="2:60" x14ac:dyDescent="0.25">
      <c r="B128" s="2"/>
      <c r="C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row>
    <row r="129" spans="2:60" x14ac:dyDescent="0.25">
      <c r="B129" s="2"/>
      <c r="C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row>
    <row r="130" spans="2:60" x14ac:dyDescent="0.25">
      <c r="B130" s="2"/>
      <c r="C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row>
    <row r="131" spans="2:60" x14ac:dyDescent="0.25">
      <c r="B131" s="2"/>
      <c r="C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row>
    <row r="132" spans="2:60" x14ac:dyDescent="0.25">
      <c r="B132" s="2"/>
      <c r="C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row>
    <row r="133" spans="2:60" x14ac:dyDescent="0.25">
      <c r="B133" s="2"/>
      <c r="C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row>
    <row r="134" spans="2:60" x14ac:dyDescent="0.25">
      <c r="B134" s="2"/>
      <c r="C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row>
    <row r="135" spans="2:60" x14ac:dyDescent="0.25">
      <c r="B135" s="2"/>
      <c r="C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row>
    <row r="136" spans="2:60" x14ac:dyDescent="0.25">
      <c r="B136" s="2"/>
      <c r="C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row>
    <row r="137" spans="2:60" x14ac:dyDescent="0.25">
      <c r="B137" s="2"/>
      <c r="C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row>
    <row r="138" spans="2:60" x14ac:dyDescent="0.25">
      <c r="B138" s="2"/>
      <c r="C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row>
    <row r="139" spans="2:60" x14ac:dyDescent="0.25">
      <c r="B139" s="2"/>
      <c r="C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row>
    <row r="140" spans="2:60" x14ac:dyDescent="0.25">
      <c r="B140" s="2"/>
      <c r="C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row>
    <row r="141" spans="2:60" x14ac:dyDescent="0.25">
      <c r="B141" s="2"/>
      <c r="C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row>
    <row r="142" spans="2:60" x14ac:dyDescent="0.25">
      <c r="B142" s="2"/>
      <c r="C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row>
    <row r="143" spans="2:60" x14ac:dyDescent="0.25">
      <c r="B143" s="2"/>
      <c r="C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row>
    <row r="144" spans="2:60" x14ac:dyDescent="0.25">
      <c r="B144" s="2"/>
      <c r="C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row>
    <row r="145" spans="2:60" x14ac:dyDescent="0.25">
      <c r="B145" s="2"/>
      <c r="C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row>
    <row r="146" spans="2:60" x14ac:dyDescent="0.25">
      <c r="B146" s="2"/>
      <c r="C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row>
    <row r="147" spans="2:60" x14ac:dyDescent="0.25">
      <c r="B147" s="2"/>
      <c r="C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row>
    <row r="148" spans="2:60" x14ac:dyDescent="0.25">
      <c r="B148" s="2"/>
      <c r="C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row>
    <row r="149" spans="2:60" x14ac:dyDescent="0.25">
      <c r="B149" s="2"/>
      <c r="C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row>
    <row r="150" spans="2:60" x14ac:dyDescent="0.25">
      <c r="B150" s="2"/>
      <c r="C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row>
    <row r="151" spans="2:60" x14ac:dyDescent="0.25">
      <c r="B151" s="2"/>
      <c r="C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row>
    <row r="152" spans="2:60" x14ac:dyDescent="0.25">
      <c r="B152" s="2"/>
      <c r="C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row>
    <row r="153" spans="2:60" x14ac:dyDescent="0.25">
      <c r="B153" s="2"/>
      <c r="C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row>
    <row r="154" spans="2:60" x14ac:dyDescent="0.25">
      <c r="B154" s="2"/>
      <c r="C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row>
    <row r="155" spans="2:60" x14ac:dyDescent="0.25">
      <c r="B155" s="2"/>
      <c r="C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row>
    <row r="156" spans="2:60" x14ac:dyDescent="0.25">
      <c r="B156" s="2"/>
      <c r="C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row>
    <row r="157" spans="2:60" x14ac:dyDescent="0.25">
      <c r="B157" s="2"/>
      <c r="C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row>
    <row r="158" spans="2:60" x14ac:dyDescent="0.25">
      <c r="B158" s="2"/>
      <c r="C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row>
    <row r="159" spans="2:60" x14ac:dyDescent="0.25">
      <c r="B159" s="2"/>
      <c r="C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row>
    <row r="160" spans="2:60" x14ac:dyDescent="0.25">
      <c r="B160" s="2"/>
      <c r="C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row>
    <row r="161" spans="2:60" x14ac:dyDescent="0.25">
      <c r="B161" s="2"/>
      <c r="C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row>
    <row r="162" spans="2:60" x14ac:dyDescent="0.25">
      <c r="B162" s="2"/>
      <c r="C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row>
    <row r="163" spans="2:60" x14ac:dyDescent="0.25">
      <c r="B163" s="2"/>
      <c r="C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row>
    <row r="164" spans="2:60" x14ac:dyDescent="0.25">
      <c r="B164" s="2"/>
      <c r="C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row>
    <row r="165" spans="2:60" x14ac:dyDescent="0.25">
      <c r="B165" s="2"/>
      <c r="C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row>
    <row r="166" spans="2:60" x14ac:dyDescent="0.25">
      <c r="B166" s="2"/>
      <c r="C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row>
    <row r="167" spans="2:60" x14ac:dyDescent="0.25">
      <c r="B167" s="2"/>
      <c r="C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row>
    <row r="168" spans="2:60" x14ac:dyDescent="0.25">
      <c r="B168" s="2"/>
      <c r="C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row>
    <row r="169" spans="2:60" x14ac:dyDescent="0.25">
      <c r="B169" s="2"/>
      <c r="C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row>
    <row r="170" spans="2:60" x14ac:dyDescent="0.25">
      <c r="B170" s="2"/>
      <c r="C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row>
    <row r="171" spans="2:60" x14ac:dyDescent="0.25">
      <c r="B171" s="2"/>
      <c r="C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row>
    <row r="172" spans="2:60" x14ac:dyDescent="0.25">
      <c r="B172" s="2"/>
      <c r="C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row>
    <row r="173" spans="2:60" x14ac:dyDescent="0.25">
      <c r="B173" s="2"/>
      <c r="C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row>
    <row r="174" spans="2:60" x14ac:dyDescent="0.25">
      <c r="B174" s="2"/>
      <c r="C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row>
    <row r="175" spans="2:60" x14ac:dyDescent="0.25">
      <c r="B175" s="2"/>
      <c r="C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row>
    <row r="176" spans="2:60" x14ac:dyDescent="0.25">
      <c r="B176" s="2"/>
      <c r="C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row>
    <row r="177" spans="2:60" x14ac:dyDescent="0.25">
      <c r="B177" s="2"/>
      <c r="C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row>
    <row r="178" spans="2:60" x14ac:dyDescent="0.25">
      <c r="B178" s="2"/>
      <c r="C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row>
    <row r="179" spans="2:60" x14ac:dyDescent="0.25">
      <c r="B179" s="2"/>
      <c r="C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row>
    <row r="180" spans="2:60" x14ac:dyDescent="0.25">
      <c r="B180" s="2"/>
      <c r="C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row>
    <row r="181" spans="2:60" x14ac:dyDescent="0.25">
      <c r="B181" s="2"/>
      <c r="C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row>
    <row r="182" spans="2:60" x14ac:dyDescent="0.25">
      <c r="B182" s="2"/>
      <c r="C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row>
    <row r="183" spans="2:60" x14ac:dyDescent="0.25">
      <c r="B183" s="2"/>
      <c r="C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row>
    <row r="184" spans="2:60" x14ac:dyDescent="0.25">
      <c r="B184" s="2"/>
      <c r="C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row>
    <row r="185" spans="2:60" x14ac:dyDescent="0.25">
      <c r="B185" s="2"/>
      <c r="C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row>
    <row r="186" spans="2:60" x14ac:dyDescent="0.25">
      <c r="B186" s="2"/>
      <c r="C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row>
    <row r="187" spans="2:60" x14ac:dyDescent="0.25">
      <c r="B187" s="2"/>
      <c r="C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row>
    <row r="188" spans="2:60" x14ac:dyDescent="0.25">
      <c r="B188" s="2"/>
      <c r="C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row>
    <row r="189" spans="2:60" x14ac:dyDescent="0.25">
      <c r="B189" s="2"/>
      <c r="C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row>
    <row r="190" spans="2:60" x14ac:dyDescent="0.25">
      <c r="B190" s="2"/>
      <c r="C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row>
    <row r="191" spans="2:60" x14ac:dyDescent="0.25">
      <c r="B191" s="2"/>
      <c r="C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row>
    <row r="192" spans="2:60" x14ac:dyDescent="0.25">
      <c r="B192" s="2"/>
      <c r="C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row>
    <row r="193" spans="2:60" x14ac:dyDescent="0.25">
      <c r="B193" s="2"/>
      <c r="C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row>
    <row r="194" spans="2:60" x14ac:dyDescent="0.25">
      <c r="B194" s="2"/>
      <c r="C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row>
    <row r="195" spans="2:60" x14ac:dyDescent="0.25">
      <c r="B195" s="2"/>
      <c r="C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row>
    <row r="196" spans="2:60" x14ac:dyDescent="0.25">
      <c r="B196" s="2"/>
      <c r="C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row>
    <row r="197" spans="2:60" x14ac:dyDescent="0.25">
      <c r="B197" s="2"/>
      <c r="C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row>
    <row r="198" spans="2:60" x14ac:dyDescent="0.25">
      <c r="B198" s="2"/>
      <c r="C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row>
    <row r="199" spans="2:60" x14ac:dyDescent="0.25">
      <c r="B199" s="2"/>
      <c r="C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row>
    <row r="200" spans="2:60" x14ac:dyDescent="0.25">
      <c r="B200" s="2"/>
      <c r="C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row>
    <row r="201" spans="2:60" x14ac:dyDescent="0.25">
      <c r="B201" s="2"/>
      <c r="C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row>
    <row r="202" spans="2:60" x14ac:dyDescent="0.25">
      <c r="B202" s="2"/>
      <c r="C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row>
    <row r="203" spans="2:60" x14ac:dyDescent="0.25">
      <c r="B203" s="2"/>
      <c r="C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row>
    <row r="204" spans="2:60" x14ac:dyDescent="0.25">
      <c r="B204" s="2"/>
      <c r="C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row>
    <row r="205" spans="2:60" x14ac:dyDescent="0.25">
      <c r="B205" s="2"/>
      <c r="C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row>
    <row r="206" spans="2:60" x14ac:dyDescent="0.25">
      <c r="B206" s="2"/>
      <c r="C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row>
    <row r="207" spans="2:60" x14ac:dyDescent="0.25">
      <c r="B207" s="2"/>
      <c r="C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row>
    <row r="208" spans="2:60" x14ac:dyDescent="0.25">
      <c r="B208" s="2"/>
      <c r="C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row>
    <row r="209" spans="2:60" x14ac:dyDescent="0.25">
      <c r="B209" s="2"/>
      <c r="C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row>
    <row r="210" spans="2:60" x14ac:dyDescent="0.25">
      <c r="B210" s="2"/>
      <c r="C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row>
    <row r="211" spans="2:60" x14ac:dyDescent="0.25">
      <c r="B211" s="2"/>
      <c r="C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row>
    <row r="212" spans="2:60" x14ac:dyDescent="0.25">
      <c r="B212" s="2"/>
      <c r="C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row>
    <row r="213" spans="2:60" x14ac:dyDescent="0.25">
      <c r="B213" s="2"/>
      <c r="C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row>
    <row r="214" spans="2:60" x14ac:dyDescent="0.25">
      <c r="B214" s="2"/>
      <c r="C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row>
    <row r="215" spans="2:60" x14ac:dyDescent="0.25">
      <c r="B215" s="2"/>
      <c r="C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row>
    <row r="216" spans="2:60" x14ac:dyDescent="0.25">
      <c r="B216" s="2"/>
      <c r="C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row>
    <row r="217" spans="2:60" x14ac:dyDescent="0.25">
      <c r="B217" s="2"/>
      <c r="C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row>
    <row r="218" spans="2:60" x14ac:dyDescent="0.25">
      <c r="B218" s="2"/>
      <c r="C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row>
    <row r="219" spans="2:60" x14ac:dyDescent="0.25">
      <c r="B219" s="2"/>
      <c r="C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row>
    <row r="220" spans="2:60" x14ac:dyDescent="0.25">
      <c r="B220" s="2"/>
      <c r="C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row>
    <row r="221" spans="2:60" x14ac:dyDescent="0.25">
      <c r="B221" s="2"/>
      <c r="C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row>
    <row r="222" spans="2:60" x14ac:dyDescent="0.25">
      <c r="B222" s="2"/>
      <c r="C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row>
    <row r="223" spans="2:60" x14ac:dyDescent="0.25">
      <c r="B223" s="2"/>
      <c r="C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row>
    <row r="224" spans="2:60" x14ac:dyDescent="0.25">
      <c r="B224" s="2"/>
      <c r="C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row>
    <row r="225" spans="2:60" x14ac:dyDescent="0.25">
      <c r="B225" s="2"/>
      <c r="C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row>
    <row r="226" spans="2:60" x14ac:dyDescent="0.25">
      <c r="B226" s="2"/>
      <c r="C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row>
    <row r="227" spans="2:60" x14ac:dyDescent="0.25">
      <c r="B227" s="2"/>
      <c r="C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row>
    <row r="228" spans="2:60" x14ac:dyDescent="0.25">
      <c r="B228" s="2"/>
      <c r="C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row>
    <row r="229" spans="2:60" x14ac:dyDescent="0.25">
      <c r="B229" s="2"/>
      <c r="C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row>
    <row r="230" spans="2:60" x14ac:dyDescent="0.25">
      <c r="B230" s="2"/>
      <c r="C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row>
    <row r="231" spans="2:60" x14ac:dyDescent="0.25">
      <c r="B231" s="2"/>
      <c r="C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row>
    <row r="232" spans="2:60" x14ac:dyDescent="0.25">
      <c r="B232" s="2"/>
      <c r="C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row>
    <row r="233" spans="2:60" x14ac:dyDescent="0.25">
      <c r="B233" s="2"/>
      <c r="C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row>
    <row r="234" spans="2:60" x14ac:dyDescent="0.25">
      <c r="B234" s="2"/>
      <c r="C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row>
    <row r="235" spans="2:60" x14ac:dyDescent="0.25">
      <c r="B235" s="2"/>
      <c r="C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row>
    <row r="236" spans="2:60" x14ac:dyDescent="0.25">
      <c r="B236" s="2"/>
      <c r="C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row>
    <row r="237" spans="2:60" x14ac:dyDescent="0.25">
      <c r="B237" s="2"/>
      <c r="C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row>
    <row r="238" spans="2:60" x14ac:dyDescent="0.25">
      <c r="B238" s="2"/>
      <c r="C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row>
    <row r="239" spans="2:60" x14ac:dyDescent="0.25">
      <c r="B239" s="2"/>
      <c r="C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row>
    <row r="240" spans="2:60" x14ac:dyDescent="0.25">
      <c r="B240" s="2"/>
      <c r="C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row>
    <row r="241" spans="2:60" x14ac:dyDescent="0.25">
      <c r="B241" s="2"/>
      <c r="C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row>
    <row r="242" spans="2:60" x14ac:dyDescent="0.25">
      <c r="B242" s="2"/>
      <c r="C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row>
    <row r="243" spans="2:60" x14ac:dyDescent="0.25">
      <c r="B243" s="2"/>
      <c r="C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row>
    <row r="244" spans="2:60" x14ac:dyDescent="0.25">
      <c r="B244" s="2"/>
      <c r="C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row>
    <row r="245" spans="2:60" x14ac:dyDescent="0.25">
      <c r="B245" s="2"/>
      <c r="C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row>
    <row r="246" spans="2:60" x14ac:dyDescent="0.25">
      <c r="B246" s="2"/>
      <c r="C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row>
    <row r="247" spans="2:60" x14ac:dyDescent="0.25">
      <c r="B247" s="2"/>
      <c r="C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row>
    <row r="248" spans="2:60" x14ac:dyDescent="0.25">
      <c r="B248" s="2"/>
      <c r="C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row>
    <row r="249" spans="2:60" x14ac:dyDescent="0.25">
      <c r="B249" s="2"/>
      <c r="C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row>
    <row r="250" spans="2:60" x14ac:dyDescent="0.25">
      <c r="B250" s="2"/>
      <c r="C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row>
    <row r="251" spans="2:60" x14ac:dyDescent="0.25">
      <c r="B251" s="2"/>
      <c r="C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row>
    <row r="252" spans="2:60" x14ac:dyDescent="0.25">
      <c r="B252" s="2"/>
      <c r="C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row>
    <row r="253" spans="2:60" x14ac:dyDescent="0.25">
      <c r="B253" s="2"/>
      <c r="C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row>
    <row r="254" spans="2:60" x14ac:dyDescent="0.25">
      <c r="B254" s="2"/>
      <c r="C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row>
    <row r="255" spans="2:60" x14ac:dyDescent="0.25">
      <c r="B255" s="2"/>
      <c r="C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row>
    <row r="256" spans="2:60" x14ac:dyDescent="0.25">
      <c r="B256" s="2"/>
      <c r="C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row>
    <row r="257" spans="2:60" x14ac:dyDescent="0.25">
      <c r="B257" s="2"/>
      <c r="C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row>
    <row r="258" spans="2:60" x14ac:dyDescent="0.25">
      <c r="B258" s="2"/>
      <c r="C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row>
    <row r="259" spans="2:60" x14ac:dyDescent="0.25">
      <c r="B259" s="2"/>
      <c r="C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row>
    <row r="260" spans="2:60" x14ac:dyDescent="0.25">
      <c r="B260" s="2"/>
      <c r="C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row>
    <row r="261" spans="2:60" x14ac:dyDescent="0.25">
      <c r="B261" s="2"/>
      <c r="C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row>
    <row r="262" spans="2:60" x14ac:dyDescent="0.25">
      <c r="B262" s="2"/>
      <c r="C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row>
    <row r="263" spans="2:60" x14ac:dyDescent="0.25">
      <c r="B263" s="2"/>
      <c r="C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row>
    <row r="264" spans="2:60" x14ac:dyDescent="0.25">
      <c r="B264" s="2"/>
      <c r="C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row>
    <row r="265" spans="2:60" x14ac:dyDescent="0.25">
      <c r="B265" s="2"/>
      <c r="C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row>
    <row r="266" spans="2:60" x14ac:dyDescent="0.25">
      <c r="B266" s="2"/>
      <c r="C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row>
    <row r="267" spans="2:60" x14ac:dyDescent="0.25">
      <c r="B267" s="2"/>
      <c r="C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row>
    <row r="268" spans="2:60" x14ac:dyDescent="0.25">
      <c r="B268" s="2"/>
      <c r="C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row>
    <row r="269" spans="2:60" x14ac:dyDescent="0.25">
      <c r="B269" s="2"/>
      <c r="C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row>
    <row r="270" spans="2:60" x14ac:dyDescent="0.25">
      <c r="B270" s="2"/>
      <c r="C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row>
    <row r="271" spans="2:60" x14ac:dyDescent="0.25">
      <c r="B271" s="2"/>
      <c r="C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row>
    <row r="272" spans="2:60" x14ac:dyDescent="0.25">
      <c r="B272" s="2"/>
      <c r="C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row>
    <row r="273" spans="2:60" x14ac:dyDescent="0.25">
      <c r="B273" s="2"/>
      <c r="C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row>
    <row r="274" spans="2:60" x14ac:dyDescent="0.25">
      <c r="B274" s="2"/>
      <c r="C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row>
    <row r="275" spans="2:60" x14ac:dyDescent="0.25">
      <c r="B275" s="2"/>
      <c r="C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row>
    <row r="276" spans="2:60" x14ac:dyDescent="0.25">
      <c r="B276" s="2"/>
      <c r="C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row>
    <row r="277" spans="2:60" x14ac:dyDescent="0.25">
      <c r="B277" s="2"/>
      <c r="C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row>
    <row r="278" spans="2:60" x14ac:dyDescent="0.25">
      <c r="B278" s="2"/>
      <c r="C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row>
    <row r="279" spans="2:60" x14ac:dyDescent="0.25">
      <c r="B279" s="2"/>
      <c r="C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row>
    <row r="280" spans="2:60" x14ac:dyDescent="0.25">
      <c r="B280" s="2"/>
      <c r="C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row>
    <row r="281" spans="2:60" x14ac:dyDescent="0.25">
      <c r="B281" s="2"/>
      <c r="C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row>
    <row r="282" spans="2:60" x14ac:dyDescent="0.25">
      <c r="B282" s="2"/>
      <c r="C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row>
    <row r="283" spans="2:60" x14ac:dyDescent="0.25">
      <c r="B283" s="2"/>
      <c r="C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row>
    <row r="284" spans="2:60" x14ac:dyDescent="0.25">
      <c r="B284" s="2"/>
      <c r="C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row>
    <row r="285" spans="2:60" x14ac:dyDescent="0.25">
      <c r="B285" s="2"/>
      <c r="C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row>
    <row r="286" spans="2:60" x14ac:dyDescent="0.25">
      <c r="B286" s="2"/>
      <c r="C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row>
    <row r="287" spans="2:60" x14ac:dyDescent="0.25">
      <c r="B287" s="2"/>
      <c r="C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row>
    <row r="288" spans="2:60" x14ac:dyDescent="0.25">
      <c r="B288" s="2"/>
      <c r="C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row>
    <row r="289" spans="2:60" x14ac:dyDescent="0.25">
      <c r="B289" s="2"/>
      <c r="C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row>
    <row r="290" spans="2:60" x14ac:dyDescent="0.25">
      <c r="B290" s="2"/>
      <c r="C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row>
    <row r="291" spans="2:60" x14ac:dyDescent="0.25">
      <c r="B291" s="2"/>
      <c r="C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row>
    <row r="292" spans="2:60" x14ac:dyDescent="0.25">
      <c r="B292" s="2"/>
      <c r="C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row>
    <row r="293" spans="2:60" x14ac:dyDescent="0.25">
      <c r="B293" s="2"/>
      <c r="C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row>
    <row r="294" spans="2:60" x14ac:dyDescent="0.25">
      <c r="B294" s="2"/>
      <c r="C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row>
    <row r="295" spans="2:60" x14ac:dyDescent="0.25">
      <c r="B295" s="2"/>
      <c r="C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row>
    <row r="296" spans="2:60" x14ac:dyDescent="0.25">
      <c r="B296" s="2"/>
      <c r="C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row>
    <row r="297" spans="2:60" x14ac:dyDescent="0.25">
      <c r="B297" s="2"/>
      <c r="C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row>
    <row r="298" spans="2:60" x14ac:dyDescent="0.25">
      <c r="B298" s="2"/>
      <c r="C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row>
    <row r="299" spans="2:60" x14ac:dyDescent="0.25">
      <c r="B299" s="2"/>
      <c r="C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row>
    <row r="300" spans="2:60" x14ac:dyDescent="0.25">
      <c r="B300" s="2"/>
      <c r="C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row>
    <row r="301" spans="2:60" x14ac:dyDescent="0.25">
      <c r="B301" s="2"/>
      <c r="C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row>
    <row r="302" spans="2:60" x14ac:dyDescent="0.25">
      <c r="B302" s="2"/>
      <c r="C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row>
    <row r="303" spans="2:60" x14ac:dyDescent="0.25">
      <c r="B303" s="2"/>
      <c r="C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row>
    <row r="304" spans="2:60" x14ac:dyDescent="0.25">
      <c r="B304" s="2"/>
      <c r="C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row>
    <row r="305" spans="2:60" x14ac:dyDescent="0.25">
      <c r="B305" s="2"/>
      <c r="C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row>
    <row r="306" spans="2:60" x14ac:dyDescent="0.25">
      <c r="B306" s="2"/>
      <c r="C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row>
    <row r="307" spans="2:60" x14ac:dyDescent="0.25">
      <c r="B307" s="2"/>
      <c r="C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row>
    <row r="308" spans="2:60" x14ac:dyDescent="0.25">
      <c r="B308" s="2"/>
      <c r="C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row>
    <row r="309" spans="2:60" x14ac:dyDescent="0.25">
      <c r="B309" s="2"/>
      <c r="C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row>
    <row r="310" spans="2:60" x14ac:dyDescent="0.25">
      <c r="B310" s="2"/>
      <c r="C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row>
    <row r="311" spans="2:60" x14ac:dyDescent="0.25">
      <c r="B311" s="2"/>
      <c r="C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row>
    <row r="312" spans="2:60" x14ac:dyDescent="0.25">
      <c r="B312" s="2"/>
      <c r="C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row>
    <row r="313" spans="2:60" x14ac:dyDescent="0.25">
      <c r="B313" s="2"/>
      <c r="C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row>
    <row r="314" spans="2:60" x14ac:dyDescent="0.25">
      <c r="B314" s="2"/>
      <c r="C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row>
    <row r="315" spans="2:60" x14ac:dyDescent="0.25">
      <c r="B315" s="2"/>
      <c r="C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row>
    <row r="316" spans="2:60" x14ac:dyDescent="0.25">
      <c r="B316" s="2"/>
      <c r="C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row>
    <row r="317" spans="2:60" x14ac:dyDescent="0.25">
      <c r="B317" s="2"/>
      <c r="C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row>
    <row r="318" spans="2:60" x14ac:dyDescent="0.25">
      <c r="B318" s="2"/>
      <c r="C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row>
    <row r="319" spans="2:60" x14ac:dyDescent="0.25">
      <c r="B319" s="2"/>
      <c r="C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row>
    <row r="320" spans="2:60" x14ac:dyDescent="0.25">
      <c r="B320" s="2"/>
      <c r="C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row>
    <row r="321" spans="2:60" x14ac:dyDescent="0.25">
      <c r="B321" s="2"/>
      <c r="C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row>
    <row r="322" spans="2:60" x14ac:dyDescent="0.25">
      <c r="B322" s="2"/>
      <c r="C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row>
    <row r="323" spans="2:60" x14ac:dyDescent="0.25">
      <c r="B323" s="2"/>
      <c r="C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row>
    <row r="324" spans="2:60" x14ac:dyDescent="0.25">
      <c r="B324" s="2"/>
      <c r="C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row>
    <row r="325" spans="2:60" x14ac:dyDescent="0.25">
      <c r="B325" s="2"/>
      <c r="C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row>
    <row r="326" spans="2:60" x14ac:dyDescent="0.25">
      <c r="B326" s="2"/>
      <c r="C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row>
    <row r="327" spans="2:60" x14ac:dyDescent="0.25">
      <c r="B327" s="2"/>
      <c r="C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row>
    <row r="328" spans="2:60" x14ac:dyDescent="0.25">
      <c r="B328" s="2"/>
      <c r="C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row>
    <row r="329" spans="2:60" x14ac:dyDescent="0.25">
      <c r="B329" s="2"/>
      <c r="C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row>
    <row r="330" spans="2:60" x14ac:dyDescent="0.25">
      <c r="B330" s="2"/>
      <c r="C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row>
    <row r="331" spans="2:60" x14ac:dyDescent="0.25">
      <c r="B331" s="2"/>
      <c r="C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row>
    <row r="332" spans="2:60" x14ac:dyDescent="0.25">
      <c r="B332" s="2"/>
      <c r="C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row>
    <row r="333" spans="2:60" x14ac:dyDescent="0.25">
      <c r="B333" s="2"/>
      <c r="C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row>
    <row r="334" spans="2:60" x14ac:dyDescent="0.25">
      <c r="B334" s="2"/>
      <c r="C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row>
    <row r="335" spans="2:60" x14ac:dyDescent="0.25">
      <c r="B335" s="2"/>
      <c r="C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row>
    <row r="336" spans="2:60" x14ac:dyDescent="0.25">
      <c r="B336" s="2"/>
      <c r="C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row>
    <row r="337" spans="2:60" x14ac:dyDescent="0.25">
      <c r="B337" s="2"/>
      <c r="C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row>
    <row r="338" spans="2:60" x14ac:dyDescent="0.25">
      <c r="B338" s="2"/>
      <c r="C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row>
    <row r="339" spans="2:60" x14ac:dyDescent="0.25">
      <c r="B339" s="2"/>
      <c r="C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row>
    <row r="340" spans="2:60" x14ac:dyDescent="0.25">
      <c r="B340" s="2"/>
      <c r="C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row>
    <row r="341" spans="2:60" x14ac:dyDescent="0.25">
      <c r="B341" s="2"/>
      <c r="C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row>
    <row r="342" spans="2:60" x14ac:dyDescent="0.25">
      <c r="B342" s="2"/>
      <c r="C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row>
    <row r="343" spans="2:60" x14ac:dyDescent="0.25">
      <c r="B343" s="2"/>
      <c r="C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row>
    <row r="344" spans="2:60" x14ac:dyDescent="0.25">
      <c r="B344" s="2"/>
      <c r="C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row>
    <row r="345" spans="2:60" x14ac:dyDescent="0.25">
      <c r="B345" s="2"/>
      <c r="C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row>
    <row r="346" spans="2:60" x14ac:dyDescent="0.25">
      <c r="B346" s="2"/>
      <c r="C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row>
    <row r="347" spans="2:60" x14ac:dyDescent="0.25">
      <c r="B347" s="2"/>
      <c r="C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row>
    <row r="348" spans="2:60" x14ac:dyDescent="0.25">
      <c r="B348" s="2"/>
      <c r="C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row>
    <row r="349" spans="2:60" x14ac:dyDescent="0.25">
      <c r="B349" s="2"/>
      <c r="C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row>
    <row r="350" spans="2:60" x14ac:dyDescent="0.25">
      <c r="B350" s="2"/>
      <c r="C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row>
    <row r="351" spans="2:60" x14ac:dyDescent="0.25">
      <c r="B351" s="2"/>
      <c r="C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row>
    <row r="352" spans="2:60" x14ac:dyDescent="0.25">
      <c r="B352" s="2"/>
      <c r="C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row>
    <row r="353" spans="2:60" x14ac:dyDescent="0.25">
      <c r="B353" s="2"/>
      <c r="C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row>
    <row r="354" spans="2:60" x14ac:dyDescent="0.25">
      <c r="B354" s="2"/>
      <c r="C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row>
    <row r="355" spans="2:60" x14ac:dyDescent="0.25">
      <c r="B355" s="2"/>
      <c r="C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row>
    <row r="356" spans="2:60" x14ac:dyDescent="0.25">
      <c r="B356" s="2"/>
      <c r="C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row>
    <row r="357" spans="2:60" x14ac:dyDescent="0.25">
      <c r="B357" s="2"/>
      <c r="C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row>
    <row r="358" spans="2:60" x14ac:dyDescent="0.25">
      <c r="B358" s="2"/>
      <c r="C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row>
    <row r="359" spans="2:60" x14ac:dyDescent="0.25">
      <c r="B359" s="2"/>
      <c r="C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row>
    <row r="360" spans="2:60" x14ac:dyDescent="0.25">
      <c r="B360" s="2"/>
      <c r="C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row>
    <row r="361" spans="2:60" x14ac:dyDescent="0.25">
      <c r="B361" s="2"/>
      <c r="C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row>
    <row r="362" spans="2:60" x14ac:dyDescent="0.25">
      <c r="B362" s="2"/>
      <c r="C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row>
    <row r="363" spans="2:60" x14ac:dyDescent="0.25">
      <c r="B363" s="2"/>
      <c r="C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row>
    <row r="364" spans="2:60" x14ac:dyDescent="0.25">
      <c r="B364" s="2"/>
      <c r="C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row>
    <row r="365" spans="2:60" x14ac:dyDescent="0.25">
      <c r="B365" s="2"/>
      <c r="C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row>
    <row r="366" spans="2:60" x14ac:dyDescent="0.25">
      <c r="B366" s="2"/>
      <c r="C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row>
    <row r="367" spans="2:60" x14ac:dyDescent="0.25">
      <c r="B367" s="2"/>
      <c r="C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row>
    <row r="368" spans="2:60" x14ac:dyDescent="0.25">
      <c r="B368" s="2"/>
      <c r="C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row>
    <row r="369" spans="2:60" x14ac:dyDescent="0.25">
      <c r="B369" s="2"/>
      <c r="C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row>
    <row r="370" spans="2:60" x14ac:dyDescent="0.25">
      <c r="B370" s="2"/>
      <c r="C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row>
    <row r="371" spans="2:60" x14ac:dyDescent="0.25">
      <c r="B371" s="2"/>
      <c r="C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row>
    <row r="372" spans="2:60" x14ac:dyDescent="0.25">
      <c r="B372" s="2"/>
      <c r="C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row>
    <row r="373" spans="2:60" x14ac:dyDescent="0.25">
      <c r="B373" s="2"/>
      <c r="C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row>
    <row r="374" spans="2:60" x14ac:dyDescent="0.25">
      <c r="B374" s="2"/>
      <c r="C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row>
    <row r="375" spans="2:60" x14ac:dyDescent="0.25">
      <c r="B375" s="2"/>
      <c r="C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row>
    <row r="376" spans="2:60" x14ac:dyDescent="0.25">
      <c r="B376" s="2"/>
      <c r="C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row>
    <row r="377" spans="2:60" x14ac:dyDescent="0.25">
      <c r="B377" s="2"/>
      <c r="C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row>
    <row r="378" spans="2:60" x14ac:dyDescent="0.25">
      <c r="B378" s="2"/>
      <c r="C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row>
    <row r="379" spans="2:60" x14ac:dyDescent="0.25">
      <c r="B379" s="2"/>
      <c r="C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row>
    <row r="380" spans="2:60" x14ac:dyDescent="0.25">
      <c r="B380" s="2"/>
      <c r="C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row>
    <row r="381" spans="2:60" x14ac:dyDescent="0.25">
      <c r="B381" s="2"/>
      <c r="C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row>
    <row r="382" spans="2:60" x14ac:dyDescent="0.25">
      <c r="B382" s="2"/>
      <c r="C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row>
    <row r="383" spans="2:60" x14ac:dyDescent="0.25">
      <c r="B383" s="2"/>
      <c r="C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row>
    <row r="384" spans="2:60" x14ac:dyDescent="0.25">
      <c r="B384" s="2"/>
      <c r="C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row>
    <row r="385" spans="2:60" x14ac:dyDescent="0.25">
      <c r="B385" s="2"/>
      <c r="C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row>
    <row r="386" spans="2:60" x14ac:dyDescent="0.25">
      <c r="B386" s="2"/>
      <c r="C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row>
    <row r="387" spans="2:60" x14ac:dyDescent="0.25">
      <c r="B387" s="2"/>
      <c r="C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row>
    <row r="388" spans="2:60" x14ac:dyDescent="0.25">
      <c r="B388" s="2"/>
      <c r="C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row>
    <row r="389" spans="2:60" x14ac:dyDescent="0.25">
      <c r="B389" s="2"/>
      <c r="C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row>
    <row r="390" spans="2:60" x14ac:dyDescent="0.25">
      <c r="B390" s="2"/>
      <c r="C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row>
    <row r="391" spans="2:60" x14ac:dyDescent="0.25">
      <c r="B391" s="2"/>
      <c r="C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row>
    <row r="392" spans="2:60" x14ac:dyDescent="0.25">
      <c r="B392" s="2"/>
      <c r="C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row>
    <row r="393" spans="2:60" x14ac:dyDescent="0.25">
      <c r="B393" s="2"/>
      <c r="C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row>
    <row r="394" spans="2:60" x14ac:dyDescent="0.25">
      <c r="B394" s="2"/>
      <c r="C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row>
    <row r="395" spans="2:60" x14ac:dyDescent="0.25">
      <c r="B395" s="2"/>
      <c r="C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row>
    <row r="396" spans="2:60" x14ac:dyDescent="0.25">
      <c r="B396" s="2"/>
      <c r="C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row>
    <row r="397" spans="2:60" x14ac:dyDescent="0.25">
      <c r="B397" s="2"/>
      <c r="C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row>
    <row r="398" spans="2:60" x14ac:dyDescent="0.25">
      <c r="B398" s="2"/>
      <c r="C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row>
    <row r="399" spans="2:60" x14ac:dyDescent="0.25">
      <c r="B399" s="2"/>
      <c r="C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row>
    <row r="400" spans="2:60" x14ac:dyDescent="0.25">
      <c r="B400" s="2"/>
      <c r="C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row>
    <row r="401" spans="2:60" x14ac:dyDescent="0.25">
      <c r="B401" s="2"/>
      <c r="C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row>
    <row r="402" spans="2:60" x14ac:dyDescent="0.25">
      <c r="B402" s="2"/>
      <c r="C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row>
    <row r="403" spans="2:60" x14ac:dyDescent="0.25">
      <c r="B403" s="2"/>
      <c r="C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row>
    <row r="404" spans="2:60" x14ac:dyDescent="0.25">
      <c r="B404" s="2"/>
      <c r="C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row>
    <row r="405" spans="2:60" x14ac:dyDescent="0.25">
      <c r="B405" s="2"/>
      <c r="C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row>
    <row r="406" spans="2:60" x14ac:dyDescent="0.25">
      <c r="B406" s="2"/>
      <c r="C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row>
    <row r="407" spans="2:60" x14ac:dyDescent="0.25">
      <c r="B407" s="2"/>
      <c r="C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row>
    <row r="408" spans="2:60" x14ac:dyDescent="0.25">
      <c r="B408" s="2"/>
      <c r="C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row>
    <row r="409" spans="2:60" x14ac:dyDescent="0.25">
      <c r="B409" s="2"/>
      <c r="C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row>
    <row r="410" spans="2:60" x14ac:dyDescent="0.25">
      <c r="B410" s="2"/>
      <c r="C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row>
    <row r="411" spans="2:60" x14ac:dyDescent="0.25">
      <c r="B411" s="2"/>
      <c r="C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row>
    <row r="412" spans="2:60" x14ac:dyDescent="0.25">
      <c r="B412" s="2"/>
      <c r="C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row>
    <row r="413" spans="2:60" x14ac:dyDescent="0.25">
      <c r="B413" s="2"/>
      <c r="C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row>
    <row r="414" spans="2:60" x14ac:dyDescent="0.25">
      <c r="B414" s="2"/>
      <c r="C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row>
    <row r="415" spans="2:60" x14ac:dyDescent="0.25">
      <c r="B415" s="2"/>
      <c r="C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row>
    <row r="416" spans="2:60" x14ac:dyDescent="0.25">
      <c r="B416" s="2"/>
      <c r="C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row>
    <row r="417" spans="2:60" x14ac:dyDescent="0.25">
      <c r="B417" s="2"/>
      <c r="C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row>
    <row r="418" spans="2:60" x14ac:dyDescent="0.25">
      <c r="B418" s="2"/>
      <c r="C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row>
    <row r="419" spans="2:60" x14ac:dyDescent="0.25">
      <c r="B419" s="2"/>
      <c r="C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row>
    <row r="420" spans="2:60" x14ac:dyDescent="0.25">
      <c r="B420" s="2"/>
      <c r="C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row>
    <row r="421" spans="2:60" x14ac:dyDescent="0.25">
      <c r="B421" s="2"/>
      <c r="C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row>
    <row r="422" spans="2:60" x14ac:dyDescent="0.25">
      <c r="B422" s="2"/>
      <c r="C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row>
    <row r="423" spans="2:60" x14ac:dyDescent="0.25">
      <c r="B423" s="2"/>
      <c r="C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row>
    <row r="424" spans="2:60" x14ac:dyDescent="0.25">
      <c r="B424" s="2"/>
      <c r="C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row>
    <row r="425" spans="2:60" x14ac:dyDescent="0.25">
      <c r="B425" s="2"/>
      <c r="C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row>
    <row r="426" spans="2:60" x14ac:dyDescent="0.25">
      <c r="B426" s="2"/>
      <c r="C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row>
    <row r="427" spans="2:60" x14ac:dyDescent="0.25">
      <c r="B427" s="2"/>
      <c r="C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row>
    <row r="428" spans="2:60" x14ac:dyDescent="0.25">
      <c r="B428" s="2"/>
      <c r="C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row>
    <row r="429" spans="2:60" x14ac:dyDescent="0.25">
      <c r="B429" s="2"/>
      <c r="C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row>
    <row r="430" spans="2:60" x14ac:dyDescent="0.25">
      <c r="B430" s="2"/>
      <c r="C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row>
    <row r="431" spans="2:60" x14ac:dyDescent="0.25">
      <c r="B431" s="2"/>
      <c r="C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row>
    <row r="432" spans="2:60" x14ac:dyDescent="0.25">
      <c r="B432" s="2"/>
      <c r="C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row>
    <row r="433" spans="2:60" x14ac:dyDescent="0.25">
      <c r="B433" s="2"/>
      <c r="C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row>
    <row r="434" spans="2:60" x14ac:dyDescent="0.25">
      <c r="B434" s="2"/>
      <c r="C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row>
    <row r="435" spans="2:60" x14ac:dyDescent="0.25">
      <c r="B435" s="2"/>
      <c r="C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row>
    <row r="436" spans="2:60" x14ac:dyDescent="0.25">
      <c r="B436" s="2"/>
      <c r="C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row>
    <row r="437" spans="2:60" x14ac:dyDescent="0.25">
      <c r="B437" s="2"/>
      <c r="C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row>
    <row r="438" spans="2:60" x14ac:dyDescent="0.25">
      <c r="B438" s="2"/>
      <c r="C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row>
    <row r="439" spans="2:60" x14ac:dyDescent="0.25">
      <c r="B439" s="2"/>
      <c r="C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row>
    <row r="440" spans="2:60" x14ac:dyDescent="0.25">
      <c r="B440" s="2"/>
      <c r="C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row>
    <row r="441" spans="2:60" x14ac:dyDescent="0.25">
      <c r="B441" s="2"/>
      <c r="C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row>
    <row r="442" spans="2:60" x14ac:dyDescent="0.25">
      <c r="B442" s="2"/>
      <c r="C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row>
    <row r="443" spans="2:60" x14ac:dyDescent="0.25">
      <c r="B443" s="2"/>
      <c r="C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row>
    <row r="444" spans="2:60" x14ac:dyDescent="0.25">
      <c r="B444" s="2"/>
      <c r="C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row>
    <row r="445" spans="2:60" x14ac:dyDescent="0.25">
      <c r="B445" s="2"/>
      <c r="C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row>
    <row r="446" spans="2:60" x14ac:dyDescent="0.25">
      <c r="B446" s="2"/>
      <c r="C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row>
    <row r="447" spans="2:60" x14ac:dyDescent="0.25">
      <c r="B447" s="2"/>
      <c r="C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row>
    <row r="448" spans="2:60" x14ac:dyDescent="0.25">
      <c r="B448" s="2"/>
      <c r="C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row>
    <row r="449" spans="2:60" x14ac:dyDescent="0.25">
      <c r="B449" s="2"/>
      <c r="C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row>
    <row r="450" spans="2:60" x14ac:dyDescent="0.25">
      <c r="B450" s="2"/>
      <c r="C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row>
    <row r="451" spans="2:60" x14ac:dyDescent="0.25">
      <c r="B451" s="2"/>
      <c r="C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row>
    <row r="452" spans="2:60" x14ac:dyDescent="0.25">
      <c r="B452" s="2"/>
      <c r="C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row>
    <row r="453" spans="2:60" x14ac:dyDescent="0.25">
      <c r="B453" s="2"/>
      <c r="C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row>
    <row r="454" spans="2:60" x14ac:dyDescent="0.25">
      <c r="B454" s="2"/>
      <c r="C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row>
    <row r="455" spans="2:60" x14ac:dyDescent="0.25">
      <c r="B455" s="2"/>
      <c r="C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row>
    <row r="456" spans="2:60" x14ac:dyDescent="0.25">
      <c r="B456" s="2"/>
      <c r="C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row>
    <row r="457" spans="2:60" x14ac:dyDescent="0.25">
      <c r="B457" s="2"/>
      <c r="C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row>
    <row r="458" spans="2:60" x14ac:dyDescent="0.25">
      <c r="B458" s="2"/>
      <c r="C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row>
    <row r="459" spans="2:60" x14ac:dyDescent="0.25">
      <c r="B459" s="2"/>
      <c r="C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row>
    <row r="460" spans="2:60" x14ac:dyDescent="0.25">
      <c r="B460" s="2"/>
      <c r="C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row>
    <row r="461" spans="2:60" x14ac:dyDescent="0.25">
      <c r="B461" s="2"/>
      <c r="C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row>
    <row r="462" spans="2:60" x14ac:dyDescent="0.25">
      <c r="B462" s="2"/>
      <c r="C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row>
    <row r="463" spans="2:60" x14ac:dyDescent="0.25">
      <c r="B463" s="2"/>
      <c r="C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row>
    <row r="464" spans="2:60" x14ac:dyDescent="0.25">
      <c r="B464" s="2"/>
      <c r="C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row>
    <row r="465" spans="2:60" x14ac:dyDescent="0.25">
      <c r="B465" s="2"/>
      <c r="C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row>
    <row r="466" spans="2:60" x14ac:dyDescent="0.25">
      <c r="B466" s="2"/>
      <c r="C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row>
    <row r="467" spans="2:60" x14ac:dyDescent="0.25">
      <c r="B467" s="2"/>
      <c r="C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row>
    <row r="468" spans="2:60" x14ac:dyDescent="0.25">
      <c r="B468" s="2"/>
      <c r="C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row>
    <row r="469" spans="2:60" x14ac:dyDescent="0.25">
      <c r="B469" s="2"/>
      <c r="C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row>
    <row r="470" spans="2:60" x14ac:dyDescent="0.25">
      <c r="B470" s="2"/>
      <c r="C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row>
    <row r="471" spans="2:60" x14ac:dyDescent="0.25">
      <c r="B471" s="2"/>
      <c r="C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row>
    <row r="472" spans="2:60" x14ac:dyDescent="0.25">
      <c r="B472" s="2"/>
      <c r="C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row>
    <row r="473" spans="2:60" x14ac:dyDescent="0.25">
      <c r="B473" s="2"/>
      <c r="C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row>
    <row r="474" spans="2:60" x14ac:dyDescent="0.25">
      <c r="B474" s="2"/>
      <c r="C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row>
    <row r="475" spans="2:60" x14ac:dyDescent="0.25">
      <c r="B475" s="2"/>
      <c r="C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row>
    <row r="476" spans="2:60" x14ac:dyDescent="0.25">
      <c r="B476" s="2"/>
      <c r="C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row>
    <row r="477" spans="2:60" x14ac:dyDescent="0.25">
      <c r="B477" s="2"/>
      <c r="C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row>
    <row r="478" spans="2:60" x14ac:dyDescent="0.25">
      <c r="B478" s="2"/>
      <c r="C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row>
    <row r="479" spans="2:60" x14ac:dyDescent="0.25">
      <c r="B479" s="2"/>
      <c r="C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row>
    <row r="480" spans="2:60" x14ac:dyDescent="0.25">
      <c r="B480" s="2"/>
      <c r="C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row>
    <row r="481" spans="2:60" x14ac:dyDescent="0.25">
      <c r="B481" s="2"/>
      <c r="C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row>
    <row r="482" spans="2:60" x14ac:dyDescent="0.25">
      <c r="B482" s="2"/>
      <c r="C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row>
    <row r="483" spans="2:60" x14ac:dyDescent="0.25">
      <c r="B483" s="2"/>
      <c r="C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row>
    <row r="484" spans="2:60" x14ac:dyDescent="0.25">
      <c r="B484" s="2"/>
      <c r="C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row>
    <row r="485" spans="2:60" x14ac:dyDescent="0.25">
      <c r="B485" s="2"/>
      <c r="C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row>
    <row r="486" spans="2:60" x14ac:dyDescent="0.25">
      <c r="B486" s="2"/>
      <c r="C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row>
    <row r="487" spans="2:60" x14ac:dyDescent="0.25">
      <c r="B487" s="2"/>
      <c r="C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row>
    <row r="488" spans="2:60" x14ac:dyDescent="0.25">
      <c r="B488" s="2"/>
      <c r="C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row>
    <row r="489" spans="2:60" x14ac:dyDescent="0.25">
      <c r="B489" s="2"/>
      <c r="C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row>
    <row r="490" spans="2:60" x14ac:dyDescent="0.25">
      <c r="B490" s="2"/>
      <c r="C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row>
    <row r="491" spans="2:60" x14ac:dyDescent="0.25">
      <c r="B491" s="2"/>
      <c r="C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row>
    <row r="492" spans="2:60" x14ac:dyDescent="0.25">
      <c r="B492" s="2"/>
      <c r="C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row>
    <row r="493" spans="2:60" x14ac:dyDescent="0.25">
      <c r="B493" s="2"/>
      <c r="C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row>
    <row r="494" spans="2:60" x14ac:dyDescent="0.25">
      <c r="B494" s="2"/>
      <c r="C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row>
    <row r="495" spans="2:60" x14ac:dyDescent="0.25">
      <c r="B495" s="2"/>
      <c r="C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row>
    <row r="496" spans="2:60" x14ac:dyDescent="0.25">
      <c r="B496" s="2"/>
      <c r="C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row>
    <row r="497" spans="2:60" x14ac:dyDescent="0.25">
      <c r="B497" s="2"/>
      <c r="C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row>
    <row r="498" spans="2:60" x14ac:dyDescent="0.25">
      <c r="B498" s="2"/>
      <c r="C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row>
    <row r="499" spans="2:60" x14ac:dyDescent="0.25">
      <c r="B499" s="2"/>
      <c r="C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row>
    <row r="500" spans="2:60" x14ac:dyDescent="0.25">
      <c r="B500" s="2"/>
      <c r="C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row>
    <row r="501" spans="2:60" x14ac:dyDescent="0.25">
      <c r="B501" s="2"/>
      <c r="C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row>
    <row r="502" spans="2:60" x14ac:dyDescent="0.25">
      <c r="B502" s="2"/>
      <c r="C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row>
    <row r="503" spans="2:60" x14ac:dyDescent="0.25">
      <c r="B503" s="2"/>
      <c r="C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row>
    <row r="504" spans="2:60" x14ac:dyDescent="0.25">
      <c r="B504" s="2"/>
      <c r="C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row>
    <row r="505" spans="2:60" x14ac:dyDescent="0.25">
      <c r="B505" s="2"/>
      <c r="C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row>
    <row r="506" spans="2:60" x14ac:dyDescent="0.25">
      <c r="B506" s="2"/>
      <c r="C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row>
    <row r="507" spans="2:60" x14ac:dyDescent="0.25">
      <c r="B507" s="2"/>
      <c r="C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row>
    <row r="508" spans="2:60" x14ac:dyDescent="0.25">
      <c r="B508" s="2"/>
      <c r="C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row>
    <row r="509" spans="2:60" x14ac:dyDescent="0.25">
      <c r="B509" s="2"/>
      <c r="C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row>
    <row r="510" spans="2:60" x14ac:dyDescent="0.25">
      <c r="B510" s="2"/>
      <c r="C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row>
    <row r="511" spans="2:60" x14ac:dyDescent="0.25">
      <c r="B511" s="2"/>
      <c r="C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row>
    <row r="512" spans="2:60" x14ac:dyDescent="0.25">
      <c r="B512" s="2"/>
      <c r="C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row>
    <row r="513" spans="2:60" x14ac:dyDescent="0.25">
      <c r="B513" s="2"/>
      <c r="C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row>
    <row r="514" spans="2:60" x14ac:dyDescent="0.25">
      <c r="B514" s="2"/>
      <c r="C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row>
    <row r="515" spans="2:60" x14ac:dyDescent="0.25">
      <c r="B515" s="2"/>
      <c r="C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row>
    <row r="516" spans="2:60" x14ac:dyDescent="0.25">
      <c r="B516" s="2"/>
      <c r="C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row>
    <row r="517" spans="2:60" x14ac:dyDescent="0.25">
      <c r="B517" s="2"/>
      <c r="C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row>
    <row r="518" spans="2:60" x14ac:dyDescent="0.25">
      <c r="B518" s="2"/>
      <c r="C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row>
    <row r="519" spans="2:60" x14ac:dyDescent="0.25">
      <c r="B519" s="2"/>
      <c r="C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row>
    <row r="520" spans="2:60" x14ac:dyDescent="0.25">
      <c r="B520" s="2"/>
      <c r="C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row>
    <row r="521" spans="2:60" x14ac:dyDescent="0.25">
      <c r="B521" s="2"/>
      <c r="C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row>
    <row r="522" spans="2:60" x14ac:dyDescent="0.25">
      <c r="B522" s="2"/>
      <c r="C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row>
    <row r="523" spans="2:60" x14ac:dyDescent="0.25">
      <c r="B523" s="2"/>
      <c r="C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row>
    <row r="524" spans="2:60" x14ac:dyDescent="0.25">
      <c r="B524" s="2"/>
      <c r="C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row>
    <row r="525" spans="2:60" x14ac:dyDescent="0.25">
      <c r="B525" s="2"/>
      <c r="C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row>
    <row r="526" spans="2:60" x14ac:dyDescent="0.25">
      <c r="B526" s="2"/>
      <c r="C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row>
    <row r="527" spans="2:60" x14ac:dyDescent="0.25">
      <c r="B527" s="2"/>
      <c r="C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row>
    <row r="528" spans="2:60" x14ac:dyDescent="0.25">
      <c r="B528" s="2"/>
      <c r="C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row>
    <row r="529" spans="2:60" x14ac:dyDescent="0.25">
      <c r="B529" s="2"/>
      <c r="C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row>
    <row r="530" spans="2:60" x14ac:dyDescent="0.25">
      <c r="B530" s="2"/>
      <c r="C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row>
    <row r="531" spans="2:60" x14ac:dyDescent="0.25">
      <c r="B531" s="2"/>
      <c r="C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row>
    <row r="532" spans="2:60" x14ac:dyDescent="0.25">
      <c r="B532" s="2"/>
      <c r="C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row>
    <row r="533" spans="2:60" x14ac:dyDescent="0.25">
      <c r="B533" s="2"/>
      <c r="C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row>
    <row r="534" spans="2:60" x14ac:dyDescent="0.25">
      <c r="B534" s="2"/>
      <c r="C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row>
    <row r="535" spans="2:60" x14ac:dyDescent="0.25">
      <c r="B535" s="2"/>
      <c r="C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row>
    <row r="536" spans="2:60" x14ac:dyDescent="0.25">
      <c r="B536" s="2"/>
      <c r="C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row>
    <row r="537" spans="2:60" x14ac:dyDescent="0.25">
      <c r="B537" s="2"/>
      <c r="C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row>
    <row r="538" spans="2:60" x14ac:dyDescent="0.25">
      <c r="B538" s="2"/>
      <c r="C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row>
    <row r="539" spans="2:60" x14ac:dyDescent="0.25">
      <c r="B539" s="2"/>
      <c r="C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row>
    <row r="540" spans="2:60" x14ac:dyDescent="0.25">
      <c r="B540" s="2"/>
      <c r="C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row>
    <row r="541" spans="2:60" x14ac:dyDescent="0.25">
      <c r="B541" s="2"/>
      <c r="C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row>
    <row r="542" spans="2:60" x14ac:dyDescent="0.25">
      <c r="B542" s="2"/>
      <c r="C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row>
    <row r="543" spans="2:60" x14ac:dyDescent="0.25">
      <c r="B543" s="2"/>
      <c r="C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row>
    <row r="544" spans="2:60" x14ac:dyDescent="0.25">
      <c r="B544" s="2"/>
      <c r="C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row>
    <row r="545" spans="2:60" x14ac:dyDescent="0.25">
      <c r="B545" s="2"/>
      <c r="C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row>
    <row r="546" spans="2:60" x14ac:dyDescent="0.25">
      <c r="B546" s="2"/>
      <c r="C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row>
    <row r="547" spans="2:60" x14ac:dyDescent="0.25">
      <c r="B547" s="2"/>
      <c r="C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row>
    <row r="548" spans="2:60" x14ac:dyDescent="0.25">
      <c r="B548" s="2"/>
      <c r="C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row>
    <row r="549" spans="2:60" x14ac:dyDescent="0.25">
      <c r="B549" s="2"/>
      <c r="C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row>
    <row r="550" spans="2:60" x14ac:dyDescent="0.25">
      <c r="B550" s="2"/>
      <c r="C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row>
    <row r="551" spans="2:60" x14ac:dyDescent="0.25">
      <c r="B551" s="2"/>
      <c r="C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row>
    <row r="552" spans="2:60" x14ac:dyDescent="0.25">
      <c r="B552" s="2"/>
      <c r="C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row>
    <row r="553" spans="2:60" x14ac:dyDescent="0.25">
      <c r="B553" s="2"/>
      <c r="C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row>
    <row r="554" spans="2:60" x14ac:dyDescent="0.25">
      <c r="B554" s="2"/>
      <c r="C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row>
    <row r="555" spans="2:60" x14ac:dyDescent="0.25">
      <c r="B555" s="2"/>
      <c r="C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row>
    <row r="556" spans="2:60" x14ac:dyDescent="0.25">
      <c r="B556" s="2"/>
      <c r="C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row>
    <row r="557" spans="2:60" x14ac:dyDescent="0.25">
      <c r="B557" s="2"/>
      <c r="C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row>
    <row r="558" spans="2:60" x14ac:dyDescent="0.25">
      <c r="B558" s="2"/>
      <c r="C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row>
    <row r="559" spans="2:60" x14ac:dyDescent="0.25">
      <c r="B559" s="2"/>
      <c r="C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row>
    <row r="560" spans="2:60" x14ac:dyDescent="0.25">
      <c r="B560" s="2"/>
      <c r="C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row>
    <row r="561" spans="2:60" x14ac:dyDescent="0.25">
      <c r="B561" s="2"/>
      <c r="C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row>
    <row r="562" spans="2:60" x14ac:dyDescent="0.25">
      <c r="B562" s="2"/>
      <c r="C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row>
    <row r="563" spans="2:60" x14ac:dyDescent="0.25">
      <c r="B563" s="2"/>
      <c r="C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row>
    <row r="564" spans="2:60" x14ac:dyDescent="0.25">
      <c r="B564" s="2"/>
      <c r="C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row>
    <row r="565" spans="2:60" x14ac:dyDescent="0.25">
      <c r="B565" s="2"/>
      <c r="C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row>
    <row r="566" spans="2:60" x14ac:dyDescent="0.25">
      <c r="B566" s="2"/>
      <c r="C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row>
    <row r="567" spans="2:60" x14ac:dyDescent="0.25">
      <c r="B567" s="2"/>
      <c r="C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row>
    <row r="568" spans="2:60" x14ac:dyDescent="0.25">
      <c r="B568" s="2"/>
      <c r="C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row>
    <row r="569" spans="2:60" x14ac:dyDescent="0.25">
      <c r="B569" s="2"/>
      <c r="C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row>
    <row r="570" spans="2:60" x14ac:dyDescent="0.25">
      <c r="B570" s="2"/>
      <c r="C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row>
    <row r="571" spans="2:60" x14ac:dyDescent="0.25">
      <c r="B571" s="2"/>
      <c r="C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row>
    <row r="572" spans="2:60" x14ac:dyDescent="0.25">
      <c r="B572" s="2"/>
      <c r="C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row>
    <row r="573" spans="2:60" x14ac:dyDescent="0.25">
      <c r="B573" s="2"/>
      <c r="C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row>
    <row r="574" spans="2:60" x14ac:dyDescent="0.25">
      <c r="B574" s="2"/>
      <c r="C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row>
    <row r="575" spans="2:60" x14ac:dyDescent="0.25">
      <c r="B575" s="2"/>
      <c r="C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row>
    <row r="576" spans="2:60" x14ac:dyDescent="0.25">
      <c r="B576" s="2"/>
      <c r="C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row>
    <row r="577" spans="2:60" x14ac:dyDescent="0.25">
      <c r="B577" s="2"/>
      <c r="C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row>
    <row r="578" spans="2:60" x14ac:dyDescent="0.25">
      <c r="B578" s="2"/>
      <c r="C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row>
    <row r="579" spans="2:60" x14ac:dyDescent="0.25">
      <c r="B579" s="2"/>
      <c r="C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row>
    <row r="580" spans="2:60" x14ac:dyDescent="0.25">
      <c r="B580" s="2"/>
      <c r="C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row>
    <row r="581" spans="2:60" x14ac:dyDescent="0.25">
      <c r="B581" s="2"/>
      <c r="C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row>
    <row r="582" spans="2:60" x14ac:dyDescent="0.25">
      <c r="B582" s="2"/>
      <c r="C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row>
    <row r="583" spans="2:60" x14ac:dyDescent="0.25">
      <c r="B583" s="2"/>
      <c r="C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row>
    <row r="584" spans="2:60" x14ac:dyDescent="0.25">
      <c r="B584" s="2"/>
      <c r="C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row>
    <row r="585" spans="2:60" x14ac:dyDescent="0.25">
      <c r="B585" s="2"/>
      <c r="C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row>
    <row r="586" spans="2:60" x14ac:dyDescent="0.25">
      <c r="B586" s="2"/>
      <c r="C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row>
    <row r="587" spans="2:60" x14ac:dyDescent="0.25">
      <c r="B587" s="2"/>
      <c r="C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row>
    <row r="588" spans="2:60" x14ac:dyDescent="0.25">
      <c r="B588" s="2"/>
      <c r="C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row>
    <row r="589" spans="2:60" x14ac:dyDescent="0.25">
      <c r="B589" s="2"/>
      <c r="C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row>
    <row r="590" spans="2:60" x14ac:dyDescent="0.25">
      <c r="B590" s="2"/>
      <c r="C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row>
    <row r="591" spans="2:60" x14ac:dyDescent="0.25">
      <c r="B591" s="2"/>
      <c r="C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row>
    <row r="592" spans="2:60" x14ac:dyDescent="0.25">
      <c r="B592" s="2"/>
      <c r="C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row>
    <row r="593" spans="2:60" x14ac:dyDescent="0.25">
      <c r="B593" s="2"/>
      <c r="C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row>
    <row r="594" spans="2:60" x14ac:dyDescent="0.25">
      <c r="B594" s="2"/>
      <c r="C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row>
    <row r="595" spans="2:60" x14ac:dyDescent="0.25">
      <c r="B595" s="2"/>
      <c r="C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row>
    <row r="596" spans="2:60" x14ac:dyDescent="0.25">
      <c r="B596" s="2"/>
      <c r="C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row>
    <row r="597" spans="2:60" x14ac:dyDescent="0.25">
      <c r="B597" s="2"/>
      <c r="C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row>
    <row r="598" spans="2:60" x14ac:dyDescent="0.25">
      <c r="B598" s="2"/>
      <c r="C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row>
    <row r="599" spans="2:60" x14ac:dyDescent="0.25">
      <c r="B599" s="2"/>
      <c r="C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row>
    <row r="600" spans="2:60" x14ac:dyDescent="0.25">
      <c r="B600" s="2"/>
      <c r="C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row>
    <row r="601" spans="2:60" x14ac:dyDescent="0.25">
      <c r="B601" s="2"/>
      <c r="C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row>
    <row r="602" spans="2:60" x14ac:dyDescent="0.25">
      <c r="B602" s="2"/>
      <c r="C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row>
    <row r="603" spans="2:60" x14ac:dyDescent="0.25">
      <c r="B603" s="2"/>
      <c r="C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row>
    <row r="604" spans="2:60" x14ac:dyDescent="0.25">
      <c r="B604" s="2"/>
      <c r="C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row>
    <row r="605" spans="2:60" x14ac:dyDescent="0.25">
      <c r="B605" s="2"/>
      <c r="C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row>
    <row r="606" spans="2:60" x14ac:dyDescent="0.25">
      <c r="B606" s="2"/>
      <c r="C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row>
    <row r="607" spans="2:60" x14ac:dyDescent="0.25">
      <c r="B607" s="2"/>
      <c r="C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row>
    <row r="608" spans="2:60" x14ac:dyDescent="0.25">
      <c r="B608" s="2"/>
      <c r="C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row>
    <row r="609" spans="2:60" x14ac:dyDescent="0.25">
      <c r="B609" s="2"/>
      <c r="C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row>
    <row r="610" spans="2:60" x14ac:dyDescent="0.25">
      <c r="B610" s="2"/>
      <c r="C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row>
    <row r="611" spans="2:60" x14ac:dyDescent="0.25">
      <c r="B611" s="2"/>
      <c r="C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row>
    <row r="612" spans="2:60" x14ac:dyDescent="0.25">
      <c r="B612" s="2"/>
      <c r="C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row>
    <row r="613" spans="2:60" x14ac:dyDescent="0.25">
      <c r="B613" s="2"/>
      <c r="C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row>
    <row r="614" spans="2:60" x14ac:dyDescent="0.25">
      <c r="B614" s="2"/>
      <c r="C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row>
    <row r="615" spans="2:60" x14ac:dyDescent="0.25">
      <c r="B615" s="2"/>
      <c r="C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row>
    <row r="616" spans="2:60" x14ac:dyDescent="0.25">
      <c r="B616" s="2"/>
      <c r="C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row>
    <row r="617" spans="2:60" x14ac:dyDescent="0.25">
      <c r="B617" s="2"/>
      <c r="C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row>
    <row r="618" spans="2:60" x14ac:dyDescent="0.25">
      <c r="B618" s="2"/>
      <c r="C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row>
    <row r="619" spans="2:60" x14ac:dyDescent="0.25">
      <c r="B619" s="2"/>
      <c r="C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row>
    <row r="620" spans="2:60" x14ac:dyDescent="0.25">
      <c r="B620" s="2"/>
      <c r="C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row>
    <row r="621" spans="2:60" x14ac:dyDescent="0.25">
      <c r="B621" s="2"/>
      <c r="C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row>
    <row r="622" spans="2:60" x14ac:dyDescent="0.25">
      <c r="B622" s="2"/>
      <c r="C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row>
    <row r="623" spans="2:60" x14ac:dyDescent="0.25">
      <c r="B623" s="2"/>
      <c r="C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row>
    <row r="624" spans="2:60" x14ac:dyDescent="0.25">
      <c r="B624" s="2"/>
      <c r="C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row>
    <row r="625" spans="2:60" x14ac:dyDescent="0.25">
      <c r="B625" s="2"/>
      <c r="C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row>
    <row r="626" spans="2:60" x14ac:dyDescent="0.25">
      <c r="B626" s="2"/>
      <c r="C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row>
    <row r="627" spans="2:60" x14ac:dyDescent="0.25">
      <c r="B627" s="2"/>
      <c r="C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row>
    <row r="628" spans="2:60" x14ac:dyDescent="0.25">
      <c r="B628" s="2"/>
      <c r="C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row>
    <row r="629" spans="2:60" x14ac:dyDescent="0.25">
      <c r="B629" s="2"/>
      <c r="C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row>
    <row r="630" spans="2:60" x14ac:dyDescent="0.25">
      <c r="B630" s="2"/>
      <c r="C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row>
    <row r="631" spans="2:60" x14ac:dyDescent="0.25">
      <c r="B631" s="2"/>
      <c r="C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row>
    <row r="632" spans="2:60" x14ac:dyDescent="0.25">
      <c r="B632" s="2"/>
      <c r="C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row>
    <row r="633" spans="2:60" x14ac:dyDescent="0.25">
      <c r="B633" s="2"/>
      <c r="C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row>
    <row r="634" spans="2:60" x14ac:dyDescent="0.25">
      <c r="B634" s="2"/>
      <c r="C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row>
    <row r="635" spans="2:60" x14ac:dyDescent="0.25">
      <c r="B635" s="2"/>
      <c r="C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row>
    <row r="636" spans="2:60" x14ac:dyDescent="0.25">
      <c r="B636" s="2"/>
      <c r="C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row>
    <row r="637" spans="2:60" x14ac:dyDescent="0.25">
      <c r="B637" s="2"/>
      <c r="C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row>
    <row r="638" spans="2:60" x14ac:dyDescent="0.25">
      <c r="B638" s="2"/>
      <c r="C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row>
    <row r="639" spans="2:60" x14ac:dyDescent="0.25">
      <c r="B639" s="2"/>
      <c r="C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row>
    <row r="640" spans="2:60" x14ac:dyDescent="0.25">
      <c r="B640" s="2"/>
      <c r="C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row>
    <row r="641" spans="2:60" x14ac:dyDescent="0.25">
      <c r="B641" s="2"/>
      <c r="C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row>
    <row r="642" spans="2:60" x14ac:dyDescent="0.25">
      <c r="B642" s="2"/>
      <c r="C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row>
    <row r="643" spans="2:60" x14ac:dyDescent="0.25">
      <c r="B643" s="2"/>
      <c r="C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row>
    <row r="644" spans="2:60" x14ac:dyDescent="0.25">
      <c r="B644" s="2"/>
      <c r="C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row>
    <row r="645" spans="2:60" x14ac:dyDescent="0.25">
      <c r="B645" s="2"/>
      <c r="C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row>
    <row r="646" spans="2:60" x14ac:dyDescent="0.25">
      <c r="B646" s="2"/>
      <c r="C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row>
    <row r="647" spans="2:60" x14ac:dyDescent="0.25">
      <c r="B647" s="2"/>
      <c r="C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row>
    <row r="648" spans="2:60" x14ac:dyDescent="0.25">
      <c r="B648" s="2"/>
      <c r="C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row>
    <row r="649" spans="2:60" x14ac:dyDescent="0.25">
      <c r="B649" s="2"/>
      <c r="C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row>
    <row r="650" spans="2:60" x14ac:dyDescent="0.25">
      <c r="B650" s="2"/>
      <c r="C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row>
    <row r="651" spans="2:60" x14ac:dyDescent="0.25">
      <c r="B651" s="2"/>
      <c r="C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row>
    <row r="652" spans="2:60" x14ac:dyDescent="0.25">
      <c r="B652" s="2"/>
      <c r="C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row>
    <row r="653" spans="2:60" x14ac:dyDescent="0.25">
      <c r="B653" s="2"/>
      <c r="C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row>
    <row r="654" spans="2:60" x14ac:dyDescent="0.25">
      <c r="B654" s="2"/>
      <c r="C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row>
    <row r="655" spans="2:60" x14ac:dyDescent="0.25">
      <c r="B655" s="2"/>
      <c r="C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row>
    <row r="656" spans="2:60" x14ac:dyDescent="0.25">
      <c r="B656" s="2"/>
      <c r="C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row>
    <row r="657" spans="2:60" x14ac:dyDescent="0.25">
      <c r="B657" s="2"/>
      <c r="C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row>
    <row r="658" spans="2:60" x14ac:dyDescent="0.25">
      <c r="B658" s="2"/>
      <c r="C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row>
    <row r="659" spans="2:60" x14ac:dyDescent="0.25">
      <c r="B659" s="2"/>
      <c r="C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row>
    <row r="660" spans="2:60" x14ac:dyDescent="0.25">
      <c r="B660" s="2"/>
      <c r="C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row>
    <row r="661" spans="2:60" x14ac:dyDescent="0.25">
      <c r="B661" s="2"/>
      <c r="C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row>
    <row r="662" spans="2:60" x14ac:dyDescent="0.25">
      <c r="B662" s="2"/>
      <c r="C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row>
    <row r="663" spans="2:60" x14ac:dyDescent="0.25">
      <c r="B663" s="2"/>
      <c r="C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row>
    <row r="664" spans="2:60" x14ac:dyDescent="0.25">
      <c r="B664" s="2"/>
      <c r="C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row>
    <row r="665" spans="2:60" x14ac:dyDescent="0.25">
      <c r="B665" s="2"/>
      <c r="C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row>
    <row r="666" spans="2:60" x14ac:dyDescent="0.25">
      <c r="B666" s="2"/>
      <c r="C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row>
    <row r="667" spans="2:60" x14ac:dyDescent="0.25">
      <c r="B667" s="2"/>
      <c r="C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row>
    <row r="668" spans="2:60" x14ac:dyDescent="0.25">
      <c r="B668" s="2"/>
      <c r="C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row>
    <row r="669" spans="2:60" x14ac:dyDescent="0.25">
      <c r="B669" s="2"/>
      <c r="C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row>
    <row r="670" spans="2:60" x14ac:dyDescent="0.25">
      <c r="B670" s="2"/>
      <c r="C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row>
    <row r="671" spans="2:60" x14ac:dyDescent="0.25">
      <c r="B671" s="2"/>
      <c r="C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row>
    <row r="672" spans="2:60" x14ac:dyDescent="0.25">
      <c r="B672" s="2"/>
      <c r="C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row>
    <row r="673" spans="2:60" x14ac:dyDescent="0.25">
      <c r="B673" s="2"/>
      <c r="C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row>
    <row r="674" spans="2:60" x14ac:dyDescent="0.25">
      <c r="B674" s="2"/>
      <c r="C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row>
    <row r="675" spans="2:60" x14ac:dyDescent="0.25">
      <c r="B675" s="2"/>
      <c r="C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row>
    <row r="676" spans="2:60" x14ac:dyDescent="0.25">
      <c r="B676" s="2"/>
      <c r="C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row>
    <row r="677" spans="2:60" x14ac:dyDescent="0.25">
      <c r="B677" s="2"/>
      <c r="C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row>
    <row r="678" spans="2:60" x14ac:dyDescent="0.25">
      <c r="B678" s="2"/>
      <c r="C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row>
    <row r="679" spans="2:60" x14ac:dyDescent="0.25">
      <c r="B679" s="2"/>
      <c r="C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row>
    <row r="680" spans="2:60" x14ac:dyDescent="0.25">
      <c r="B680" s="2"/>
      <c r="C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row>
    <row r="681" spans="2:60" x14ac:dyDescent="0.25">
      <c r="B681" s="2"/>
      <c r="C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row>
    <row r="682" spans="2:60" x14ac:dyDescent="0.25">
      <c r="B682" s="2"/>
      <c r="C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row>
    <row r="683" spans="2:60" x14ac:dyDescent="0.25">
      <c r="B683" s="2"/>
      <c r="C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row>
    <row r="684" spans="2:60" x14ac:dyDescent="0.25">
      <c r="B684" s="2"/>
      <c r="C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row>
    <row r="685" spans="2:60" x14ac:dyDescent="0.25">
      <c r="B685" s="2"/>
      <c r="C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row>
    <row r="686" spans="2:60" x14ac:dyDescent="0.25">
      <c r="B686" s="2"/>
      <c r="C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row>
    <row r="687" spans="2:60" x14ac:dyDescent="0.25">
      <c r="B687" s="2"/>
      <c r="C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row>
    <row r="688" spans="2:60" x14ac:dyDescent="0.25">
      <c r="B688" s="2"/>
      <c r="C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row>
    <row r="689" spans="2:60" x14ac:dyDescent="0.25">
      <c r="B689" s="2"/>
      <c r="C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row>
    <row r="690" spans="2:60" x14ac:dyDescent="0.25">
      <c r="B690" s="2"/>
      <c r="C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row>
    <row r="691" spans="2:60" x14ac:dyDescent="0.25">
      <c r="B691" s="2"/>
      <c r="C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row>
    <row r="692" spans="2:60" x14ac:dyDescent="0.25">
      <c r="B692" s="2"/>
      <c r="C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row>
    <row r="693" spans="2:60" x14ac:dyDescent="0.25">
      <c r="B693" s="2"/>
      <c r="C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row>
    <row r="694" spans="2:60" x14ac:dyDescent="0.25">
      <c r="B694" s="2"/>
      <c r="C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row>
    <row r="695" spans="2:60" x14ac:dyDescent="0.25">
      <c r="B695" s="2"/>
      <c r="C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row>
    <row r="696" spans="2:60" x14ac:dyDescent="0.25">
      <c r="B696" s="2"/>
      <c r="C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row>
    <row r="697" spans="2:60" x14ac:dyDescent="0.25">
      <c r="B697" s="2"/>
      <c r="C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row>
    <row r="698" spans="2:60" x14ac:dyDescent="0.25">
      <c r="B698" s="2"/>
      <c r="C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row>
    <row r="699" spans="2:60" x14ac:dyDescent="0.25">
      <c r="B699" s="2"/>
      <c r="C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row>
    <row r="700" spans="2:60" x14ac:dyDescent="0.25">
      <c r="B700" s="2"/>
      <c r="C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row>
    <row r="701" spans="2:60" x14ac:dyDescent="0.25">
      <c r="B701" s="2"/>
      <c r="C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row>
    <row r="702" spans="2:60" x14ac:dyDescent="0.25">
      <c r="B702" s="2"/>
      <c r="C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row>
    <row r="703" spans="2:60" x14ac:dyDescent="0.25">
      <c r="B703" s="2"/>
      <c r="C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row>
    <row r="704" spans="2:60" x14ac:dyDescent="0.25">
      <c r="B704" s="2"/>
      <c r="C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row>
    <row r="705" spans="2:60" x14ac:dyDescent="0.25">
      <c r="B705" s="2"/>
      <c r="C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row>
    <row r="706" spans="2:60" x14ac:dyDescent="0.25">
      <c r="B706" s="2"/>
      <c r="C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row>
    <row r="707" spans="2:60" x14ac:dyDescent="0.25">
      <c r="B707" s="2"/>
      <c r="C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row>
    <row r="708" spans="2:60" x14ac:dyDescent="0.25">
      <c r="B708" s="2"/>
      <c r="C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row>
    <row r="709" spans="2:60" x14ac:dyDescent="0.25">
      <c r="B709" s="2"/>
      <c r="C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row>
    <row r="710" spans="2:60" x14ac:dyDescent="0.25">
      <c r="B710" s="2"/>
      <c r="C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row>
    <row r="711" spans="2:60" x14ac:dyDescent="0.25">
      <c r="B711" s="2"/>
      <c r="C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row>
    <row r="712" spans="2:60" x14ac:dyDescent="0.25">
      <c r="B712" s="2"/>
      <c r="C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row>
    <row r="713" spans="2:60" x14ac:dyDescent="0.25">
      <c r="B713" s="2"/>
      <c r="C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row>
    <row r="714" spans="2:60" x14ac:dyDescent="0.25">
      <c r="B714" s="2"/>
      <c r="C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row>
    <row r="715" spans="2:60" x14ac:dyDescent="0.25">
      <c r="B715" s="2"/>
      <c r="C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row>
    <row r="716" spans="2:60" x14ac:dyDescent="0.25">
      <c r="B716" s="2"/>
      <c r="C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row>
    <row r="717" spans="2:60" x14ac:dyDescent="0.25">
      <c r="B717" s="2"/>
      <c r="C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row>
    <row r="718" spans="2:60" x14ac:dyDescent="0.25">
      <c r="B718" s="2"/>
      <c r="C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row>
    <row r="719" spans="2:60" x14ac:dyDescent="0.25">
      <c r="B719" s="2"/>
      <c r="C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row>
    <row r="720" spans="2:60" x14ac:dyDescent="0.25">
      <c r="B720" s="2"/>
      <c r="C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row>
    <row r="721" spans="2:60" x14ac:dyDescent="0.25">
      <c r="B721" s="2"/>
      <c r="C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row>
    <row r="722" spans="2:60" x14ac:dyDescent="0.25">
      <c r="B722" s="2"/>
      <c r="C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row>
    <row r="723" spans="2:60" x14ac:dyDescent="0.25">
      <c r="B723" s="2"/>
      <c r="C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row>
    <row r="724" spans="2:60" x14ac:dyDescent="0.25">
      <c r="B724" s="2"/>
      <c r="C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row>
    <row r="725" spans="2:60" x14ac:dyDescent="0.25">
      <c r="B725" s="2"/>
      <c r="C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row>
    <row r="726" spans="2:60" x14ac:dyDescent="0.25">
      <c r="B726" s="2"/>
      <c r="C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row>
    <row r="727" spans="2:60" x14ac:dyDescent="0.25">
      <c r="B727" s="2"/>
      <c r="C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row>
    <row r="728" spans="2:60" x14ac:dyDescent="0.25">
      <c r="B728" s="2"/>
      <c r="C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row>
    <row r="729" spans="2:60" x14ac:dyDescent="0.25">
      <c r="B729" s="2"/>
      <c r="C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row>
    <row r="730" spans="2:60" x14ac:dyDescent="0.25">
      <c r="B730" s="2"/>
      <c r="C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row>
    <row r="731" spans="2:60" x14ac:dyDescent="0.25">
      <c r="B731" s="2"/>
      <c r="C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row>
    <row r="732" spans="2:60" x14ac:dyDescent="0.25">
      <c r="B732" s="2"/>
      <c r="C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row>
    <row r="733" spans="2:60" x14ac:dyDescent="0.25">
      <c r="B733" s="2"/>
      <c r="C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row>
    <row r="734" spans="2:60" x14ac:dyDescent="0.25">
      <c r="B734" s="2"/>
      <c r="C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row>
    <row r="735" spans="2:60" x14ac:dyDescent="0.25">
      <c r="B735" s="2"/>
      <c r="C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row>
    <row r="736" spans="2:60" x14ac:dyDescent="0.25">
      <c r="B736" s="2"/>
      <c r="C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row>
    <row r="737" spans="2:60" x14ac:dyDescent="0.25">
      <c r="B737" s="2"/>
      <c r="C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row>
    <row r="738" spans="2:60" x14ac:dyDescent="0.25">
      <c r="B738" s="2"/>
      <c r="C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row>
    <row r="739" spans="2:60" x14ac:dyDescent="0.25">
      <c r="B739" s="2"/>
      <c r="C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row>
    <row r="740" spans="2:60" x14ac:dyDescent="0.25">
      <c r="B740" s="2"/>
      <c r="C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row>
    <row r="741" spans="2:60" x14ac:dyDescent="0.25">
      <c r="B741" s="2"/>
      <c r="C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row>
    <row r="742" spans="2:60" x14ac:dyDescent="0.25">
      <c r="B742" s="2"/>
      <c r="C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row>
    <row r="743" spans="2:60" x14ac:dyDescent="0.25">
      <c r="B743" s="2"/>
      <c r="C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row>
    <row r="744" spans="2:60" x14ac:dyDescent="0.25">
      <c r="B744" s="2"/>
      <c r="C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row>
    <row r="745" spans="2:60" x14ac:dyDescent="0.25">
      <c r="B745" s="2"/>
      <c r="C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row>
    <row r="746" spans="2:60" x14ac:dyDescent="0.25">
      <c r="B746" s="2"/>
      <c r="C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row>
    <row r="747" spans="2:60" x14ac:dyDescent="0.25">
      <c r="B747" s="2"/>
      <c r="C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row>
    <row r="748" spans="2:60" x14ac:dyDescent="0.25">
      <c r="B748" s="2"/>
      <c r="C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row>
    <row r="749" spans="2:60" x14ac:dyDescent="0.25">
      <c r="B749" s="2"/>
      <c r="C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row>
    <row r="750" spans="2:60" x14ac:dyDescent="0.25">
      <c r="B750" s="2"/>
      <c r="C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row>
    <row r="751" spans="2:60" x14ac:dyDescent="0.25">
      <c r="B751" s="2"/>
      <c r="C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row>
    <row r="752" spans="2:60" x14ac:dyDescent="0.25">
      <c r="B752" s="2"/>
      <c r="C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row>
    <row r="753" spans="2:60" x14ac:dyDescent="0.25">
      <c r="B753" s="2"/>
      <c r="C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row>
    <row r="754" spans="2:60" x14ac:dyDescent="0.25">
      <c r="B754" s="2"/>
      <c r="C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row>
    <row r="755" spans="2:60" x14ac:dyDescent="0.25">
      <c r="B755" s="2"/>
      <c r="C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row>
    <row r="756" spans="2:60" x14ac:dyDescent="0.25">
      <c r="B756" s="2"/>
      <c r="C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row>
    <row r="757" spans="2:60" x14ac:dyDescent="0.25">
      <c r="B757" s="2"/>
      <c r="C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row>
    <row r="758" spans="2:60" x14ac:dyDescent="0.25">
      <c r="B758" s="2"/>
      <c r="C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row>
    <row r="759" spans="2:60" x14ac:dyDescent="0.25">
      <c r="B759" s="2"/>
      <c r="C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row>
    <row r="760" spans="2:60" x14ac:dyDescent="0.25">
      <c r="B760" s="2"/>
      <c r="C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row>
    <row r="761" spans="2:60" x14ac:dyDescent="0.25">
      <c r="B761" s="2"/>
      <c r="C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row>
    <row r="762" spans="2:60" x14ac:dyDescent="0.25">
      <c r="B762" s="2"/>
      <c r="C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row>
    <row r="763" spans="2:60" x14ac:dyDescent="0.25">
      <c r="B763" s="2"/>
      <c r="C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row>
    <row r="764" spans="2:60" x14ac:dyDescent="0.25">
      <c r="B764" s="2"/>
      <c r="C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row>
    <row r="765" spans="2:60" x14ac:dyDescent="0.25">
      <c r="B765" s="2"/>
      <c r="C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row>
    <row r="766" spans="2:60" x14ac:dyDescent="0.25">
      <c r="B766" s="2"/>
      <c r="C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row>
    <row r="767" spans="2:60" x14ac:dyDescent="0.25">
      <c r="B767" s="2"/>
      <c r="C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row>
    <row r="768" spans="2:60" x14ac:dyDescent="0.25">
      <c r="B768" s="2"/>
      <c r="C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row>
    <row r="769" spans="2:60" x14ac:dyDescent="0.25">
      <c r="B769" s="2"/>
      <c r="C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row>
    <row r="770" spans="2:60" x14ac:dyDescent="0.25">
      <c r="B770" s="2"/>
      <c r="C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row>
    <row r="771" spans="2:60" x14ac:dyDescent="0.25">
      <c r="B771" s="2"/>
      <c r="C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row>
    <row r="772" spans="2:60" x14ac:dyDescent="0.25">
      <c r="B772" s="2"/>
      <c r="C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row>
    <row r="773" spans="2:60" x14ac:dyDescent="0.25">
      <c r="B773" s="2"/>
      <c r="C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row>
    <row r="774" spans="2:60" x14ac:dyDescent="0.25">
      <c r="B774" s="2"/>
      <c r="C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row>
    <row r="775" spans="2:60" x14ac:dyDescent="0.25">
      <c r="B775" s="2"/>
      <c r="C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row>
    <row r="776" spans="2:60" x14ac:dyDescent="0.25">
      <c r="B776" s="2"/>
      <c r="C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row>
    <row r="777" spans="2:60" x14ac:dyDescent="0.25">
      <c r="B777" s="2"/>
      <c r="C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row>
    <row r="778" spans="2:60" x14ac:dyDescent="0.25">
      <c r="B778" s="2"/>
      <c r="C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row>
    <row r="779" spans="2:60" x14ac:dyDescent="0.25">
      <c r="B779" s="2"/>
      <c r="C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row>
    <row r="780" spans="2:60" x14ac:dyDescent="0.25">
      <c r="B780" s="2"/>
      <c r="C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row>
    <row r="781" spans="2:60" x14ac:dyDescent="0.25">
      <c r="B781" s="2"/>
      <c r="C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row>
    <row r="782" spans="2:60" x14ac:dyDescent="0.25">
      <c r="B782" s="2"/>
      <c r="C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row>
    <row r="783" spans="2:60" x14ac:dyDescent="0.25">
      <c r="B783" s="2"/>
      <c r="C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row>
    <row r="784" spans="2:60" x14ac:dyDescent="0.25">
      <c r="B784" s="2"/>
      <c r="C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row>
    <row r="785" spans="2:60" x14ac:dyDescent="0.25">
      <c r="B785" s="2"/>
      <c r="C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row>
    <row r="786" spans="2:60" x14ac:dyDescent="0.25">
      <c r="B786" s="2"/>
      <c r="C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row>
    <row r="787" spans="2:60" x14ac:dyDescent="0.25">
      <c r="B787" s="2"/>
      <c r="C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row>
    <row r="788" spans="2:60" x14ac:dyDescent="0.25">
      <c r="B788" s="2"/>
      <c r="C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row>
    <row r="789" spans="2:60" x14ac:dyDescent="0.25">
      <c r="B789" s="2"/>
      <c r="C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row>
    <row r="790" spans="2:60" x14ac:dyDescent="0.25">
      <c r="B790" s="2"/>
      <c r="C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row>
    <row r="791" spans="2:60" x14ac:dyDescent="0.25">
      <c r="B791" s="2"/>
      <c r="C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row>
    <row r="792" spans="2:60" x14ac:dyDescent="0.25">
      <c r="B792" s="2"/>
      <c r="C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row>
    <row r="793" spans="2:60" x14ac:dyDescent="0.25">
      <c r="B793" s="2"/>
      <c r="C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row>
    <row r="794" spans="2:60" x14ac:dyDescent="0.25">
      <c r="B794" s="2"/>
      <c r="C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row>
    <row r="795" spans="2:60" x14ac:dyDescent="0.25">
      <c r="B795" s="2"/>
      <c r="C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row>
    <row r="796" spans="2:60" x14ac:dyDescent="0.25">
      <c r="B796" s="2"/>
      <c r="C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row>
    <row r="797" spans="2:60" x14ac:dyDescent="0.25">
      <c r="B797" s="2"/>
      <c r="C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row>
    <row r="798" spans="2:60" x14ac:dyDescent="0.25">
      <c r="B798" s="2"/>
      <c r="C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row>
    <row r="799" spans="2:60" x14ac:dyDescent="0.25">
      <c r="B799" s="2"/>
      <c r="C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row>
    <row r="800" spans="2:60" x14ac:dyDescent="0.25">
      <c r="B800" s="2"/>
      <c r="C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row>
    <row r="801" spans="2:60" x14ac:dyDescent="0.25">
      <c r="B801" s="2"/>
      <c r="C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row>
    <row r="802" spans="2:60" x14ac:dyDescent="0.25">
      <c r="B802" s="2"/>
      <c r="C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row>
    <row r="803" spans="2:60" x14ac:dyDescent="0.25">
      <c r="B803" s="2"/>
      <c r="C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row>
    <row r="804" spans="2:60" x14ac:dyDescent="0.25">
      <c r="B804" s="2"/>
      <c r="C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row>
    <row r="805" spans="2:60" x14ac:dyDescent="0.25">
      <c r="B805" s="2"/>
      <c r="C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row>
    <row r="806" spans="2:60" x14ac:dyDescent="0.25">
      <c r="B806" s="2"/>
      <c r="C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row>
    <row r="807" spans="2:60" x14ac:dyDescent="0.25">
      <c r="B807" s="2"/>
      <c r="C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row>
    <row r="808" spans="2:60" x14ac:dyDescent="0.25">
      <c r="B808" s="2"/>
      <c r="C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row>
    <row r="809" spans="2:60" x14ac:dyDescent="0.25">
      <c r="B809" s="2"/>
      <c r="C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row>
    <row r="810" spans="2:60" x14ac:dyDescent="0.25">
      <c r="B810" s="2"/>
      <c r="C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row>
    <row r="811" spans="2:60" x14ac:dyDescent="0.25">
      <c r="B811" s="2"/>
      <c r="C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row>
    <row r="812" spans="2:60" x14ac:dyDescent="0.25">
      <c r="B812" s="2"/>
      <c r="C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row>
    <row r="813" spans="2:60" x14ac:dyDescent="0.25">
      <c r="B813" s="2"/>
      <c r="C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row>
    <row r="814" spans="2:60" x14ac:dyDescent="0.25">
      <c r="B814" s="2"/>
      <c r="C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row>
    <row r="815" spans="2:60" x14ac:dyDescent="0.25">
      <c r="B815" s="2"/>
      <c r="C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row>
    <row r="816" spans="2:60" x14ac:dyDescent="0.25">
      <c r="B816" s="2"/>
      <c r="C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row>
    <row r="817" spans="2:60" x14ac:dyDescent="0.25">
      <c r="B817" s="2"/>
      <c r="C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row>
    <row r="818" spans="2:60" x14ac:dyDescent="0.25">
      <c r="B818" s="2"/>
      <c r="C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row>
    <row r="819" spans="2:60" x14ac:dyDescent="0.25">
      <c r="B819" s="2"/>
      <c r="C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row>
    <row r="820" spans="2:60" x14ac:dyDescent="0.25">
      <c r="B820" s="2"/>
      <c r="C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row>
    <row r="821" spans="2:60" x14ac:dyDescent="0.25">
      <c r="B821" s="2"/>
      <c r="C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row>
    <row r="822" spans="2:60" x14ac:dyDescent="0.25">
      <c r="B822" s="2"/>
      <c r="C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row>
    <row r="823" spans="2:60" x14ac:dyDescent="0.25">
      <c r="B823" s="2"/>
      <c r="C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row>
    <row r="824" spans="2:60" x14ac:dyDescent="0.25">
      <c r="B824" s="2"/>
      <c r="C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row>
    <row r="825" spans="2:60" x14ac:dyDescent="0.25">
      <c r="B825" s="2"/>
      <c r="C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row>
    <row r="826" spans="2:60" x14ac:dyDescent="0.25">
      <c r="B826" s="2"/>
      <c r="C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row>
    <row r="827" spans="2:60" x14ac:dyDescent="0.25">
      <c r="B827" s="2"/>
      <c r="C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row>
    <row r="828" spans="2:60" x14ac:dyDescent="0.25">
      <c r="B828" s="2"/>
      <c r="C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row>
    <row r="829" spans="2:60" x14ac:dyDescent="0.25">
      <c r="B829" s="2"/>
      <c r="C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row>
    <row r="830" spans="2:60" x14ac:dyDescent="0.25">
      <c r="B830" s="2"/>
      <c r="C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row>
    <row r="831" spans="2:60" x14ac:dyDescent="0.25">
      <c r="B831" s="2"/>
      <c r="C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row>
    <row r="832" spans="2:60" x14ac:dyDescent="0.25">
      <c r="B832" s="2"/>
      <c r="C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row>
    <row r="833" spans="2:60" x14ac:dyDescent="0.25">
      <c r="B833" s="2"/>
      <c r="C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row>
    <row r="834" spans="2:60" x14ac:dyDescent="0.25">
      <c r="B834" s="2"/>
      <c r="C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row>
    <row r="835" spans="2:60" x14ac:dyDescent="0.25">
      <c r="B835" s="2"/>
      <c r="C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row>
    <row r="836" spans="2:60" x14ac:dyDescent="0.25">
      <c r="B836" s="2"/>
      <c r="C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row>
    <row r="837" spans="2:60" x14ac:dyDescent="0.25">
      <c r="B837" s="2"/>
      <c r="C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row>
    <row r="838" spans="2:60" x14ac:dyDescent="0.25">
      <c r="B838" s="2"/>
      <c r="C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row>
    <row r="839" spans="2:60" x14ac:dyDescent="0.25">
      <c r="B839" s="2"/>
      <c r="C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row>
    <row r="840" spans="2:60" x14ac:dyDescent="0.25">
      <c r="B840" s="2"/>
      <c r="C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row>
    <row r="841" spans="2:60" x14ac:dyDescent="0.25">
      <c r="B841" s="2"/>
      <c r="C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row>
    <row r="842" spans="2:60" x14ac:dyDescent="0.25">
      <c r="B842" s="2"/>
      <c r="C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row>
    <row r="843" spans="2:60" x14ac:dyDescent="0.25">
      <c r="B843" s="2"/>
      <c r="C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row>
    <row r="844" spans="2:60" x14ac:dyDescent="0.25">
      <c r="B844" s="2"/>
      <c r="C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row>
    <row r="845" spans="2:60" x14ac:dyDescent="0.25">
      <c r="B845" s="2"/>
      <c r="C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row>
    <row r="846" spans="2:60" x14ac:dyDescent="0.25">
      <c r="B846" s="2"/>
      <c r="C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row>
    <row r="847" spans="2:60" x14ac:dyDescent="0.25">
      <c r="B847" s="2"/>
      <c r="C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row>
    <row r="848" spans="2:60" x14ac:dyDescent="0.25">
      <c r="B848" s="2"/>
      <c r="C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row>
    <row r="849" spans="2:60" x14ac:dyDescent="0.25">
      <c r="B849" s="2"/>
      <c r="C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row>
    <row r="850" spans="2:60" x14ac:dyDescent="0.25">
      <c r="B850" s="2"/>
      <c r="C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row>
    <row r="851" spans="2:60" x14ac:dyDescent="0.25">
      <c r="B851" s="2"/>
      <c r="C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row>
    <row r="852" spans="2:60" x14ac:dyDescent="0.25">
      <c r="B852" s="2"/>
      <c r="C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row>
    <row r="853" spans="2:60" x14ac:dyDescent="0.25">
      <c r="B853" s="2"/>
      <c r="C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row>
    <row r="854" spans="2:60" x14ac:dyDescent="0.25">
      <c r="B854" s="2"/>
      <c r="C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row>
    <row r="855" spans="2:60" x14ac:dyDescent="0.25">
      <c r="B855" s="2"/>
      <c r="C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row>
    <row r="856" spans="2:60" x14ac:dyDescent="0.25">
      <c r="B856" s="2"/>
      <c r="C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row>
    <row r="857" spans="2:60" x14ac:dyDescent="0.25">
      <c r="B857" s="2"/>
      <c r="C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row>
    <row r="858" spans="2:60" x14ac:dyDescent="0.25">
      <c r="B858" s="2"/>
      <c r="C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row>
    <row r="859" spans="2:60" x14ac:dyDescent="0.25">
      <c r="B859" s="2"/>
      <c r="C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row>
    <row r="860" spans="2:60" x14ac:dyDescent="0.25">
      <c r="B860" s="2"/>
      <c r="C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row>
    <row r="861" spans="2:60" x14ac:dyDescent="0.25">
      <c r="B861" s="2"/>
      <c r="C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row>
    <row r="862" spans="2:60" x14ac:dyDescent="0.25">
      <c r="B862" s="2"/>
      <c r="C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row>
    <row r="863" spans="2:60" x14ac:dyDescent="0.25">
      <c r="B863" s="2"/>
      <c r="C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row>
    <row r="864" spans="2:60" x14ac:dyDescent="0.25">
      <c r="B864" s="2"/>
      <c r="C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row>
    <row r="865" spans="2:60" x14ac:dyDescent="0.25">
      <c r="B865" s="2"/>
      <c r="C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row>
    <row r="866" spans="2:60" x14ac:dyDescent="0.25">
      <c r="B866" s="2"/>
      <c r="C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row>
    <row r="867" spans="2:60" x14ac:dyDescent="0.25">
      <c r="B867" s="2"/>
      <c r="C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row>
    <row r="868" spans="2:60" x14ac:dyDescent="0.25">
      <c r="B868" s="2"/>
      <c r="C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row>
    <row r="869" spans="2:60" x14ac:dyDescent="0.25">
      <c r="B869" s="2"/>
      <c r="C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row>
    <row r="870" spans="2:60" x14ac:dyDescent="0.25">
      <c r="B870" s="2"/>
      <c r="C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row>
    <row r="871" spans="2:60" x14ac:dyDescent="0.25">
      <c r="B871" s="2"/>
      <c r="C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row>
    <row r="872" spans="2:60" x14ac:dyDescent="0.25">
      <c r="B872" s="2"/>
      <c r="C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row>
    <row r="873" spans="2:60" x14ac:dyDescent="0.25">
      <c r="B873" s="2"/>
      <c r="C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row>
    <row r="874" spans="2:60" x14ac:dyDescent="0.25">
      <c r="B874" s="2"/>
      <c r="C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row>
    <row r="875" spans="2:60" x14ac:dyDescent="0.25">
      <c r="B875" s="2"/>
      <c r="C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row>
    <row r="876" spans="2:60" x14ac:dyDescent="0.25">
      <c r="B876" s="2"/>
      <c r="C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row>
    <row r="877" spans="2:60" x14ac:dyDescent="0.25">
      <c r="B877" s="2"/>
      <c r="C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row>
    <row r="878" spans="2:60" x14ac:dyDescent="0.25">
      <c r="B878" s="2"/>
      <c r="C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row>
    <row r="879" spans="2:60" x14ac:dyDescent="0.25">
      <c r="B879" s="2"/>
      <c r="C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row>
    <row r="880" spans="2:60" x14ac:dyDescent="0.25">
      <c r="B880" s="2"/>
      <c r="C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row>
    <row r="881" spans="2:60" x14ac:dyDescent="0.25">
      <c r="B881" s="2"/>
      <c r="C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row>
    <row r="882" spans="2:60" x14ac:dyDescent="0.25">
      <c r="B882" s="2"/>
      <c r="C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row>
    <row r="883" spans="2:60" x14ac:dyDescent="0.25">
      <c r="B883" s="2"/>
      <c r="C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row>
    <row r="884" spans="2:60" x14ac:dyDescent="0.25">
      <c r="B884" s="2"/>
      <c r="C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row>
    <row r="885" spans="2:60" x14ac:dyDescent="0.25">
      <c r="B885" s="2"/>
      <c r="C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row>
    <row r="886" spans="2:60" x14ac:dyDescent="0.25">
      <c r="B886" s="2"/>
      <c r="C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row>
    <row r="887" spans="2:60" x14ac:dyDescent="0.25">
      <c r="B887" s="2"/>
      <c r="C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row>
    <row r="888" spans="2:60" x14ac:dyDescent="0.25">
      <c r="B888" s="2"/>
      <c r="C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row>
    <row r="889" spans="2:60" x14ac:dyDescent="0.25">
      <c r="B889" s="2"/>
      <c r="C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row>
    <row r="890" spans="2:60" x14ac:dyDescent="0.25">
      <c r="B890" s="2"/>
      <c r="C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row>
    <row r="891" spans="2:60" x14ac:dyDescent="0.25">
      <c r="B891" s="2"/>
      <c r="C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row>
    <row r="892" spans="2:60" x14ac:dyDescent="0.25">
      <c r="B892" s="2"/>
      <c r="C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row>
    <row r="893" spans="2:60" x14ac:dyDescent="0.25">
      <c r="B893" s="2"/>
      <c r="C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row>
    <row r="894" spans="2:60" x14ac:dyDescent="0.25">
      <c r="B894" s="2"/>
      <c r="C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row>
    <row r="895" spans="2:60" x14ac:dyDescent="0.25">
      <c r="B895" s="2"/>
      <c r="C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row>
    <row r="896" spans="2:60" x14ac:dyDescent="0.25">
      <c r="B896" s="2"/>
      <c r="C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row>
    <row r="897" spans="2:60" x14ac:dyDescent="0.25">
      <c r="B897" s="2"/>
      <c r="C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row>
    <row r="898" spans="2:60" x14ac:dyDescent="0.25">
      <c r="B898" s="2"/>
      <c r="C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row>
    <row r="899" spans="2:60" x14ac:dyDescent="0.25">
      <c r="B899" s="2"/>
      <c r="C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row>
    <row r="900" spans="2:60" x14ac:dyDescent="0.25">
      <c r="B900" s="2"/>
      <c r="C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row>
    <row r="901" spans="2:60" x14ac:dyDescent="0.25">
      <c r="B901" s="2"/>
      <c r="C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row>
    <row r="902" spans="2:60" x14ac:dyDescent="0.25">
      <c r="B902" s="2"/>
      <c r="C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row>
    <row r="903" spans="2:60" x14ac:dyDescent="0.25">
      <c r="B903" s="2"/>
      <c r="C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row>
    <row r="904" spans="2:60" x14ac:dyDescent="0.25">
      <c r="B904" s="2"/>
      <c r="C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row>
    <row r="905" spans="2:60" x14ac:dyDescent="0.25">
      <c r="B905" s="2"/>
      <c r="C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row>
    <row r="906" spans="2:60" x14ac:dyDescent="0.25">
      <c r="B906" s="2"/>
      <c r="C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row>
    <row r="907" spans="2:60" x14ac:dyDescent="0.25">
      <c r="B907" s="2"/>
      <c r="C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row>
    <row r="908" spans="2:60" x14ac:dyDescent="0.25">
      <c r="B908" s="2"/>
      <c r="C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row>
    <row r="909" spans="2:60" x14ac:dyDescent="0.25">
      <c r="B909" s="2"/>
      <c r="C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row>
    <row r="910" spans="2:60" x14ac:dyDescent="0.25">
      <c r="B910" s="2"/>
      <c r="C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row>
    <row r="911" spans="2:60" x14ac:dyDescent="0.25">
      <c r="B911" s="2"/>
      <c r="C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row>
    <row r="912" spans="2:60" x14ac:dyDescent="0.25">
      <c r="B912" s="2"/>
      <c r="C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row>
    <row r="913" spans="2:60" x14ac:dyDescent="0.25">
      <c r="B913" s="2"/>
      <c r="C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row>
    <row r="914" spans="2:60" x14ac:dyDescent="0.25">
      <c r="B914" s="2"/>
      <c r="C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row>
    <row r="915" spans="2:60" x14ac:dyDescent="0.25">
      <c r="B915" s="2"/>
      <c r="C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row>
    <row r="916" spans="2:60" x14ac:dyDescent="0.25">
      <c r="B916" s="2"/>
      <c r="C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row>
    <row r="917" spans="2:60" x14ac:dyDescent="0.25">
      <c r="B917" s="2"/>
      <c r="C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row>
    <row r="918" spans="2:60" x14ac:dyDescent="0.25">
      <c r="B918" s="2"/>
      <c r="C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row>
    <row r="919" spans="2:60" x14ac:dyDescent="0.25">
      <c r="B919" s="2"/>
      <c r="C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row>
    <row r="920" spans="2:60" x14ac:dyDescent="0.25">
      <c r="B920" s="2"/>
      <c r="C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row>
    <row r="921" spans="2:60" x14ac:dyDescent="0.25">
      <c r="B921" s="2"/>
      <c r="C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row>
    <row r="922" spans="2:60" x14ac:dyDescent="0.25">
      <c r="B922" s="2"/>
      <c r="C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row>
    <row r="923" spans="2:60" x14ac:dyDescent="0.25">
      <c r="B923" s="2"/>
      <c r="C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row>
    <row r="924" spans="2:60" x14ac:dyDescent="0.25">
      <c r="B924" s="2"/>
      <c r="C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row>
    <row r="925" spans="2:60" x14ac:dyDescent="0.25">
      <c r="B925" s="2"/>
      <c r="C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row>
    <row r="926" spans="2:60" x14ac:dyDescent="0.25">
      <c r="B926" s="2"/>
      <c r="C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row>
    <row r="927" spans="2:60" x14ac:dyDescent="0.25">
      <c r="B927" s="2"/>
      <c r="C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row>
    <row r="928" spans="2:60" x14ac:dyDescent="0.25">
      <c r="B928" s="2"/>
      <c r="C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row>
    <row r="929" spans="2:60" x14ac:dyDescent="0.25">
      <c r="B929" s="2"/>
      <c r="C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row>
    <row r="930" spans="2:60" x14ac:dyDescent="0.25">
      <c r="B930" s="2"/>
      <c r="C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row>
    <row r="931" spans="2:60" x14ac:dyDescent="0.25">
      <c r="B931" s="2"/>
      <c r="C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row>
    <row r="932" spans="2:60" x14ac:dyDescent="0.25">
      <c r="B932" s="2"/>
      <c r="C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row>
    <row r="933" spans="2:60" x14ac:dyDescent="0.25">
      <c r="B933" s="2"/>
      <c r="C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row>
    <row r="934" spans="2:60" x14ac:dyDescent="0.25">
      <c r="B934" s="2"/>
      <c r="C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row>
    <row r="935" spans="2:60" x14ac:dyDescent="0.25">
      <c r="B935" s="2"/>
      <c r="C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row>
    <row r="936" spans="2:60" x14ac:dyDescent="0.25">
      <c r="B936" s="2"/>
      <c r="C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row>
    <row r="937" spans="2:60" x14ac:dyDescent="0.25">
      <c r="B937" s="2"/>
      <c r="C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row>
    <row r="938" spans="2:60" x14ac:dyDescent="0.25">
      <c r="B938" s="2"/>
      <c r="C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row>
    <row r="939" spans="2:60" x14ac:dyDescent="0.25">
      <c r="B939" s="2"/>
      <c r="C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row>
    <row r="940" spans="2:60" x14ac:dyDescent="0.25">
      <c r="B940" s="2"/>
      <c r="C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row>
    <row r="941" spans="2:60" x14ac:dyDescent="0.25">
      <c r="B941" s="2"/>
      <c r="C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row>
    <row r="942" spans="2:60" x14ac:dyDescent="0.25">
      <c r="B942" s="2"/>
      <c r="C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row>
    <row r="943" spans="2:60" x14ac:dyDescent="0.25">
      <c r="B943" s="2"/>
      <c r="C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row>
    <row r="944" spans="2:60" x14ac:dyDescent="0.25">
      <c r="B944" s="2"/>
      <c r="C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row>
    <row r="945" spans="2:60" x14ac:dyDescent="0.25">
      <c r="B945" s="2"/>
      <c r="C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row>
    <row r="946" spans="2:60" x14ac:dyDescent="0.25">
      <c r="B946" s="2"/>
      <c r="C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row>
    <row r="947" spans="2:60" x14ac:dyDescent="0.25">
      <c r="B947" s="2"/>
      <c r="C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row>
    <row r="948" spans="2:60" x14ac:dyDescent="0.25">
      <c r="B948" s="2"/>
      <c r="C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row>
    <row r="949" spans="2:60" x14ac:dyDescent="0.25">
      <c r="B949" s="2"/>
      <c r="C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row>
    <row r="950" spans="2:60" x14ac:dyDescent="0.25">
      <c r="B950" s="2"/>
      <c r="C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row>
    <row r="951" spans="2:60" x14ac:dyDescent="0.25">
      <c r="B951" s="2"/>
      <c r="C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row>
    <row r="952" spans="2:60" x14ac:dyDescent="0.25">
      <c r="B952" s="2"/>
      <c r="C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row>
    <row r="953" spans="2:60" x14ac:dyDescent="0.25">
      <c r="B953" s="2"/>
      <c r="C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row>
    <row r="954" spans="2:60" x14ac:dyDescent="0.25">
      <c r="B954" s="2"/>
      <c r="C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row>
    <row r="955" spans="2:60" x14ac:dyDescent="0.25">
      <c r="B955" s="2"/>
      <c r="C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row>
    <row r="956" spans="2:60" x14ac:dyDescent="0.25">
      <c r="B956" s="2"/>
      <c r="C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row>
    <row r="957" spans="2:60" x14ac:dyDescent="0.25">
      <c r="B957" s="2"/>
      <c r="C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row>
    <row r="958" spans="2:60" x14ac:dyDescent="0.25">
      <c r="B958" s="2"/>
      <c r="C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row>
    <row r="959" spans="2:60" x14ac:dyDescent="0.25">
      <c r="B959" s="2"/>
      <c r="C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row>
    <row r="960" spans="2:60" x14ac:dyDescent="0.25">
      <c r="B960" s="2"/>
      <c r="C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row>
    <row r="961" spans="2:60" x14ac:dyDescent="0.25">
      <c r="B961" s="2"/>
      <c r="C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row>
    <row r="962" spans="2:60" x14ac:dyDescent="0.25">
      <c r="B962" s="2"/>
      <c r="C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row>
    <row r="963" spans="2:60" x14ac:dyDescent="0.25">
      <c r="B963" s="2"/>
      <c r="C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row>
    <row r="964" spans="2:60" x14ac:dyDescent="0.25">
      <c r="B964" s="2"/>
      <c r="C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row>
    <row r="965" spans="2:60" x14ac:dyDescent="0.25">
      <c r="B965" s="2"/>
      <c r="C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row>
    <row r="966" spans="2:60" x14ac:dyDescent="0.25">
      <c r="B966" s="2"/>
      <c r="C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row>
    <row r="967" spans="2:60" x14ac:dyDescent="0.25">
      <c r="B967" s="2"/>
      <c r="C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row>
    <row r="968" spans="2:60" x14ac:dyDescent="0.25">
      <c r="B968" s="2"/>
      <c r="C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row>
    <row r="969" spans="2:60" x14ac:dyDescent="0.25">
      <c r="B969" s="2"/>
      <c r="C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row>
    <row r="970" spans="2:60" x14ac:dyDescent="0.25">
      <c r="B970" s="2"/>
      <c r="C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row>
    <row r="971" spans="2:60" x14ac:dyDescent="0.25">
      <c r="B971" s="2"/>
      <c r="C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row>
    <row r="972" spans="2:60" x14ac:dyDescent="0.25">
      <c r="B972" s="2"/>
      <c r="C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row>
    <row r="973" spans="2:60" x14ac:dyDescent="0.25">
      <c r="B973" s="2"/>
      <c r="C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row>
    <row r="974" spans="2:60" x14ac:dyDescent="0.25">
      <c r="B974" s="2"/>
      <c r="C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row>
    <row r="975" spans="2:60" x14ac:dyDescent="0.25">
      <c r="B975" s="2"/>
      <c r="C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row>
    <row r="976" spans="2:60" x14ac:dyDescent="0.25">
      <c r="B976" s="2"/>
      <c r="C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row>
    <row r="977" spans="2:60" x14ac:dyDescent="0.25">
      <c r="B977" s="2"/>
      <c r="C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row>
    <row r="978" spans="2:60" x14ac:dyDescent="0.25">
      <c r="B978" s="2"/>
      <c r="C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row>
    <row r="979" spans="2:60" x14ac:dyDescent="0.25">
      <c r="B979" s="2"/>
      <c r="C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row>
    <row r="980" spans="2:60" x14ac:dyDescent="0.25">
      <c r="B980" s="2"/>
      <c r="C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row>
    <row r="981" spans="2:60" x14ac:dyDescent="0.25">
      <c r="B981" s="2"/>
      <c r="C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row>
    <row r="982" spans="2:60" x14ac:dyDescent="0.25">
      <c r="B982" s="2"/>
      <c r="C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row>
    <row r="983" spans="2:60" x14ac:dyDescent="0.25">
      <c r="B983" s="2"/>
      <c r="C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row>
    <row r="984" spans="2:60" x14ac:dyDescent="0.25">
      <c r="B984" s="2"/>
      <c r="C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row>
    <row r="985" spans="2:60" x14ac:dyDescent="0.25">
      <c r="B985" s="2"/>
      <c r="C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row>
    <row r="986" spans="2:60" x14ac:dyDescent="0.25">
      <c r="B986" s="2"/>
      <c r="C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row>
    <row r="987" spans="2:60" x14ac:dyDescent="0.25">
      <c r="B987" s="2"/>
      <c r="C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row>
    <row r="988" spans="2:60" x14ac:dyDescent="0.25">
      <c r="B988" s="2"/>
      <c r="C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row>
    <row r="989" spans="2:60" x14ac:dyDescent="0.25">
      <c r="B989" s="2"/>
      <c r="C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row>
    <row r="990" spans="2:60" x14ac:dyDescent="0.25">
      <c r="B990" s="2"/>
      <c r="C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row>
    <row r="991" spans="2:60" x14ac:dyDescent="0.25">
      <c r="B991" s="2"/>
      <c r="C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row>
    <row r="992" spans="2:60" x14ac:dyDescent="0.25">
      <c r="B992" s="2"/>
      <c r="C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row>
    <row r="993" spans="2:60" x14ac:dyDescent="0.25">
      <c r="B993" s="2"/>
      <c r="C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row>
    <row r="994" spans="2:60" x14ac:dyDescent="0.25">
      <c r="B994" s="2"/>
      <c r="C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row>
    <row r="995" spans="2:60" x14ac:dyDescent="0.25">
      <c r="B995" s="2"/>
      <c r="C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row>
    <row r="996" spans="2:60" x14ac:dyDescent="0.25">
      <c r="B996" s="2"/>
      <c r="C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row>
    <row r="997" spans="2:60" x14ac:dyDescent="0.25">
      <c r="B997" s="2"/>
      <c r="C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row>
    <row r="998" spans="2:60" x14ac:dyDescent="0.25">
      <c r="B998" s="2"/>
      <c r="C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row>
    <row r="999" spans="2:60" x14ac:dyDescent="0.25">
      <c r="B999" s="2"/>
      <c r="C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row>
    <row r="1000" spans="2:60" x14ac:dyDescent="0.25">
      <c r="B1000" s="2"/>
      <c r="C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row>
    <row r="1001" spans="2:60" x14ac:dyDescent="0.25">
      <c r="B1001" s="2"/>
      <c r="C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row>
    <row r="1002" spans="2:60" x14ac:dyDescent="0.25">
      <c r="B1002" s="2"/>
      <c r="C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row>
    <row r="1003" spans="2:60" x14ac:dyDescent="0.25">
      <c r="B1003" s="2"/>
      <c r="C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row>
    <row r="1004" spans="2:60" x14ac:dyDescent="0.25">
      <c r="B1004" s="2"/>
      <c r="C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row>
    <row r="1005" spans="2:60" x14ac:dyDescent="0.25">
      <c r="B1005" s="2"/>
      <c r="C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row>
    <row r="1006" spans="2:60" x14ac:dyDescent="0.25">
      <c r="B1006" s="2"/>
      <c r="C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row>
    <row r="1007" spans="2:60" x14ac:dyDescent="0.25">
      <c r="B1007" s="2"/>
      <c r="C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row>
    <row r="1008" spans="2:60" x14ac:dyDescent="0.25">
      <c r="B1008" s="2"/>
      <c r="C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row>
    <row r="1009" spans="2:60" x14ac:dyDescent="0.25">
      <c r="B1009" s="2"/>
      <c r="C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row>
    <row r="1010" spans="2:60" x14ac:dyDescent="0.25">
      <c r="B1010" s="2"/>
      <c r="C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row>
    <row r="1011" spans="2:60" x14ac:dyDescent="0.25">
      <c r="B1011" s="2"/>
      <c r="C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row>
    <row r="1012" spans="2:60" x14ac:dyDescent="0.25">
      <c r="B1012" s="2"/>
      <c r="C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row>
    <row r="1013" spans="2:60" x14ac:dyDescent="0.25">
      <c r="B1013" s="2"/>
      <c r="C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row>
    <row r="1014" spans="2:60" x14ac:dyDescent="0.25">
      <c r="B1014" s="2"/>
      <c r="C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row>
    <row r="1015" spans="2:60" x14ac:dyDescent="0.25">
      <c r="B1015" s="2"/>
      <c r="C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row>
    <row r="1016" spans="2:60" x14ac:dyDescent="0.25">
      <c r="B1016" s="2"/>
      <c r="C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row>
    <row r="1017" spans="2:60" x14ac:dyDescent="0.25">
      <c r="B1017" s="2"/>
      <c r="C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row>
    <row r="1018" spans="2:60" x14ac:dyDescent="0.25">
      <c r="B1018" s="2"/>
      <c r="C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row>
    <row r="1019" spans="2:60" x14ac:dyDescent="0.25">
      <c r="B1019" s="2"/>
      <c r="C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row>
    <row r="1020" spans="2:60" x14ac:dyDescent="0.25">
      <c r="B1020" s="2"/>
      <c r="C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row>
    <row r="1021" spans="2:60" x14ac:dyDescent="0.25">
      <c r="B1021" s="2"/>
      <c r="C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row>
    <row r="1022" spans="2:60" x14ac:dyDescent="0.25">
      <c r="B1022" s="2"/>
      <c r="C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row>
    <row r="1023" spans="2:60" x14ac:dyDescent="0.25">
      <c r="B1023" s="2"/>
      <c r="C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row>
    <row r="1024" spans="2:60" x14ac:dyDescent="0.25">
      <c r="B1024" s="2"/>
      <c r="C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row>
    <row r="1025" spans="2:60" x14ac:dyDescent="0.25">
      <c r="B1025" s="2"/>
      <c r="C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row>
    <row r="1026" spans="2:60" x14ac:dyDescent="0.25">
      <c r="B1026" s="2"/>
      <c r="C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row>
    <row r="1027" spans="2:60" x14ac:dyDescent="0.25">
      <c r="B1027" s="2"/>
      <c r="C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row>
    <row r="1028" spans="2:60" x14ac:dyDescent="0.25">
      <c r="B1028" s="2"/>
      <c r="C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row>
    <row r="1029" spans="2:60" x14ac:dyDescent="0.25">
      <c r="B1029" s="2"/>
      <c r="C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row>
    <row r="1030" spans="2:60" x14ac:dyDescent="0.25">
      <c r="B1030" s="2"/>
      <c r="C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row>
    <row r="1031" spans="2:60" x14ac:dyDescent="0.25">
      <c r="B1031" s="2"/>
      <c r="C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row>
    <row r="1032" spans="2:60" x14ac:dyDescent="0.25">
      <c r="B1032" s="2"/>
      <c r="C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row>
    <row r="1033" spans="2:60" x14ac:dyDescent="0.25">
      <c r="B1033" s="2"/>
      <c r="C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row>
    <row r="1034" spans="2:60" x14ac:dyDescent="0.25">
      <c r="B1034" s="2"/>
      <c r="C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row>
    <row r="1035" spans="2:60" x14ac:dyDescent="0.25">
      <c r="B1035" s="2"/>
      <c r="C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row>
    <row r="1036" spans="2:60" x14ac:dyDescent="0.25">
      <c r="B1036" s="2"/>
      <c r="C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row>
    <row r="1037" spans="2:60" x14ac:dyDescent="0.25">
      <c r="B1037" s="2"/>
      <c r="C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row>
    <row r="1038" spans="2:60" x14ac:dyDescent="0.25">
      <c r="B1038" s="2"/>
      <c r="C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row>
    <row r="1039" spans="2:60" x14ac:dyDescent="0.25">
      <c r="B1039" s="2"/>
      <c r="C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row>
    <row r="1040" spans="2:60" x14ac:dyDescent="0.25">
      <c r="B1040" s="2"/>
      <c r="C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row>
    <row r="1041" spans="2:60" x14ac:dyDescent="0.25">
      <c r="B1041" s="2"/>
      <c r="C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row>
    <row r="1042" spans="2:60" x14ac:dyDescent="0.25">
      <c r="B1042" s="2"/>
      <c r="C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row>
    <row r="1043" spans="2:60" x14ac:dyDescent="0.25">
      <c r="B1043" s="2"/>
      <c r="C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row>
    <row r="1044" spans="2:60" x14ac:dyDescent="0.25">
      <c r="B1044" s="2"/>
      <c r="C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row>
    <row r="1045" spans="2:60" x14ac:dyDescent="0.25">
      <c r="B1045" s="2"/>
      <c r="C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row>
    <row r="1046" spans="2:60" x14ac:dyDescent="0.25">
      <c r="B1046" s="2"/>
      <c r="C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row>
    <row r="1047" spans="2:60" x14ac:dyDescent="0.25">
      <c r="B1047" s="2"/>
      <c r="C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row>
    <row r="1048" spans="2:60" x14ac:dyDescent="0.25">
      <c r="B1048" s="2"/>
      <c r="C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row>
    <row r="1049" spans="2:60" x14ac:dyDescent="0.25">
      <c r="B1049" s="2"/>
      <c r="C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row>
    <row r="1050" spans="2:60" x14ac:dyDescent="0.25">
      <c r="B1050" s="2"/>
      <c r="C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row>
    <row r="1051" spans="2:60" x14ac:dyDescent="0.25">
      <c r="B1051" s="2"/>
      <c r="C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row>
    <row r="1052" spans="2:60" x14ac:dyDescent="0.25">
      <c r="B1052" s="2"/>
      <c r="C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row>
    <row r="1053" spans="2:60" x14ac:dyDescent="0.25">
      <c r="B1053" s="2"/>
      <c r="C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row>
    <row r="1054" spans="2:60" x14ac:dyDescent="0.25">
      <c r="B1054" s="2"/>
      <c r="C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row>
    <row r="1055" spans="2:60" x14ac:dyDescent="0.25">
      <c r="B1055" s="2"/>
      <c r="C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row>
    <row r="1056" spans="2:60" x14ac:dyDescent="0.25">
      <c r="B1056" s="2"/>
      <c r="C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row>
    <row r="1057" spans="2:60" x14ac:dyDescent="0.25">
      <c r="B1057" s="2"/>
      <c r="C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row>
    <row r="1058" spans="2:60" x14ac:dyDescent="0.25">
      <c r="B1058" s="2"/>
      <c r="C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row>
    <row r="1059" spans="2:60" x14ac:dyDescent="0.25">
      <c r="B1059" s="2"/>
      <c r="C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row>
    <row r="1060" spans="2:60" x14ac:dyDescent="0.25">
      <c r="B1060" s="2"/>
      <c r="C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row>
    <row r="1061" spans="2:60" x14ac:dyDescent="0.25">
      <c r="B1061" s="2"/>
      <c r="C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row>
    <row r="1062" spans="2:60" x14ac:dyDescent="0.25">
      <c r="B1062" s="2"/>
      <c r="C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row>
    <row r="1063" spans="2:60" x14ac:dyDescent="0.25">
      <c r="B1063" s="2"/>
      <c r="C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row>
    <row r="1064" spans="2:60" x14ac:dyDescent="0.25">
      <c r="B1064" s="2"/>
      <c r="C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row>
    <row r="1065" spans="2:60" x14ac:dyDescent="0.25">
      <c r="B1065" s="2"/>
      <c r="C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row>
    <row r="1066" spans="2:60" x14ac:dyDescent="0.25">
      <c r="B1066" s="2"/>
      <c r="C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row>
    <row r="1067" spans="2:60" x14ac:dyDescent="0.25">
      <c r="B1067" s="2"/>
      <c r="C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row>
    <row r="1068" spans="2:60" x14ac:dyDescent="0.25">
      <c r="B1068" s="2"/>
      <c r="C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row>
    <row r="1069" spans="2:60" x14ac:dyDescent="0.25">
      <c r="B1069" s="2"/>
      <c r="C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row>
    <row r="1070" spans="2:60" x14ac:dyDescent="0.25">
      <c r="B1070" s="2"/>
      <c r="C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row>
    <row r="1071" spans="2:60" x14ac:dyDescent="0.25">
      <c r="B1071" s="2"/>
      <c r="C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row>
    <row r="1072" spans="2:60" x14ac:dyDescent="0.25">
      <c r="B1072" s="2"/>
      <c r="C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row>
    <row r="1073" spans="2:60" x14ac:dyDescent="0.25">
      <c r="B1073" s="2"/>
      <c r="C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row>
    <row r="1074" spans="2:60" x14ac:dyDescent="0.25">
      <c r="B1074" s="2"/>
      <c r="C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row>
    <row r="1075" spans="2:60" x14ac:dyDescent="0.25">
      <c r="B1075" s="2"/>
      <c r="C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row>
    <row r="1076" spans="2:60" x14ac:dyDescent="0.25">
      <c r="B1076" s="2"/>
      <c r="C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row>
    <row r="1077" spans="2:60" x14ac:dyDescent="0.25">
      <c r="B1077" s="2"/>
      <c r="C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row>
    <row r="1078" spans="2:60" x14ac:dyDescent="0.25">
      <c r="B1078" s="2"/>
      <c r="C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row>
    <row r="1079" spans="2:60" x14ac:dyDescent="0.25">
      <c r="B1079" s="2"/>
      <c r="C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c r="BH1079" s="2"/>
    </row>
    <row r="1080" spans="2:60" x14ac:dyDescent="0.25">
      <c r="B1080" s="2"/>
      <c r="C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row>
    <row r="1081" spans="2:60" x14ac:dyDescent="0.25">
      <c r="B1081" s="2"/>
      <c r="C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c r="BH1081" s="2"/>
    </row>
    <row r="1082" spans="2:60" x14ac:dyDescent="0.25">
      <c r="B1082" s="2"/>
      <c r="C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row>
    <row r="1083" spans="2:60" x14ac:dyDescent="0.25">
      <c r="B1083" s="2"/>
      <c r="C1083" s="2"/>
      <c r="N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c r="BH1083" s="2"/>
    </row>
    <row r="1084" spans="2:60" x14ac:dyDescent="0.25">
      <c r="B1084" s="2"/>
      <c r="C1084" s="2"/>
      <c r="N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c r="BH1084" s="2"/>
    </row>
    <row r="1085" spans="2:60" x14ac:dyDescent="0.25">
      <c r="B1085" s="2"/>
      <c r="C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c r="BH1085" s="2"/>
    </row>
    <row r="1086" spans="2:60" x14ac:dyDescent="0.25">
      <c r="B1086" s="2"/>
      <c r="C1086" s="2"/>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c r="BH1086" s="2"/>
    </row>
    <row r="1087" spans="2:60" x14ac:dyDescent="0.25">
      <c r="B1087" s="2"/>
      <c r="C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c r="BG1087" s="2"/>
      <c r="BH1087" s="2"/>
    </row>
    <row r="1088" spans="2:60" x14ac:dyDescent="0.25">
      <c r="B1088" s="2"/>
      <c r="C1088" s="2"/>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c r="BG1088" s="2"/>
      <c r="BH1088" s="2"/>
    </row>
    <row r="1089" spans="2:60" x14ac:dyDescent="0.25">
      <c r="B1089" s="2"/>
      <c r="C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c r="BG1089" s="2"/>
      <c r="BH1089" s="2"/>
    </row>
    <row r="1090" spans="2:60" x14ac:dyDescent="0.25">
      <c r="B1090" s="2"/>
      <c r="C1090" s="2"/>
      <c r="N1090" s="2"/>
      <c r="O1090" s="2"/>
      <c r="P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row>
    <row r="1091" spans="2:60" x14ac:dyDescent="0.25">
      <c r="B1091" s="2"/>
      <c r="C1091" s="2"/>
      <c r="N1091" s="2"/>
      <c r="O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row>
    <row r="1092" spans="2:60" x14ac:dyDescent="0.25">
      <c r="B1092" s="2"/>
      <c r="C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c r="BG1092" s="2"/>
      <c r="BH1092" s="2"/>
    </row>
    <row r="1093" spans="2:60" x14ac:dyDescent="0.25">
      <c r="B1093" s="2"/>
      <c r="C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row>
    <row r="1094" spans="2:60" x14ac:dyDescent="0.25">
      <c r="B1094" s="2"/>
      <c r="C1094" s="2"/>
      <c r="N1094" s="2"/>
      <c r="O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row>
    <row r="1095" spans="2:60" x14ac:dyDescent="0.25">
      <c r="B1095" s="2"/>
      <c r="C1095" s="2"/>
      <c r="N1095" s="2"/>
      <c r="O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row>
    <row r="1096" spans="2:60" x14ac:dyDescent="0.25">
      <c r="B1096" s="2"/>
      <c r="C1096" s="2"/>
      <c r="N1096" s="2"/>
      <c r="O1096" s="2"/>
      <c r="P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row>
    <row r="1097" spans="2:60" x14ac:dyDescent="0.25">
      <c r="B1097" s="2"/>
      <c r="C1097" s="2"/>
      <c r="N1097" s="2"/>
      <c r="O1097" s="2"/>
      <c r="P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c r="BF1097" s="2"/>
      <c r="BG1097" s="2"/>
      <c r="BH1097" s="2"/>
    </row>
    <row r="1098" spans="2:60" x14ac:dyDescent="0.25">
      <c r="B1098" s="2"/>
      <c r="C1098" s="2"/>
      <c r="N1098" s="2"/>
      <c r="O1098" s="2"/>
      <c r="P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c r="BF1098" s="2"/>
      <c r="BG1098" s="2"/>
      <c r="BH1098" s="2"/>
    </row>
    <row r="1099" spans="2:60" x14ac:dyDescent="0.25">
      <c r="B1099" s="2"/>
      <c r="C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row>
    <row r="1100" spans="2:60" x14ac:dyDescent="0.25">
      <c r="B1100" s="2"/>
      <c r="C1100" s="2"/>
      <c r="N1100" s="2"/>
      <c r="O1100" s="2"/>
      <c r="P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c r="BF1100" s="2"/>
      <c r="BG1100" s="2"/>
      <c r="BH1100" s="2"/>
    </row>
  </sheetData>
  <pageMargins left="0.7" right="0.7" top="0.75" bottom="0.75" header="0.3" footer="0.3"/>
  <pageSetup scale="54"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pageSetUpPr fitToPage="1"/>
  </sheetPr>
  <dimension ref="A1:BH1101"/>
  <sheetViews>
    <sheetView workbookViewId="0"/>
  </sheetViews>
  <sheetFormatPr defaultColWidth="9.140625" defaultRowHeight="15" x14ac:dyDescent="0.25"/>
  <cols>
    <col min="1" max="1" width="31.28515625" style="6" bestFit="1" customWidth="1"/>
    <col min="2" max="3" width="10.7109375" style="7" hidden="1" customWidth="1"/>
    <col min="4" max="4" width="10.7109375" style="17" hidden="1" customWidth="1"/>
    <col min="5" max="5" width="10.7109375" style="18" hidden="1" customWidth="1"/>
    <col min="6" max="9" width="10.7109375" style="17" hidden="1" customWidth="1"/>
    <col min="10" max="13" width="10.7109375" style="17" customWidth="1"/>
    <col min="14" max="28" width="10.7109375" style="7" customWidth="1"/>
    <col min="29" max="60" width="9.140625" style="7"/>
    <col min="61" max="16384" width="9.140625" style="2"/>
  </cols>
  <sheetData>
    <row r="1" spans="1:60" x14ac:dyDescent="0.25">
      <c r="A1" s="4" t="str">
        <f>Inputs!A1</f>
        <v>Pfizer</v>
      </c>
      <c r="B1" s="2"/>
      <c r="C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row>
    <row r="2" spans="1:60" x14ac:dyDescent="0.25">
      <c r="A2" s="5" t="s">
        <v>358</v>
      </c>
      <c r="B2" s="2"/>
      <c r="C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row>
    <row r="4" spans="1:60" s="81" customFormat="1" ht="15.75" thickBot="1" x14ac:dyDescent="0.3">
      <c r="A4" s="80" t="str">
        <f>CONCATENATE("Fiscal Years Ending ",Inputs!B7)</f>
        <v>Fiscal Years Ending Dec. 31</v>
      </c>
      <c r="B4" s="81">
        <v>2012</v>
      </c>
      <c r="C4" s="81">
        <v>2013</v>
      </c>
      <c r="D4" s="81">
        <v>2014</v>
      </c>
      <c r="E4" s="81">
        <v>2015</v>
      </c>
      <c r="F4" s="81">
        <v>2016</v>
      </c>
      <c r="G4" s="81">
        <v>2017</v>
      </c>
      <c r="H4" s="81">
        <v>2018</v>
      </c>
      <c r="I4" s="81">
        <v>2019</v>
      </c>
      <c r="J4" s="81">
        <v>2020</v>
      </c>
      <c r="K4" s="81">
        <v>2021</v>
      </c>
      <c r="L4" s="81">
        <v>2022</v>
      </c>
      <c r="M4" s="81" t="s">
        <v>28</v>
      </c>
      <c r="N4" s="81" t="s">
        <v>29</v>
      </c>
      <c r="O4" s="81" t="s">
        <v>30</v>
      </c>
      <c r="P4" s="81" t="s">
        <v>31</v>
      </c>
      <c r="Q4" s="81" t="s">
        <v>32</v>
      </c>
      <c r="R4" s="81" t="s">
        <v>33</v>
      </c>
      <c r="S4" s="81" t="s">
        <v>34</v>
      </c>
      <c r="T4" s="81" t="s">
        <v>35</v>
      </c>
    </row>
    <row r="5" spans="1:60" s="9" customFormat="1" x14ac:dyDescent="0.25">
      <c r="A5" s="228" t="s">
        <v>359</v>
      </c>
      <c r="B5" s="10"/>
      <c r="C5" s="10"/>
      <c r="D5" s="19"/>
      <c r="E5" s="19"/>
      <c r="F5" s="19"/>
      <c r="G5" s="19"/>
      <c r="H5" s="19"/>
      <c r="I5" s="19"/>
      <c r="J5" s="19"/>
      <c r="K5" s="19"/>
      <c r="L5" s="19"/>
      <c r="M5" s="19"/>
    </row>
    <row r="6" spans="1:60" s="9" customFormat="1" x14ac:dyDescent="0.25">
      <c r="A6" s="15" t="s">
        <v>360</v>
      </c>
      <c r="B6" s="10"/>
      <c r="C6" s="10"/>
      <c r="D6" s="19"/>
      <c r="E6" s="19"/>
      <c r="F6" s="19"/>
      <c r="G6" s="19"/>
      <c r="H6" s="19"/>
      <c r="I6" s="19"/>
      <c r="J6" s="19"/>
      <c r="K6" s="19"/>
      <c r="L6" s="19"/>
      <c r="M6" s="19"/>
    </row>
    <row r="7" spans="1:60" s="9" customFormat="1" x14ac:dyDescent="0.25">
      <c r="A7" s="8" t="s">
        <v>361</v>
      </c>
      <c r="B7" s="10"/>
      <c r="C7" s="10"/>
      <c r="D7" s="19"/>
      <c r="E7" s="19"/>
      <c r="F7" s="191">
        <f>IS_Sorted!F5</f>
        <v>52824</v>
      </c>
      <c r="G7" s="191">
        <f>IS_Sorted!G5</f>
        <v>52546</v>
      </c>
      <c r="H7" s="191">
        <f>IS_Sorted!H5</f>
        <v>53647</v>
      </c>
      <c r="I7" s="191">
        <f>IS_Sorted!I5</f>
        <v>51750</v>
      </c>
      <c r="J7" s="191">
        <f>IS_Sorted!J5</f>
        <v>41908</v>
      </c>
      <c r="K7" s="191">
        <f>IS_Sorted!K5</f>
        <v>81288</v>
      </c>
      <c r="L7" s="191">
        <f>IS_Sorted!L5</f>
        <v>100330</v>
      </c>
      <c r="M7" s="190">
        <f>IS_Sorted!M5</f>
        <v>56395</v>
      </c>
      <c r="N7" s="190">
        <f>IS_Sorted!N5</f>
        <v>51560</v>
      </c>
      <c r="O7" s="190">
        <f>IS_Sorted!O5</f>
        <v>47910</v>
      </c>
      <c r="P7" s="190">
        <f>IS_Sorted!P5</f>
        <v>46500</v>
      </c>
      <c r="Q7" s="190">
        <f>IS_Sorted!Q5</f>
        <v>46100</v>
      </c>
      <c r="R7" s="190">
        <f>IS_Sorted!R5</f>
        <v>44380</v>
      </c>
      <c r="S7" s="190">
        <f>IS_Sorted!S5</f>
        <v>42875</v>
      </c>
      <c r="T7" s="190">
        <f>IS_Sorted!T5</f>
        <v>43070</v>
      </c>
    </row>
    <row r="8" spans="1:60" s="9" customFormat="1" x14ac:dyDescent="0.25">
      <c r="A8" s="8" t="s">
        <v>362</v>
      </c>
      <c r="B8" s="10"/>
      <c r="C8" s="10"/>
      <c r="D8" s="19"/>
      <c r="E8" s="19"/>
      <c r="F8" s="354">
        <f>IS_Sorted!F7</f>
        <v>6572</v>
      </c>
      <c r="G8" s="354">
        <f>IS_Sorted!G7</f>
        <v>4971</v>
      </c>
      <c r="H8" s="354">
        <f>IS_Sorted!H7</f>
        <v>4864</v>
      </c>
      <c r="I8" s="354">
        <f>IS_Sorted!I7</f>
        <v>4209</v>
      </c>
      <c r="J8" s="354">
        <f>IS_Sorted!J7</f>
        <v>3915</v>
      </c>
      <c r="K8" s="354">
        <f>IS_Sorted!K7</f>
        <v>25630</v>
      </c>
      <c r="L8" s="354">
        <f>IS_Sorted!L7</f>
        <v>29280</v>
      </c>
      <c r="M8" s="465">
        <f>IS_Sorted!M7</f>
        <v>20294.160698107054</v>
      </c>
      <c r="N8" s="465">
        <f>IS_Sorted!N7</f>
        <v>8040.1972798013967</v>
      </c>
      <c r="O8" s="465">
        <f>IS_Sorted!O7</f>
        <v>7471.0211729108787</v>
      </c>
      <c r="P8" s="465">
        <f>IS_Sorted!P7</f>
        <v>7251.1476631257747</v>
      </c>
      <c r="Q8" s="465">
        <f>IS_Sorted!Q7</f>
        <v>7188.7721993569512</v>
      </c>
      <c r="R8" s="465">
        <f>IS_Sorted!R7</f>
        <v>6920.5577051510081</v>
      </c>
      <c r="S8" s="465">
        <f>IS_Sorted!S7</f>
        <v>6685.8700227208083</v>
      </c>
      <c r="T8" s="465">
        <f>IS_Sorted!T7</f>
        <v>6716.2780613081104</v>
      </c>
    </row>
    <row r="9" spans="1:60" s="9" customFormat="1" x14ac:dyDescent="0.25">
      <c r="A9" s="8" t="s">
        <v>363</v>
      </c>
      <c r="B9" s="10"/>
      <c r="C9" s="10"/>
      <c r="D9" s="19"/>
      <c r="E9" s="19"/>
      <c r="F9" s="354">
        <f>IS_Sorted!F9+IS_Sorted!F10</f>
        <v>5757</v>
      </c>
      <c r="G9" s="354">
        <f>IS_Sorted!G9+IS_Sorted!G10</f>
        <v>6269</v>
      </c>
      <c r="H9" s="354">
        <f>IS_Sorted!H9+IS_Sorted!H10</f>
        <v>6384</v>
      </c>
      <c r="I9" s="354">
        <f>IS_Sorted!I9+IS_Sorted!I10</f>
        <v>6010</v>
      </c>
      <c r="J9" s="354">
        <f>IS_Sorted!J9+IS_Sorted!J10</f>
        <v>4777</v>
      </c>
      <c r="K9" s="354">
        <f>IS_Sorted!K9+IS_Sorted!K10</f>
        <v>5191</v>
      </c>
      <c r="L9" s="354">
        <f>IS_Sorted!L9+IS_Sorted!L10</f>
        <v>5064</v>
      </c>
      <c r="M9" s="465">
        <f>IS_Sorted!M9+IS_Sorted!M10</f>
        <v>5922.6415482765551</v>
      </c>
      <c r="N9" s="465">
        <f>IS_Sorted!N9+IS_Sorted!N10</f>
        <v>5604.0207017119255</v>
      </c>
      <c r="O9" s="465">
        <f>IS_Sorted!O9+IS_Sorted!O10</f>
        <v>5337.9331508971181</v>
      </c>
      <c r="P9" s="465">
        <f>IS_Sorted!P9+IS_Sorted!P10</f>
        <v>5217.2979570451835</v>
      </c>
      <c r="Q9" s="465">
        <f>IS_Sorted!Q9+IS_Sorted!Q10</f>
        <v>4961.1513991983702</v>
      </c>
      <c r="R9" s="465">
        <f>IS_Sorted!R9+IS_Sorted!R10</f>
        <v>4166.5282096041146</v>
      </c>
      <c r="S9" s="465">
        <f>IS_Sorted!S9+IS_Sorted!S10</f>
        <v>3826.1376406014665</v>
      </c>
      <c r="T9" s="465">
        <f>IS_Sorted!T9+IS_Sorted!T10</f>
        <v>3528.3377000931905</v>
      </c>
    </row>
    <row r="10" spans="1:60" s="9" customFormat="1" x14ac:dyDescent="0.25">
      <c r="A10" s="8" t="s">
        <v>364</v>
      </c>
      <c r="B10" s="10"/>
      <c r="C10" s="10"/>
      <c r="D10" s="19"/>
      <c r="E10" s="19"/>
      <c r="F10" s="354">
        <f>IS_Sorted!F11</f>
        <v>14837</v>
      </c>
      <c r="G10" s="354">
        <f>IS_Sorted!G11</f>
        <v>14784</v>
      </c>
      <c r="H10" s="354">
        <f>IS_Sorted!H11</f>
        <v>14455</v>
      </c>
      <c r="I10" s="354">
        <f>IS_Sorted!I11</f>
        <v>14350</v>
      </c>
      <c r="J10" s="354">
        <f>IS_Sorted!J11</f>
        <v>11615</v>
      </c>
      <c r="K10" s="354">
        <f>IS_Sorted!K11</f>
        <v>12703</v>
      </c>
      <c r="L10" s="354">
        <f>IS_Sorted!L11</f>
        <v>13677</v>
      </c>
      <c r="M10" s="465">
        <f>IS_Sorted!M11</f>
        <v>13524.465558437252</v>
      </c>
      <c r="N10" s="465">
        <f>IS_Sorted!N11</f>
        <v>12364.951577143802</v>
      </c>
      <c r="O10" s="465">
        <f>IS_Sorted!O11</f>
        <v>11489.62044338556</v>
      </c>
      <c r="P10" s="465">
        <f>IS_Sorted!P11</f>
        <v>11151.478827331008</v>
      </c>
      <c r="Q10" s="465">
        <f>IS_Sorted!Q11</f>
        <v>11055.552127741064</v>
      </c>
      <c r="R10" s="465">
        <f>IS_Sorted!R11</f>
        <v>10643.067319504304</v>
      </c>
      <c r="S10" s="465">
        <f>IS_Sorted!S11</f>
        <v>10282.143112297139</v>
      </c>
      <c r="T10" s="465">
        <f>IS_Sorted!T11</f>
        <v>10328.907378347236</v>
      </c>
    </row>
    <row r="11" spans="1:60" s="9" customFormat="1" x14ac:dyDescent="0.25">
      <c r="A11" s="6" t="s">
        <v>365</v>
      </c>
      <c r="B11" s="10"/>
      <c r="C11" s="10"/>
      <c r="D11" s="19"/>
      <c r="E11" s="19"/>
      <c r="F11" s="354">
        <f>IS_Sorted!F12</f>
        <v>7872</v>
      </c>
      <c r="G11" s="354">
        <f>IS_Sorted!G12</f>
        <v>7657</v>
      </c>
      <c r="H11" s="354">
        <f>IS_Sorted!H12</f>
        <v>8006</v>
      </c>
      <c r="I11" s="354">
        <f>IS_Sorted!I12</f>
        <v>8650</v>
      </c>
      <c r="J11" s="354">
        <f>IS_Sorted!J12</f>
        <v>9405</v>
      </c>
      <c r="K11" s="354">
        <f>IS_Sorted!K12</f>
        <v>13829</v>
      </c>
      <c r="L11" s="354">
        <f>IS_Sorted!L12</f>
        <v>11428</v>
      </c>
      <c r="M11" s="465">
        <f>IS_Sorted!M12</f>
        <v>9019.7797999019858</v>
      </c>
      <c r="N11" s="465">
        <f>IS_Sorted!N12</f>
        <v>8246.473029221499</v>
      </c>
      <c r="O11" s="465">
        <f>IS_Sorted!O12</f>
        <v>7662.6943915826614</v>
      </c>
      <c r="P11" s="465">
        <f>IS_Sorted!P12</f>
        <v>7437.1799041660142</v>
      </c>
      <c r="Q11" s="465">
        <f>IS_Sorted!Q12</f>
        <v>7373.2041630549093</v>
      </c>
      <c r="R11" s="465">
        <f>IS_Sorted!R12</f>
        <v>7098.1084762771552</v>
      </c>
      <c r="S11" s="465">
        <f>IS_Sorted!S12</f>
        <v>6857.3997503466207</v>
      </c>
      <c r="T11" s="465">
        <f>IS_Sorted!T12</f>
        <v>6888.5879241382845</v>
      </c>
    </row>
    <row r="12" spans="1:60" s="9" customFormat="1" x14ac:dyDescent="0.25">
      <c r="A12" s="6" t="s">
        <v>649</v>
      </c>
      <c r="B12" s="10"/>
      <c r="C12" s="10"/>
      <c r="D12" s="19"/>
      <c r="E12" s="19"/>
      <c r="F12" s="354">
        <f>IS_Sorted!F14</f>
        <v>1724</v>
      </c>
      <c r="G12" s="354">
        <f>IS_Sorted!G14</f>
        <v>487</v>
      </c>
      <c r="H12" s="354">
        <f>IS_Sorted!H14</f>
        <v>1044</v>
      </c>
      <c r="I12" s="354">
        <f>IS_Sorted!I14</f>
        <v>747</v>
      </c>
      <c r="J12" s="354">
        <f>IS_Sorted!J14</f>
        <v>600</v>
      </c>
      <c r="K12" s="354">
        <f>IS_Sorted!K14</f>
        <v>802</v>
      </c>
      <c r="L12" s="354">
        <f>IS_Sorted!L14</f>
        <v>1375</v>
      </c>
      <c r="M12" s="465">
        <f>IS_Sorted!M14</f>
        <v>915.91993695800124</v>
      </c>
      <c r="N12" s="465">
        <f>IS_Sorted!N14</f>
        <v>837.39395247015773</v>
      </c>
      <c r="O12" s="465">
        <f>IS_Sorted!O14</f>
        <v>778.1137366727163</v>
      </c>
      <c r="P12" s="465">
        <f>IS_Sorted!P14</f>
        <v>755.21370810438964</v>
      </c>
      <c r="Q12" s="465">
        <f>IS_Sorted!Q14</f>
        <v>748.71724609919067</v>
      </c>
      <c r="R12" s="465">
        <f>IS_Sorted!R14</f>
        <v>720.78245947683467</v>
      </c>
      <c r="S12" s="465">
        <f>IS_Sorted!S14</f>
        <v>696.3395211822733</v>
      </c>
      <c r="T12" s="465">
        <f>IS_Sorted!T14</f>
        <v>699.50654640980781</v>
      </c>
      <c r="U12" s="6"/>
    </row>
    <row r="13" spans="1:60" s="9" customFormat="1" ht="15" customHeight="1" x14ac:dyDescent="0.25">
      <c r="A13" s="6" t="s">
        <v>366</v>
      </c>
      <c r="B13" s="10"/>
      <c r="C13" s="10"/>
      <c r="D13" s="19"/>
      <c r="E13" s="19"/>
      <c r="F13" s="511" t="s">
        <v>54</v>
      </c>
      <c r="G13" s="511" t="s">
        <v>54</v>
      </c>
      <c r="H13" s="511" t="s">
        <v>54</v>
      </c>
      <c r="I13" s="354">
        <f>BS_Sorted!I26*Inputs!$B$10</f>
        <v>76.953299999999999</v>
      </c>
      <c r="J13" s="354">
        <f>BS_Sorted!J26*Inputs!$B$10</f>
        <v>82.744200000000006</v>
      </c>
      <c r="K13" s="354">
        <f>BS_Sorted!K26*Inputs!$B$10</f>
        <v>169.48830000000001</v>
      </c>
      <c r="L13" s="354">
        <f>BS_Sorted!L26*Inputs!$B$10</f>
        <v>179.21940000000001</v>
      </c>
      <c r="M13" s="465">
        <f>BS_Sorted!M26*Inputs!$B$10</f>
        <v>170.75866864006065</v>
      </c>
      <c r="N13" s="465">
        <f>BS_Sorted!N26*Inputs!$B$10</f>
        <v>163.62468890814546</v>
      </c>
      <c r="O13" s="465">
        <f>BS_Sorted!O26*Inputs!$B$10</f>
        <v>157.67798582406064</v>
      </c>
      <c r="P13" s="465">
        <f>BS_Sorted!P26*Inputs!$B$10</f>
        <v>152.79603850906412</v>
      </c>
      <c r="Q13" s="465">
        <f>BS_Sorted!Q26*Inputs!$B$10</f>
        <v>148.87127624879827</v>
      </c>
      <c r="R13" s="465">
        <f>BS_Sorted!R26*Inputs!$B$10</f>
        <v>145.80930620334595</v>
      </c>
      <c r="S13" s="465" t="s">
        <v>54</v>
      </c>
      <c r="T13" s="465" t="s">
        <v>54</v>
      </c>
    </row>
    <row r="14" spans="1:60" s="9" customFormat="1" x14ac:dyDescent="0.25">
      <c r="A14" s="345" t="s">
        <v>360</v>
      </c>
      <c r="B14" s="346"/>
      <c r="C14" s="346"/>
      <c r="D14" s="347"/>
      <c r="E14" s="347"/>
      <c r="F14" s="348" cm="1">
        <f t="array" ref="F14">SUM(F7,-F8:F12,F13)</f>
        <v>16062</v>
      </c>
      <c r="G14" s="348" cm="1">
        <f t="array" ref="G14">SUM(G7,-G8:G12,G13)</f>
        <v>18378</v>
      </c>
      <c r="H14" s="348" cm="1">
        <f t="array" ref="H14">SUM(H7,-H8:H12,H13)</f>
        <v>18894</v>
      </c>
      <c r="I14" s="348" cm="1">
        <f t="array" ref="I14">SUM(I7,-I8:I12,I13)</f>
        <v>17860.953300000001</v>
      </c>
      <c r="J14" s="348" cm="1">
        <f t="array" ref="J14">SUM(J7,-J8:J12,J13)</f>
        <v>11678.744199999999</v>
      </c>
      <c r="K14" s="348" cm="1">
        <f t="array" ref="K14">SUM(K7,-K8:K12,K13)</f>
        <v>23302.488300000001</v>
      </c>
      <c r="L14" s="348" cm="1">
        <f t="array" ref="L14">SUM(L7,-L8:L12,L13)</f>
        <v>39685.219400000002</v>
      </c>
      <c r="M14" s="454" cm="1">
        <f t="array" ref="M14">SUM(M7,-M8:M12,M13)</f>
        <v>6888.7911269592159</v>
      </c>
      <c r="N14" s="454" cm="1">
        <f t="array" ref="N14">SUM(N7,-N8:N12,N13)</f>
        <v>16630.588148559367</v>
      </c>
      <c r="O14" s="454" cm="1">
        <f t="array" ref="O14">SUM(O7,-O8:O12,O13)</f>
        <v>15328.29509037513</v>
      </c>
      <c r="P14" s="454" cm="1">
        <f t="array" ref="P14">SUM(P7,-P8:P12,P13)</f>
        <v>14840.477978736692</v>
      </c>
      <c r="Q14" s="454" cm="1">
        <f t="array" ref="Q14">SUM(Q7,-Q8:Q12,Q13)</f>
        <v>14921.474140798306</v>
      </c>
      <c r="R14" s="454" cm="1">
        <f t="array" ref="R14">SUM(R7,-R8:R12,R13)</f>
        <v>14976.765136189933</v>
      </c>
      <c r="S14" s="454" cm="1">
        <f t="array" ref="S14">SUM(S7,-S8:S12,S13)</f>
        <v>14527.109952851688</v>
      </c>
      <c r="T14" s="454" cm="1">
        <f t="array" ref="T14">SUM(T7,-T8:T12,T13)</f>
        <v>14908.382389703367</v>
      </c>
    </row>
    <row r="15" spans="1:60" s="9" customFormat="1" x14ac:dyDescent="0.25">
      <c r="A15" s="4" t="s">
        <v>367</v>
      </c>
      <c r="B15" s="10"/>
      <c r="C15" s="10"/>
      <c r="D15" s="19"/>
      <c r="E15" s="19"/>
      <c r="F15" s="191"/>
      <c r="G15" s="191"/>
      <c r="H15" s="191"/>
      <c r="I15" s="191"/>
      <c r="J15" s="191"/>
      <c r="K15" s="191"/>
      <c r="L15" s="191"/>
      <c r="M15" s="190"/>
      <c r="N15" s="190"/>
      <c r="O15" s="190"/>
      <c r="P15" s="190"/>
      <c r="Q15" s="190"/>
      <c r="R15" s="190"/>
      <c r="S15" s="190"/>
      <c r="T15" s="190"/>
    </row>
    <row r="16" spans="1:60" s="9" customFormat="1" x14ac:dyDescent="0.25">
      <c r="A16" s="8" t="s">
        <v>368</v>
      </c>
      <c r="B16" s="10"/>
      <c r="C16" s="10"/>
      <c r="D16" s="19"/>
      <c r="E16" s="19"/>
      <c r="F16" s="354">
        <f>IS_Sorted!F22</f>
        <v>1123</v>
      </c>
      <c r="G16" s="354">
        <f>IS_Sorted!G22</f>
        <v>-9049</v>
      </c>
      <c r="H16" s="354">
        <f>IS_Sorted!H22</f>
        <v>706</v>
      </c>
      <c r="I16" s="354">
        <f>IS_Sorted!I22</f>
        <v>1384</v>
      </c>
      <c r="J16" s="354">
        <f>IS_Sorted!J22</f>
        <v>477</v>
      </c>
      <c r="K16" s="354">
        <f>IS_Sorted!K22</f>
        <v>1852</v>
      </c>
      <c r="L16" s="354">
        <f>IS_Sorted!L22</f>
        <v>3328</v>
      </c>
      <c r="M16" s="465">
        <f>IS_Sorted!M22</f>
        <v>2312.4201932656988</v>
      </c>
      <c r="N16" s="465">
        <f>IS_Sorted!N22</f>
        <v>3599.0479352659804</v>
      </c>
      <c r="O16" s="465">
        <f>IS_Sorted!O22</f>
        <v>3342.5403726858153</v>
      </c>
      <c r="P16" s="465">
        <f>IS_Sorted!P22</f>
        <v>3223.4320776847535</v>
      </c>
      <c r="Q16" s="465">
        <f>IS_Sorted!Q22</f>
        <v>3221.8953520810728</v>
      </c>
      <c r="R16" s="465">
        <f>IS_Sorted!R22</f>
        <v>3217.4590169181752</v>
      </c>
      <c r="S16" s="465">
        <f>IS_Sorted!S22</f>
        <v>3154.3805401282211</v>
      </c>
      <c r="T16" s="465">
        <f>IS_Sorted!T22</f>
        <v>3259.4825657471301</v>
      </c>
    </row>
    <row r="17" spans="1:60" s="9" customFormat="1" x14ac:dyDescent="0.25">
      <c r="A17" s="6" t="s">
        <v>369</v>
      </c>
      <c r="F17" s="511" t="s">
        <v>54</v>
      </c>
      <c r="G17" s="511" t="s">
        <v>54</v>
      </c>
      <c r="H17" s="511" t="s">
        <v>54</v>
      </c>
      <c r="I17" s="355">
        <f>I13*Inputs!$N$62</f>
        <v>12.697294499999998</v>
      </c>
      <c r="J17" s="355">
        <f>J13*Inputs!$N$62</f>
        <v>13.652792999999999</v>
      </c>
      <c r="K17" s="355">
        <f>K13*Inputs!$N$62</f>
        <v>27.965569499999997</v>
      </c>
      <c r="L17" s="355">
        <f>L13*Inputs!$N$62</f>
        <v>29.571200999999999</v>
      </c>
      <c r="M17" s="93">
        <f>M13*Inputs!$N$62</f>
        <v>28.175180325610004</v>
      </c>
      <c r="N17" s="93">
        <f>N13*Inputs!$N$62</f>
        <v>26.998073669843997</v>
      </c>
      <c r="O17" s="93">
        <f>O13*Inputs!$N$62</f>
        <v>26.016867660970004</v>
      </c>
      <c r="P17" s="93">
        <f>P13*Inputs!$N$62</f>
        <v>25.211346353995577</v>
      </c>
      <c r="Q17" s="93">
        <f>Q13*Inputs!$N$62</f>
        <v>24.56376058105171</v>
      </c>
      <c r="R17" s="93">
        <f>R13*Inputs!$N$62</f>
        <v>24.058535523552081</v>
      </c>
      <c r="S17" s="465" t="s">
        <v>54</v>
      </c>
      <c r="T17" s="465" t="s">
        <v>54</v>
      </c>
    </row>
    <row r="18" spans="1:60" ht="15" customHeight="1" x14ac:dyDescent="0.25">
      <c r="A18" s="8" t="s">
        <v>370</v>
      </c>
      <c r="B18" s="10"/>
      <c r="C18" s="10"/>
      <c r="D18" s="19"/>
      <c r="E18" s="19"/>
      <c r="F18" s="191">
        <f>IS_Sorted!F17*Inputs!$N$62</f>
        <v>195.68999999999997</v>
      </c>
      <c r="G18" s="191">
        <f>IS_Sorted!G17*Inputs!$N$62</f>
        <v>209.54999999999998</v>
      </c>
      <c r="H18" s="191">
        <f>IS_Sorted!H17*Inputs!$N$62</f>
        <v>217.14</v>
      </c>
      <c r="I18" s="191">
        <f>IS_Sorted!I17*Inputs!$N$62</f>
        <v>259.70999999999998</v>
      </c>
      <c r="J18" s="191">
        <f>IS_Sorted!J17*Inputs!$N$62</f>
        <v>239.08499999999998</v>
      </c>
      <c r="K18" s="191">
        <f>IS_Sorted!K17*Inputs!$N$62</f>
        <v>213.01499999999999</v>
      </c>
      <c r="L18" s="191">
        <f>IS_Sorted!L17*Inputs!$N$62</f>
        <v>204.26999999999998</v>
      </c>
      <c r="M18" s="190">
        <f>IS_Sorted!M17*Inputs!$N$62</f>
        <v>668.93760449999991</v>
      </c>
      <c r="N18" s="190">
        <f>IS_Sorted!N17*Inputs!$N$62</f>
        <v>78.623981117753701</v>
      </c>
      <c r="O18" s="190">
        <f>IS_Sorted!O17*Inputs!$N$62</f>
        <v>71.88318940387235</v>
      </c>
      <c r="P18" s="190">
        <f>IS_Sorted!P17*Inputs!$N$62</f>
        <v>66.794484180363156</v>
      </c>
      <c r="Q18" s="190">
        <f>IS_Sorted!Q17*Inputs!$N$62</f>
        <v>64.828710381692474</v>
      </c>
      <c r="R18" s="190">
        <f>IS_Sorted!R17*Inputs!$N$62</f>
        <v>64.271044055828455</v>
      </c>
      <c r="S18" s="190">
        <f>IS_Sorted!S17*Inputs!$N$62</f>
        <v>61.873078854613162</v>
      </c>
      <c r="T18" s="190">
        <f>IS_Sorted!T17*Inputs!$N$62</f>
        <v>59.774859303549775</v>
      </c>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row>
    <row r="19" spans="1:60" s="1" customFormat="1" x14ac:dyDescent="0.25">
      <c r="A19" s="6" t="s">
        <v>371</v>
      </c>
      <c r="B19" s="11"/>
      <c r="C19" s="11"/>
      <c r="D19" s="17"/>
      <c r="E19" s="18"/>
      <c r="F19" s="133">
        <f>-(IS_Sorted!F19*Inputs!$N$62)</f>
        <v>870.53999999999985</v>
      </c>
      <c r="G19" s="133">
        <f>-(IS_Sorted!G19*Inputs!$N$62)</f>
        <v>444.34499999999997</v>
      </c>
      <c r="H19" s="133">
        <f>-(IS_Sorted!H19*Inputs!$N$62)</f>
        <v>593.00999999999988</v>
      </c>
      <c r="I19" s="133">
        <f>-(IS_Sorted!I19*Inputs!$N$62)</f>
        <v>919.70999999999992</v>
      </c>
      <c r="J19" s="133">
        <f>-(IS_Sorted!J19*Inputs!$N$62)</f>
        <v>464.47499999999997</v>
      </c>
      <c r="K19" s="133">
        <f>-(IS_Sorted!K19*Inputs!$N$62)</f>
        <v>-456.38999999999993</v>
      </c>
      <c r="L19" s="133">
        <f>-(IS_Sorted!L19*Inputs!$N$62)</f>
        <v>338.08499999999998</v>
      </c>
      <c r="M19" s="33">
        <f>-(IS_Sorted!M19*Inputs!$N$62)</f>
        <v>153.72580232081691</v>
      </c>
      <c r="N19" s="33">
        <f>-(IS_Sorted!N19*Inputs!$N$62)</f>
        <v>140.54618969166273</v>
      </c>
      <c r="O19" s="33">
        <f>-(IS_Sorted!O19*Inputs!$N$62)</f>
        <v>130.596740654142</v>
      </c>
      <c r="P19" s="33">
        <f>-(IS_Sorted!P19*Inputs!$N$62)</f>
        <v>126.75325486156549</v>
      </c>
      <c r="Q19" s="33">
        <f>-(IS_Sorted!Q19*Inputs!$N$62)</f>
        <v>125.66290428211116</v>
      </c>
      <c r="R19" s="33">
        <f>-(IS_Sorted!R19*Inputs!$N$62)</f>
        <v>120.97439679045756</v>
      </c>
      <c r="S19" s="33">
        <f>-(IS_Sorted!S19*Inputs!$N$62)</f>
        <v>116.87195273526065</v>
      </c>
      <c r="T19" s="33">
        <f>-(IS_Sorted!T19*Inputs!$N$62)</f>
        <v>117.40349864274465</v>
      </c>
    </row>
    <row r="20" spans="1:60" s="1" customFormat="1" ht="15" customHeight="1" x14ac:dyDescent="0.25">
      <c r="A20" s="225" t="s">
        <v>372</v>
      </c>
      <c r="B20" s="226"/>
      <c r="C20" s="226"/>
      <c r="D20" s="227"/>
      <c r="E20" s="227"/>
      <c r="F20" s="356">
        <f>IS_Sorted!F16*Inputs!$N$62</f>
        <v>-77.55</v>
      </c>
      <c r="G20" s="356">
        <f>IS_Sorted!G16*Inputs!$N$62</f>
        <v>-64.514999999999986</v>
      </c>
      <c r="H20" s="356">
        <f>IS_Sorted!H16*Inputs!$N$62</f>
        <v>-54.944999999999993</v>
      </c>
      <c r="I20" s="356">
        <f>IS_Sorted!I16*Inputs!$N$62</f>
        <v>-37.289999999999992</v>
      </c>
      <c r="J20" s="356">
        <f>IS_Sorted!J16*Inputs!$N$62</f>
        <v>-12.044999999999998</v>
      </c>
      <c r="K20" s="356">
        <f>IS_Sorted!K16*Inputs!$N$62</f>
        <v>-5.9399999999999995</v>
      </c>
      <c r="L20" s="356">
        <f>IS_Sorted!L16*Inputs!$N$62</f>
        <v>-41.414999999999992</v>
      </c>
      <c r="M20" s="515">
        <f>IS_Sorted!M16*Inputs!$N$62</f>
        <v>-3.3153119999999996</v>
      </c>
      <c r="N20" s="515">
        <f>IS_Sorted!N16*Inputs!$N$62</f>
        <v>-60.015232381988191</v>
      </c>
      <c r="O20" s="515">
        <f>IS_Sorted!O16*Inputs!$N$62</f>
        <v>-34.332769164340597</v>
      </c>
      <c r="P20" s="515">
        <f>IS_Sorted!P16*Inputs!$N$62</f>
        <v>-39.88563383585327</v>
      </c>
      <c r="Q20" s="515">
        <f>IS_Sorted!Q16*Inputs!$N$62</f>
        <v>-53.366527180739347</v>
      </c>
      <c r="R20" s="515">
        <f>IS_Sorted!R16*Inputs!$N$62</f>
        <v>-66.977684363215431</v>
      </c>
      <c r="S20" s="515">
        <f>IS_Sorted!S16*Inputs!$N$62</f>
        <v>-62.815673261378535</v>
      </c>
      <c r="T20" s="515">
        <f>IS_Sorted!T16*Inputs!$N$62</f>
        <v>-44.663328493162297</v>
      </c>
    </row>
    <row r="21" spans="1:60" s="1" customFormat="1" x14ac:dyDescent="0.25">
      <c r="A21" s="334" t="s">
        <v>373</v>
      </c>
      <c r="B21" s="349"/>
      <c r="C21" s="349"/>
      <c r="D21" s="350"/>
      <c r="E21" s="351"/>
      <c r="F21" s="338">
        <f>SUM(F16:F20)</f>
        <v>2111.6799999999998</v>
      </c>
      <c r="G21" s="338">
        <f t="shared" ref="G21:T21" si="0">SUM(G16:G20)</f>
        <v>-8459.6200000000008</v>
      </c>
      <c r="H21" s="338">
        <f t="shared" si="0"/>
        <v>1461.2049999999999</v>
      </c>
      <c r="I21" s="338">
        <f t="shared" si="0"/>
        <v>2538.8272944999999</v>
      </c>
      <c r="J21" s="338">
        <f t="shared" si="0"/>
        <v>1182.1677929999998</v>
      </c>
      <c r="K21" s="338">
        <f t="shared" si="0"/>
        <v>1630.6505695000001</v>
      </c>
      <c r="L21" s="338">
        <f t="shared" si="0"/>
        <v>3858.5112010000003</v>
      </c>
      <c r="M21" s="516">
        <f t="shared" si="0"/>
        <v>3159.9434684121256</v>
      </c>
      <c r="N21" s="516">
        <f t="shared" si="0"/>
        <v>3785.2009473632529</v>
      </c>
      <c r="O21" s="516">
        <f t="shared" si="0"/>
        <v>3536.704401240459</v>
      </c>
      <c r="P21" s="516">
        <f t="shared" si="0"/>
        <v>3402.3055292448244</v>
      </c>
      <c r="Q21" s="516">
        <f t="shared" si="0"/>
        <v>3383.5842001451883</v>
      </c>
      <c r="R21" s="516">
        <f t="shared" si="0"/>
        <v>3359.7853089247978</v>
      </c>
      <c r="S21" s="516">
        <f t="shared" si="0"/>
        <v>3270.3098984567164</v>
      </c>
      <c r="T21" s="516">
        <f t="shared" si="0"/>
        <v>3391.9975952002624</v>
      </c>
    </row>
    <row r="22" spans="1:60" x14ac:dyDescent="0.25">
      <c r="A22" s="199" t="s">
        <v>374</v>
      </c>
      <c r="B22" s="200"/>
      <c r="C22" s="200"/>
      <c r="D22" s="201"/>
      <c r="E22" s="202"/>
      <c r="F22" s="512">
        <f>CF_H!F14--20</f>
        <v>-680</v>
      </c>
      <c r="G22" s="512">
        <f>CF_H!G14-CF_H!F14</f>
        <v>-1710</v>
      </c>
      <c r="H22" s="512">
        <f>CF_H!H14-CF_H!G14</f>
        <v>205</v>
      </c>
      <c r="I22" s="512">
        <f>CF_H!I14-CF_H!H14</f>
        <v>2819</v>
      </c>
      <c r="J22" s="512">
        <f>CF_H!J14-CF_H!I14</f>
        <v>-2082</v>
      </c>
      <c r="K22" s="512">
        <f>CF_H!K14-CF_H!J14</f>
        <v>-2825</v>
      </c>
      <c r="L22" s="512">
        <f>CF_H!L14-CF_H!K14</f>
        <v>529</v>
      </c>
      <c r="M22" s="190">
        <f>(BS_Sorted!M40-BS_Sorted!M24)-(BS_Sorted!L40-BS_Sorted!L24)</f>
        <v>3985.3479371250792</v>
      </c>
      <c r="N22" s="190">
        <f>(BS_Sorted!N40-BS_Sorted!N24)-(BS_Sorted!M40-BS_Sorted!M24)</f>
        <v>-2529.5342665336598</v>
      </c>
      <c r="O22" s="190">
        <f>(BS_Sorted!O40-BS_Sorted!O24)-(BS_Sorted!N40-BS_Sorted!N24)</f>
        <v>-134.59395721493092</v>
      </c>
      <c r="P22" s="190">
        <f>(BS_Sorted!P40-BS_Sorted!P24)-(BS_Sorted!O40-BS_Sorted!O24)</f>
        <v>987.50396114669093</v>
      </c>
      <c r="Q22" s="190">
        <f>(BS_Sorted!Q40-BS_Sorted!Q24)-(BS_Sorted!P40-BS_Sorted!P24)</f>
        <v>1237.729717504707</v>
      </c>
      <c r="R22" s="190">
        <f>(BS_Sorted!R40-BS_Sorted!R24)-(BS_Sorted!Q40-BS_Sorted!Q24)</f>
        <v>362.53650443437118</v>
      </c>
      <c r="S22" s="190">
        <f>(BS_Sorted!S40-BS_Sorted!S24)-(BS_Sorted!R40-BS_Sorted!R24)</f>
        <v>-824.48810815321121</v>
      </c>
      <c r="T22" s="190">
        <f>(BS_Sorted!T40-BS_Sorted!T24)-(BS_Sorted!S40-BS_Sorted!S24)</f>
        <v>-1361.8798706349053</v>
      </c>
      <c r="U22" s="190"/>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row>
    <row r="23" spans="1:60" s="1" customFormat="1" x14ac:dyDescent="0.25">
      <c r="A23" s="345" t="s">
        <v>375</v>
      </c>
      <c r="B23" s="335"/>
      <c r="C23" s="335"/>
      <c r="D23" s="336"/>
      <c r="E23" s="337"/>
      <c r="F23" s="338">
        <f t="shared" ref="F23:T23" si="1">F14-F21+F22</f>
        <v>13270.32</v>
      </c>
      <c r="G23" s="338">
        <f t="shared" si="1"/>
        <v>25127.620000000003</v>
      </c>
      <c r="H23" s="338">
        <f t="shared" si="1"/>
        <v>17637.794999999998</v>
      </c>
      <c r="I23" s="338">
        <f t="shared" si="1"/>
        <v>18141.126005500002</v>
      </c>
      <c r="J23" s="338">
        <f t="shared" si="1"/>
        <v>8414.5764069999987</v>
      </c>
      <c r="K23" s="338">
        <f t="shared" si="1"/>
        <v>18846.837730499999</v>
      </c>
      <c r="L23" s="338">
        <f t="shared" si="1"/>
        <v>36355.708199000001</v>
      </c>
      <c r="M23" s="516">
        <f t="shared" si="1"/>
        <v>7714.1955956721695</v>
      </c>
      <c r="N23" s="516">
        <f t="shared" si="1"/>
        <v>10315.852934662455</v>
      </c>
      <c r="O23" s="516">
        <f t="shared" si="1"/>
        <v>11656.99673191974</v>
      </c>
      <c r="P23" s="516">
        <f t="shared" si="1"/>
        <v>12425.676410638558</v>
      </c>
      <c r="Q23" s="516">
        <f t="shared" si="1"/>
        <v>12775.619658157822</v>
      </c>
      <c r="R23" s="516">
        <f t="shared" si="1"/>
        <v>11979.516331699506</v>
      </c>
      <c r="S23" s="516">
        <f t="shared" si="1"/>
        <v>10432.31194624176</v>
      </c>
      <c r="T23" s="516">
        <f t="shared" si="1"/>
        <v>10154.5049238682</v>
      </c>
    </row>
    <row r="24" spans="1:60" x14ac:dyDescent="0.25">
      <c r="A24" s="228" t="s">
        <v>376</v>
      </c>
      <c r="B24" s="11"/>
      <c r="C24" s="11"/>
      <c r="F24" s="133"/>
      <c r="G24" s="133"/>
      <c r="H24" s="133"/>
      <c r="I24" s="133"/>
      <c r="J24" s="133"/>
      <c r="K24" s="133"/>
      <c r="L24" s="133"/>
      <c r="M24" s="33"/>
      <c r="N24" s="33"/>
      <c r="O24" s="33"/>
      <c r="P24" s="33"/>
      <c r="Q24" s="33"/>
      <c r="R24" s="33"/>
      <c r="S24" s="33"/>
      <c r="T24" s="33"/>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row>
    <row r="25" spans="1:60" x14ac:dyDescent="0.25">
      <c r="A25" s="6" t="s">
        <v>377</v>
      </c>
      <c r="B25" s="11"/>
      <c r="C25" s="11"/>
      <c r="F25" s="357">
        <f>MIN(Inputs!G65,Inputs!G66*Inputs!$N$67)</f>
        <v>219.0250573108741</v>
      </c>
      <c r="G25" s="357">
        <f>MIN(Inputs!H65,Inputs!H66*Inputs!$N$67)</f>
        <v>217.87238114223064</v>
      </c>
      <c r="H25" s="357">
        <f>MIN(Inputs!I65,Inputs!I66*Inputs!$N$67)</f>
        <v>222.43747632811721</v>
      </c>
      <c r="I25" s="357">
        <f>MIN(Inputs!J65,Inputs!J66*Inputs!$N$67)</f>
        <v>214.57191268812917</v>
      </c>
      <c r="J25" s="357">
        <f>MIN(Inputs!K65,Inputs!K66*Inputs!$N$67)</f>
        <v>173.7638592644274</v>
      </c>
      <c r="K25" s="357">
        <f>MIN(Inputs!L65,Inputs!L66*Inputs!$N$67)</f>
        <v>337.04582876507521</v>
      </c>
      <c r="L25" s="357">
        <f>MIN(Inputs!M65,Inputs!M66*Inputs!$N$67)</f>
        <v>416</v>
      </c>
      <c r="M25" s="286">
        <f>MIN(Inputs!$N$67*M7,BS_Sorted!N6)</f>
        <v>233.83155586564337</v>
      </c>
      <c r="N25" s="286">
        <f>MIN(Inputs!$N$67*N7,BS_Sorted!O6)</f>
        <v>213.78411242898434</v>
      </c>
      <c r="O25" s="286">
        <f>MIN(Inputs!$N$67*O7,BS_Sorted!P6)</f>
        <v>198.65005481909697</v>
      </c>
      <c r="P25" s="286">
        <f>MIN(Inputs!$N$67*P7,BS_Sorted!Q6)</f>
        <v>192.80374763281171</v>
      </c>
      <c r="Q25" s="286">
        <f>MIN(Inputs!$N$67*Q7,BS_Sorted!R6)</f>
        <v>191.14522077145421</v>
      </c>
      <c r="R25" s="286">
        <f>MIN(Inputs!$N$67*R7,BS_Sorted!S6)</f>
        <v>184.01355526761685</v>
      </c>
      <c r="S25" s="286">
        <f>MIN(Inputs!$N$67*S7,BS_Sorted!T6)</f>
        <v>177.77334795175918</v>
      </c>
      <c r="T25" s="286">
        <f>MIN(Inputs!$N$67*T7,BS_Sorted!U6)</f>
        <v>178.58187979667099</v>
      </c>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row>
    <row r="26" spans="1:60" x14ac:dyDescent="0.25">
      <c r="A26" s="6" t="s">
        <v>614</v>
      </c>
      <c r="B26" s="11"/>
      <c r="C26" s="11"/>
      <c r="F26" s="243">
        <f>BS_Sorted!F8</f>
        <v>8225</v>
      </c>
      <c r="G26" s="243">
        <f>BS_Sorted!G8</f>
        <v>8221</v>
      </c>
      <c r="H26" s="243">
        <f>BS_Sorted!H8</f>
        <v>8025</v>
      </c>
      <c r="I26" s="243">
        <f>BS_Sorted!I8</f>
        <v>8724</v>
      </c>
      <c r="J26" s="243">
        <f>BS_Sorted!J8</f>
        <v>7930</v>
      </c>
      <c r="K26" s="243">
        <f>BS_Sorted!K8</f>
        <v>11479</v>
      </c>
      <c r="L26" s="243">
        <f>BS_Sorted!L8</f>
        <v>10952</v>
      </c>
      <c r="M26" s="253">
        <f>BS_Sorted!M8</f>
        <v>8619.7788957379926</v>
      </c>
      <c r="N26" s="253">
        <f>BS_Sorted!N8</f>
        <v>7880.7660229497442</v>
      </c>
      <c r="O26" s="253">
        <f>BS_Sorted!O8</f>
        <v>7322.8762637610989</v>
      </c>
      <c r="P26" s="253">
        <f>BS_Sorted!P8</f>
        <v>7107.3626855539778</v>
      </c>
      <c r="Q26" s="253">
        <f>BS_Sorted!Q8</f>
        <v>7046.2240818072778</v>
      </c>
      <c r="R26" s="253">
        <f>BS_Sorted!R8</f>
        <v>6783.3280856964639</v>
      </c>
      <c r="S26" s="253">
        <f>BS_Sorted!S8</f>
        <v>6553.2940890995014</v>
      </c>
      <c r="T26" s="253">
        <f>BS_Sorted!T8</f>
        <v>6583.0991584260182</v>
      </c>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row>
    <row r="27" spans="1:60" x14ac:dyDescent="0.25">
      <c r="A27" s="6" t="s">
        <v>234</v>
      </c>
      <c r="B27" s="11"/>
      <c r="C27" s="11"/>
      <c r="F27" s="357">
        <f>BS_Sorted!F11</f>
        <v>6783</v>
      </c>
      <c r="G27" s="357">
        <f>BS_Sorted!G11</f>
        <v>7578</v>
      </c>
      <c r="H27" s="357">
        <f>BS_Sorted!H11</f>
        <v>7508</v>
      </c>
      <c r="I27" s="357">
        <f>BS_Sorted!I11</f>
        <v>8283</v>
      </c>
      <c r="J27" s="357">
        <f>BS_Sorted!J11</f>
        <v>8046</v>
      </c>
      <c r="K27" s="357">
        <f>BS_Sorted!K11</f>
        <v>9059</v>
      </c>
      <c r="L27" s="357">
        <f>BS_Sorted!L11</f>
        <v>8981</v>
      </c>
      <c r="M27" s="286">
        <f>BS_Sorted!M11</f>
        <v>7779.1566293553651</v>
      </c>
      <c r="N27" s="286">
        <f>BS_Sorted!N11</f>
        <v>7112.2141290817026</v>
      </c>
      <c r="O27" s="286">
        <f>BS_Sorted!O11</f>
        <v>6608.7311661036538</v>
      </c>
      <c r="P27" s="286">
        <f>BS_Sorted!P11</f>
        <v>6414.2350078025438</v>
      </c>
      <c r="Q27" s="286">
        <f>BS_Sorted!Q11</f>
        <v>6359.0587926816615</v>
      </c>
      <c r="R27" s="286">
        <f>BS_Sorted!R11</f>
        <v>6121.8010676618687</v>
      </c>
      <c r="S27" s="286">
        <f>BS_Sorted!S11</f>
        <v>5914.2005582695501</v>
      </c>
      <c r="T27" s="286">
        <f>BS_Sorted!T11</f>
        <v>5941.0989631409802</v>
      </c>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row>
    <row r="28" spans="1:60" x14ac:dyDescent="0.25">
      <c r="A28" s="6" t="s">
        <v>378</v>
      </c>
      <c r="B28" s="11"/>
      <c r="C28" s="11"/>
      <c r="F28" s="357">
        <f>BS_Sorted!F24</f>
        <v>1812</v>
      </c>
      <c r="G28" s="357">
        <f>BS_Sorted!G24</f>
        <v>1855</v>
      </c>
      <c r="H28" s="357">
        <f>BS_Sorted!H24</f>
        <v>1924</v>
      </c>
      <c r="I28" s="357">
        <f>BS_Sorted!I24</f>
        <v>2099</v>
      </c>
      <c r="J28" s="357">
        <f>BS_Sorted!J24</f>
        <v>2383</v>
      </c>
      <c r="K28" s="357">
        <f>BS_Sorted!K24</f>
        <v>3341</v>
      </c>
      <c r="L28" s="357">
        <f>BS_Sorted!L24</f>
        <v>6693</v>
      </c>
      <c r="M28" s="286">
        <f>BS_Sorted!M24</f>
        <v>2152.9727390351013</v>
      </c>
      <c r="N28" s="286">
        <f>BS_Sorted!N24</f>
        <v>3350.8841142600668</v>
      </c>
      <c r="O28" s="286">
        <f>BS_Sorted!O24</f>
        <v>3112.0634227612959</v>
      </c>
      <c r="P28" s="286">
        <f>BS_Sorted!P24</f>
        <v>3001.1679579677257</v>
      </c>
      <c r="Q28" s="286">
        <f>BS_Sorted!Q24</f>
        <v>2999.7371936361665</v>
      </c>
      <c r="R28" s="286">
        <f>BS_Sorted!R24</f>
        <v>2995.6067554507722</v>
      </c>
      <c r="S28" s="286">
        <f>BS_Sorted!S24</f>
        <v>2936.8777055384212</v>
      </c>
      <c r="T28" s="286">
        <f>BS_Sorted!T24</f>
        <v>3034.7326700616791</v>
      </c>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row>
    <row r="29" spans="1:60" x14ac:dyDescent="0.25">
      <c r="A29" s="6" t="s">
        <v>379</v>
      </c>
      <c r="B29" s="11"/>
      <c r="C29" s="11"/>
      <c r="F29" s="357">
        <f>BS_Sorted!F15</f>
        <v>2249</v>
      </c>
      <c r="G29" s="357">
        <f>BS_Sorted!G15</f>
        <v>2289</v>
      </c>
      <c r="H29" s="357">
        <f>BS_Sorted!H15</f>
        <v>2461</v>
      </c>
      <c r="I29" s="357">
        <f>BS_Sorted!I15</f>
        <v>2600</v>
      </c>
      <c r="J29" s="357">
        <f>BS_Sorted!J15</f>
        <v>3438</v>
      </c>
      <c r="K29" s="357">
        <f>BS_Sorted!K15</f>
        <v>3820</v>
      </c>
      <c r="L29" s="357">
        <f>BS_Sorted!L15</f>
        <v>5017</v>
      </c>
      <c r="M29" s="286">
        <f>BS_Sorted!M15</f>
        <v>5249.2871000000005</v>
      </c>
      <c r="N29" s="286">
        <f>BS_Sorted!N15</f>
        <v>5492.3290927300004</v>
      </c>
      <c r="O29" s="286">
        <f>BS_Sorted!O15</f>
        <v>5746.6239297233997</v>
      </c>
      <c r="P29" s="286">
        <f>BS_Sorted!P15</f>
        <v>6012.6926176695933</v>
      </c>
      <c r="Q29" s="286">
        <f>BS_Sorted!Q15</f>
        <v>6291.0802858676952</v>
      </c>
      <c r="R29" s="286">
        <f>BS_Sorted!R15</f>
        <v>6582.3573031033693</v>
      </c>
      <c r="S29" s="286">
        <f>BS_Sorted!S15</f>
        <v>6887.1204462370551</v>
      </c>
      <c r="T29" s="286">
        <f>BS_Sorted!T15</f>
        <v>7205.9941228978305</v>
      </c>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row>
    <row r="30" spans="1:60" x14ac:dyDescent="0.25">
      <c r="A30" s="334" t="s">
        <v>380</v>
      </c>
      <c r="B30" s="335"/>
      <c r="C30" s="335"/>
      <c r="D30" s="336"/>
      <c r="E30" s="337"/>
      <c r="F30" s="338">
        <f>SUM(F25:F29)</f>
        <v>19288.025057310871</v>
      </c>
      <c r="G30" s="338">
        <f t="shared" ref="G30:L30" si="2">SUM(G25:G29)</f>
        <v>20160.872381142231</v>
      </c>
      <c r="H30" s="338">
        <f t="shared" si="2"/>
        <v>20140.437476328116</v>
      </c>
      <c r="I30" s="338">
        <f t="shared" si="2"/>
        <v>21920.57191268813</v>
      </c>
      <c r="J30" s="338">
        <f t="shared" si="2"/>
        <v>21970.763859264429</v>
      </c>
      <c r="K30" s="338">
        <f t="shared" si="2"/>
        <v>28036.045828765076</v>
      </c>
      <c r="L30" s="338">
        <f t="shared" si="2"/>
        <v>32059</v>
      </c>
      <c r="M30" s="516">
        <f>SUM(M25:M29)</f>
        <v>24035.026919994103</v>
      </c>
      <c r="N30" s="516">
        <f>SUM(N25:N29)</f>
        <v>24049.9774714505</v>
      </c>
      <c r="O30" s="516">
        <f t="shared" ref="O30:T30" si="3">SUM(O25:O29)</f>
        <v>22988.944837168547</v>
      </c>
      <c r="P30" s="516">
        <f t="shared" si="3"/>
        <v>22728.26201662665</v>
      </c>
      <c r="Q30" s="516">
        <f t="shared" si="3"/>
        <v>22887.245574764256</v>
      </c>
      <c r="R30" s="516">
        <f t="shared" si="3"/>
        <v>22667.106767180092</v>
      </c>
      <c r="S30" s="516">
        <f t="shared" si="3"/>
        <v>22469.266147096285</v>
      </c>
      <c r="T30" s="516">
        <f t="shared" si="3"/>
        <v>22943.506794323181</v>
      </c>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row>
    <row r="31" spans="1:60" x14ac:dyDescent="0.25">
      <c r="A31" s="6" t="s">
        <v>629</v>
      </c>
      <c r="B31" s="11"/>
      <c r="C31" s="11"/>
      <c r="F31" s="357">
        <f>BS_Sorted!F30</f>
        <v>4536</v>
      </c>
      <c r="G31" s="357">
        <f>BS_Sorted!G30</f>
        <v>4656</v>
      </c>
      <c r="H31" s="357">
        <f>BS_Sorted!H30</f>
        <v>4674</v>
      </c>
      <c r="I31" s="357">
        <f>BS_Sorted!I30</f>
        <v>4220</v>
      </c>
      <c r="J31" s="357">
        <f>BS_Sorted!J30</f>
        <v>4309</v>
      </c>
      <c r="K31" s="357">
        <f>BS_Sorted!K30</f>
        <v>5578</v>
      </c>
      <c r="L31" s="357">
        <f>BS_Sorted!L30</f>
        <v>6809</v>
      </c>
      <c r="M31" s="286">
        <f>BS_Sorted!M30</f>
        <v>4692.5139155137758</v>
      </c>
      <c r="N31" s="286">
        <f>BS_Sorted!N30</f>
        <v>4290.2033422092436</v>
      </c>
      <c r="O31" s="286">
        <f>BS_Sorted!O30</f>
        <v>3986.4942227549432</v>
      </c>
      <c r="P31" s="286">
        <f>BS_Sorted!P30</f>
        <v>3869.1709738698569</v>
      </c>
      <c r="Q31" s="286">
        <f>BS_Sorted!Q30</f>
        <v>3835.8877826967832</v>
      </c>
      <c r="R31" s="286">
        <f>BS_Sorted!R30</f>
        <v>3692.7700606525646</v>
      </c>
      <c r="S31" s="286">
        <f>BS_Sorted!S30</f>
        <v>3567.5420538638737</v>
      </c>
      <c r="T31" s="286">
        <f>BS_Sorted!T30</f>
        <v>3583.7676095607471</v>
      </c>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row>
    <row r="32" spans="1:60" x14ac:dyDescent="0.25">
      <c r="A32" s="6" t="s">
        <v>381</v>
      </c>
      <c r="B32" s="11"/>
      <c r="C32" s="11"/>
      <c r="F32" s="247" t="str">
        <f>BS_Sorted!F34</f>
        <v>-</v>
      </c>
      <c r="G32" s="247" t="str">
        <f>BS_Sorted!G34</f>
        <v>-</v>
      </c>
      <c r="H32" s="247" t="str">
        <f>BS_Sorted!H34</f>
        <v>-</v>
      </c>
      <c r="I32" s="247" t="str">
        <f>BS_Sorted!I34</f>
        <v>-</v>
      </c>
      <c r="J32" s="247" t="str">
        <f>BS_Sorted!J34</f>
        <v>-</v>
      </c>
      <c r="K32" s="247">
        <f>BS_Sorted!K34</f>
        <v>3067</v>
      </c>
      <c r="L32" s="247">
        <f>BS_Sorted!L34</f>
        <v>2520</v>
      </c>
      <c r="M32" s="482">
        <f>BS_Sorted!M34</f>
        <v>1772.132787915051</v>
      </c>
      <c r="N32" s="482">
        <f>BS_Sorted!N34</f>
        <v>1620.1997791453148</v>
      </c>
      <c r="O32" s="482">
        <f>BS_Sorted!O34</f>
        <v>1505.5037125456174</v>
      </c>
      <c r="P32" s="482">
        <f>BS_Sorted!P34</f>
        <v>1461.1964649002548</v>
      </c>
      <c r="Q32" s="482">
        <f>BS_Sorted!Q34</f>
        <v>1448.6270329441236</v>
      </c>
      <c r="R32" s="482">
        <f>BS_Sorted!R34</f>
        <v>1394.5784755327593</v>
      </c>
      <c r="S32" s="482">
        <f>BS_Sorted!S34</f>
        <v>1347.2859877978156</v>
      </c>
      <c r="T32" s="482">
        <f>BS_Sorted!T34</f>
        <v>1353.4135858764296</v>
      </c>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row>
    <row r="33" spans="1:60" x14ac:dyDescent="0.25">
      <c r="A33" s="6" t="s">
        <v>382</v>
      </c>
      <c r="B33" s="11"/>
      <c r="C33" s="11"/>
      <c r="F33" s="357">
        <f>BS_Sorted!F32</f>
        <v>437</v>
      </c>
      <c r="G33" s="357">
        <f>BS_Sorted!G32</f>
        <v>477</v>
      </c>
      <c r="H33" s="357">
        <f>BS_Sorted!H32</f>
        <v>1265</v>
      </c>
      <c r="I33" s="357">
        <f>BS_Sorted!I32</f>
        <v>980</v>
      </c>
      <c r="J33" s="357">
        <f>BS_Sorted!J32</f>
        <v>1049</v>
      </c>
      <c r="K33" s="357">
        <f>BS_Sorted!K32</f>
        <v>1266</v>
      </c>
      <c r="L33" s="357">
        <f>BS_Sorted!L32</f>
        <v>1587</v>
      </c>
      <c r="M33" s="286">
        <f>BS_Sorted!M32</f>
        <v>635.64728676730431</v>
      </c>
      <c r="N33" s="286">
        <f>BS_Sorted!N32</f>
        <v>989.32065273416663</v>
      </c>
      <c r="O33" s="286">
        <f>BS_Sorted!O32</f>
        <v>918.81083074584001</v>
      </c>
      <c r="P33" s="286">
        <f>BS_Sorted!P32</f>
        <v>886.06986750334966</v>
      </c>
      <c r="Q33" s="286">
        <f>BS_Sorted!Q32</f>
        <v>885.64744623954562</v>
      </c>
      <c r="R33" s="286">
        <f>BS_Sorted!R32</f>
        <v>884.4279687338144</v>
      </c>
      <c r="S33" s="286">
        <f>BS_Sorted!S32</f>
        <v>867.08870541925035</v>
      </c>
      <c r="T33" s="286">
        <f>BS_Sorted!T32</f>
        <v>895.97956946418788</v>
      </c>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row>
    <row r="34" spans="1:60" x14ac:dyDescent="0.25">
      <c r="A34" s="334" t="s">
        <v>383</v>
      </c>
      <c r="B34" s="335"/>
      <c r="C34" s="335"/>
      <c r="D34" s="336"/>
      <c r="E34" s="337"/>
      <c r="F34" s="358">
        <f>SUM(F31:F33)</f>
        <v>4973</v>
      </c>
      <c r="G34" s="358">
        <f t="shared" ref="G34:L34" si="4">SUM(G31:G33)</f>
        <v>5133</v>
      </c>
      <c r="H34" s="358">
        <f t="shared" si="4"/>
        <v>5939</v>
      </c>
      <c r="I34" s="358">
        <f t="shared" si="4"/>
        <v>5200</v>
      </c>
      <c r="J34" s="358">
        <f t="shared" si="4"/>
        <v>5358</v>
      </c>
      <c r="K34" s="358">
        <f t="shared" si="4"/>
        <v>9911</v>
      </c>
      <c r="L34" s="358">
        <f t="shared" si="4"/>
        <v>10916</v>
      </c>
      <c r="M34" s="517">
        <f t="shared" ref="M34:T34" si="5">SUM(M31:M33)</f>
        <v>7100.2939901961317</v>
      </c>
      <c r="N34" s="517">
        <f>SUM(N31:N33)</f>
        <v>6899.7237740887249</v>
      </c>
      <c r="O34" s="517">
        <f t="shared" si="5"/>
        <v>6410.8087660463998</v>
      </c>
      <c r="P34" s="517">
        <f t="shared" si="5"/>
        <v>6216.4373062734621</v>
      </c>
      <c r="Q34" s="517">
        <f t="shared" si="5"/>
        <v>6170.1622618804522</v>
      </c>
      <c r="R34" s="517">
        <f t="shared" si="5"/>
        <v>5971.7765049191385</v>
      </c>
      <c r="S34" s="517">
        <f t="shared" si="5"/>
        <v>5781.9167470809389</v>
      </c>
      <c r="T34" s="517">
        <f t="shared" si="5"/>
        <v>5833.1607649013649</v>
      </c>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row>
    <row r="35" spans="1:60" x14ac:dyDescent="0.25">
      <c r="A35" s="334" t="s">
        <v>384</v>
      </c>
      <c r="B35" s="335"/>
      <c r="C35" s="335"/>
      <c r="D35" s="336"/>
      <c r="E35" s="337"/>
      <c r="F35" s="338">
        <f>F30-F34</f>
        <v>14315.025057310871</v>
      </c>
      <c r="G35" s="338">
        <f t="shared" ref="G35:L35" si="6">G30-G34</f>
        <v>15027.872381142231</v>
      </c>
      <c r="H35" s="338">
        <f t="shared" si="6"/>
        <v>14201.437476328116</v>
      </c>
      <c r="I35" s="338">
        <f t="shared" si="6"/>
        <v>16720.57191268813</v>
      </c>
      <c r="J35" s="338">
        <f t="shared" si="6"/>
        <v>16612.763859264429</v>
      </c>
      <c r="K35" s="338">
        <f t="shared" si="6"/>
        <v>18125.045828765076</v>
      </c>
      <c r="L35" s="338">
        <f t="shared" si="6"/>
        <v>21143</v>
      </c>
      <c r="M35" s="516">
        <f t="shared" ref="M35:T35" si="7">M30-M34</f>
        <v>16934.73292979797</v>
      </c>
      <c r="N35" s="516">
        <f>N30-N34</f>
        <v>17150.253697361775</v>
      </c>
      <c r="O35" s="516">
        <f t="shared" si="7"/>
        <v>16578.136071122146</v>
      </c>
      <c r="P35" s="516">
        <f t="shared" si="7"/>
        <v>16511.824710353187</v>
      </c>
      <c r="Q35" s="516">
        <f t="shared" si="7"/>
        <v>16717.083312883806</v>
      </c>
      <c r="R35" s="516">
        <f t="shared" si="7"/>
        <v>16695.330262260955</v>
      </c>
      <c r="S35" s="516">
        <f t="shared" si="7"/>
        <v>16687.349400015344</v>
      </c>
      <c r="T35" s="516">
        <f t="shared" si="7"/>
        <v>17110.346029421817</v>
      </c>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row>
    <row r="36" spans="1:60" x14ac:dyDescent="0.25">
      <c r="A36" s="6" t="s">
        <v>385</v>
      </c>
      <c r="B36" s="11"/>
      <c r="C36" s="11"/>
      <c r="F36" s="357">
        <f>BS_Sorted!F19</f>
        <v>13318</v>
      </c>
      <c r="G36" s="357">
        <f>BS_Sorted!G19</f>
        <v>13865</v>
      </c>
      <c r="H36" s="357">
        <f>BS_Sorted!H19</f>
        <v>13385</v>
      </c>
      <c r="I36" s="357">
        <f>BS_Sorted!I19</f>
        <v>13967</v>
      </c>
      <c r="J36" s="357">
        <f>BS_Sorted!J19</f>
        <v>13900</v>
      </c>
      <c r="K36" s="357">
        <f>BS_Sorted!K19</f>
        <v>14882</v>
      </c>
      <c r="L36" s="357">
        <f>BS_Sorted!L19</f>
        <v>16274</v>
      </c>
      <c r="M36" s="286">
        <f>BS_Sorted!M19</f>
        <v>15540.358451723445</v>
      </c>
      <c r="N36" s="286">
        <f>BS_Sorted!N19</f>
        <v>14917.147750011518</v>
      </c>
      <c r="O36" s="286">
        <f>BS_Sorted!O19</f>
        <v>14394.017949114401</v>
      </c>
      <c r="P36" s="286">
        <f>BS_Sorted!P19</f>
        <v>13961.741459319219</v>
      </c>
      <c r="Q36" s="286">
        <f>BS_Sorted!Q19</f>
        <v>13612.097278724599</v>
      </c>
      <c r="R36" s="286">
        <f>BS_Sorted!R19</f>
        <v>13337.767366478034</v>
      </c>
      <c r="S36" s="286">
        <f>BS_Sorted!S19</f>
        <v>13132.243891208633</v>
      </c>
      <c r="T36" s="286">
        <f>BS_Sorted!T19</f>
        <v>12989.74622069782</v>
      </c>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row>
    <row r="37" spans="1:60" x14ac:dyDescent="0.25">
      <c r="A37" s="6" t="s">
        <v>386</v>
      </c>
      <c r="B37" s="11"/>
      <c r="C37" s="11"/>
      <c r="F37" s="357">
        <f>BS_Sorted!F22</f>
        <v>52648</v>
      </c>
      <c r="G37" s="357">
        <f>BS_Sorted!G22</f>
        <v>48741</v>
      </c>
      <c r="H37" s="357">
        <f>BS_Sorted!H22</f>
        <v>35211</v>
      </c>
      <c r="I37" s="357">
        <f>BS_Sorted!I22</f>
        <v>35370</v>
      </c>
      <c r="J37" s="357">
        <f>BS_Sorted!J22</f>
        <v>28471</v>
      </c>
      <c r="K37" s="357">
        <f>BS_Sorted!K22</f>
        <v>25146</v>
      </c>
      <c r="L37" s="357">
        <f>BS_Sorted!L22</f>
        <v>43370</v>
      </c>
      <c r="M37" s="286">
        <f>BS_Sorted!M22</f>
        <v>39147</v>
      </c>
      <c r="N37" s="286">
        <f>BS_Sorted!N22</f>
        <v>35166</v>
      </c>
      <c r="O37" s="286">
        <f>BS_Sorted!O22</f>
        <v>31386</v>
      </c>
      <c r="P37" s="286">
        <f>BS_Sorted!P22</f>
        <v>27672</v>
      </c>
      <c r="Q37" s="286">
        <f>BS_Sorted!Q22</f>
        <v>24169</v>
      </c>
      <c r="R37" s="286">
        <f>BS_Sorted!R22</f>
        <v>21424.106673897331</v>
      </c>
      <c r="S37" s="286">
        <f>BS_Sorted!S22</f>
        <v>18990.953153814069</v>
      </c>
      <c r="T37" s="286">
        <f>BS_Sorted!T22</f>
        <v>16834.134892064198</v>
      </c>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row>
    <row r="38" spans="1:60" s="1" customFormat="1" x14ac:dyDescent="0.25">
      <c r="A38" s="196" t="s">
        <v>387</v>
      </c>
      <c r="B38" s="12"/>
      <c r="C38" s="12"/>
      <c r="D38" s="20"/>
      <c r="E38" s="21"/>
      <c r="F38" s="357">
        <f>BS_Sorted!F25</f>
        <v>3323</v>
      </c>
      <c r="G38" s="357">
        <f>BS_Sorted!G25</f>
        <v>3227</v>
      </c>
      <c r="H38" s="357">
        <f>BS_Sorted!H25</f>
        <v>2799</v>
      </c>
      <c r="I38" s="357">
        <f>BS_Sorted!I25</f>
        <v>4450</v>
      </c>
      <c r="J38" s="357">
        <f>BS_Sorted!J25</f>
        <v>4569</v>
      </c>
      <c r="K38" s="357">
        <f>BS_Sorted!K25</f>
        <v>7679</v>
      </c>
      <c r="L38" s="357">
        <f>BS_Sorted!L25</f>
        <v>13163</v>
      </c>
      <c r="M38" s="286">
        <f>BS_Sorted!M25</f>
        <v>4811.0798012828518</v>
      </c>
      <c r="N38" s="286">
        <f>BS_Sorted!N25</f>
        <v>4398.6040350056537</v>
      </c>
      <c r="O38" s="286">
        <f>BS_Sorted!O25</f>
        <v>4087.2210883848111</v>
      </c>
      <c r="P38" s="286">
        <f>BS_Sorted!P25</f>
        <v>3966.933429553198</v>
      </c>
      <c r="Q38" s="286">
        <f>BS_Sorted!Q25</f>
        <v>3932.8092710194069</v>
      </c>
      <c r="R38" s="286">
        <f>BS_Sorted!R25</f>
        <v>3786.0753893241058</v>
      </c>
      <c r="S38" s="286">
        <f>BS_Sorted!S25</f>
        <v>3657.6832428407174</v>
      </c>
      <c r="T38" s="286">
        <f>BS_Sorted!T25</f>
        <v>3674.3187701259403</v>
      </c>
    </row>
    <row r="39" spans="1:60" x14ac:dyDescent="0.25">
      <c r="A39" s="35" t="s">
        <v>388</v>
      </c>
      <c r="B39" s="333"/>
      <c r="C39" s="333"/>
      <c r="D39" s="150"/>
      <c r="E39" s="151"/>
      <c r="F39" s="359">
        <f>BS_Sorted!F26</f>
        <v>2260.512918945572</v>
      </c>
      <c r="G39" s="359">
        <f>BS_Sorted!G26</f>
        <v>1231.9057240850525</v>
      </c>
      <c r="H39" s="359">
        <f>BS_Sorted!H26</f>
        <v>1320.5335820969335</v>
      </c>
      <c r="I39" s="359">
        <f>BS_Sorted!I26</f>
        <v>1289</v>
      </c>
      <c r="J39" s="359">
        <f>BS_Sorted!J26</f>
        <v>1386</v>
      </c>
      <c r="K39" s="359">
        <f>BS_Sorted!K26</f>
        <v>2839</v>
      </c>
      <c r="L39" s="359">
        <f>BS_Sorted!L26</f>
        <v>3002</v>
      </c>
      <c r="M39" s="282">
        <f>BS_Sorted!M26</f>
        <v>2860.2792067011833</v>
      </c>
      <c r="N39" s="282">
        <f>BS_Sorted!N26</f>
        <v>2740.7820587629053</v>
      </c>
      <c r="O39" s="282">
        <f>BS_Sorted!O26</f>
        <v>2641.1722918603123</v>
      </c>
      <c r="P39" s="282">
        <f>BS_Sorted!P26</f>
        <v>2559.3976299675728</v>
      </c>
      <c r="Q39" s="282">
        <f>BS_Sorted!Q26</f>
        <v>2493.6562185728353</v>
      </c>
      <c r="R39" s="282">
        <f>BS_Sorted!R26</f>
        <v>2442.3669380794968</v>
      </c>
      <c r="S39" s="282" t="str">
        <f>BS_Sorted!S26</f>
        <v>-</v>
      </c>
      <c r="T39" s="282" t="str">
        <f>BS_Sorted!T26</f>
        <v>-</v>
      </c>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row>
    <row r="40" spans="1:60" x14ac:dyDescent="0.25">
      <c r="A40" s="334" t="s">
        <v>376</v>
      </c>
      <c r="B40" s="335"/>
      <c r="C40" s="335"/>
      <c r="D40" s="336"/>
      <c r="E40" s="337"/>
      <c r="F40" s="338">
        <f t="shared" ref="F40:T40" si="8">SUM(F35:F39)</f>
        <v>85864.537976256455</v>
      </c>
      <c r="G40" s="338">
        <f t="shared" si="8"/>
        <v>82092.778105227277</v>
      </c>
      <c r="H40" s="338">
        <f t="shared" si="8"/>
        <v>66916.971058425042</v>
      </c>
      <c r="I40" s="338">
        <f t="shared" si="8"/>
        <v>71796.57191268813</v>
      </c>
      <c r="J40" s="338">
        <f t="shared" si="8"/>
        <v>64938.763859264429</v>
      </c>
      <c r="K40" s="338">
        <f t="shared" si="8"/>
        <v>68671.045828765084</v>
      </c>
      <c r="L40" s="338">
        <f t="shared" si="8"/>
        <v>96952</v>
      </c>
      <c r="M40" s="516">
        <f t="shared" si="8"/>
        <v>79293.450389505451</v>
      </c>
      <c r="N40" s="516">
        <f t="shared" si="8"/>
        <v>74372.787541141864</v>
      </c>
      <c r="O40" s="516">
        <f t="shared" si="8"/>
        <v>69086.547400481679</v>
      </c>
      <c r="P40" s="516">
        <f t="shared" si="8"/>
        <v>64671.897229193171</v>
      </c>
      <c r="Q40" s="516">
        <f t="shared" si="8"/>
        <v>60924.646081200648</v>
      </c>
      <c r="R40" s="516">
        <f t="shared" si="8"/>
        <v>57685.646630039926</v>
      </c>
      <c r="S40" s="516">
        <f t="shared" si="8"/>
        <v>52468.22968787876</v>
      </c>
      <c r="T40" s="516">
        <f t="shared" si="8"/>
        <v>50608.545912309775</v>
      </c>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row>
    <row r="41" spans="1:60" s="1" customFormat="1" x14ac:dyDescent="0.25">
      <c r="A41" s="229" t="s">
        <v>389</v>
      </c>
      <c r="B41" s="13"/>
      <c r="C41" s="13"/>
      <c r="D41" s="20"/>
      <c r="E41" s="21"/>
      <c r="F41" s="192"/>
      <c r="G41" s="192"/>
      <c r="H41" s="192"/>
      <c r="I41" s="192"/>
      <c r="J41" s="192"/>
      <c r="K41" s="192"/>
      <c r="L41" s="192"/>
      <c r="M41" s="55"/>
      <c r="N41" s="55"/>
      <c r="O41" s="55"/>
      <c r="P41" s="55"/>
      <c r="Q41" s="55"/>
      <c r="R41" s="55"/>
      <c r="S41" s="55"/>
      <c r="T41" s="55"/>
    </row>
    <row r="42" spans="1:60" x14ac:dyDescent="0.25">
      <c r="A42" s="88" t="s">
        <v>375</v>
      </c>
      <c r="B42" s="2"/>
      <c r="C42" s="2"/>
      <c r="F42" s="133">
        <f>F23</f>
        <v>13270.32</v>
      </c>
      <c r="G42" s="133">
        <f t="shared" ref="G42:L42" si="9">G23</f>
        <v>25127.620000000003</v>
      </c>
      <c r="H42" s="133">
        <f>H23</f>
        <v>17637.794999999998</v>
      </c>
      <c r="I42" s="133">
        <f t="shared" si="9"/>
        <v>18141.126005500002</v>
      </c>
      <c r="J42" s="133">
        <f t="shared" si="9"/>
        <v>8414.5764069999987</v>
      </c>
      <c r="K42" s="133">
        <f t="shared" si="9"/>
        <v>18846.837730499999</v>
      </c>
      <c r="L42" s="133">
        <f t="shared" si="9"/>
        <v>36355.708199000001</v>
      </c>
      <c r="M42" s="33">
        <f t="shared" ref="M42:T42" si="10">M23</f>
        <v>7714.1955956721695</v>
      </c>
      <c r="N42" s="33">
        <f t="shared" si="10"/>
        <v>10315.852934662455</v>
      </c>
      <c r="O42" s="33">
        <f t="shared" si="10"/>
        <v>11656.99673191974</v>
      </c>
      <c r="P42" s="33">
        <f t="shared" si="10"/>
        <v>12425.676410638558</v>
      </c>
      <c r="Q42" s="33">
        <f t="shared" si="10"/>
        <v>12775.619658157822</v>
      </c>
      <c r="R42" s="33">
        <f t="shared" si="10"/>
        <v>11979.516331699506</v>
      </c>
      <c r="S42" s="33">
        <f t="shared" si="10"/>
        <v>10432.31194624176</v>
      </c>
      <c r="T42" s="33">
        <f t="shared" si="10"/>
        <v>10154.5049238682</v>
      </c>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row>
    <row r="43" spans="1:60" x14ac:dyDescent="0.25">
      <c r="A43" s="88" t="s">
        <v>390</v>
      </c>
      <c r="B43" s="36"/>
      <c r="C43" s="36"/>
      <c r="D43" s="150"/>
      <c r="E43" s="151"/>
      <c r="F43" s="197">
        <f>F40-E40</f>
        <v>85864.537976256455</v>
      </c>
      <c r="G43" s="197">
        <f>G40-F40</f>
        <v>-3771.7598710291786</v>
      </c>
      <c r="H43" s="197">
        <f t="shared" ref="H43:L43" si="11">H40-G40</f>
        <v>-15175.807046802234</v>
      </c>
      <c r="I43" s="197">
        <f t="shared" si="11"/>
        <v>4879.600854263088</v>
      </c>
      <c r="J43" s="197">
        <f t="shared" si="11"/>
        <v>-6857.8080534237015</v>
      </c>
      <c r="K43" s="197">
        <f t="shared" si="11"/>
        <v>3732.2819695006547</v>
      </c>
      <c r="L43" s="197">
        <f t="shared" si="11"/>
        <v>28280.954171234916</v>
      </c>
      <c r="M43" s="222">
        <f t="shared" ref="M43" si="12">M40-L40</f>
        <v>-17658.549610494549</v>
      </c>
      <c r="N43" s="222">
        <f>N40-M40</f>
        <v>-4920.6628483635868</v>
      </c>
      <c r="O43" s="222">
        <f>O40-N40</f>
        <v>-5286.2401406601857</v>
      </c>
      <c r="P43" s="222">
        <f t="shared" ref="P43" si="13">P40-O40</f>
        <v>-4414.6501712885074</v>
      </c>
      <c r="Q43" s="222">
        <f t="shared" ref="Q43" si="14">Q40-P40</f>
        <v>-3747.2511479925233</v>
      </c>
      <c r="R43" s="222">
        <f t="shared" ref="R43" si="15">R40-Q40</f>
        <v>-3238.9994511607219</v>
      </c>
      <c r="S43" s="222">
        <f t="shared" ref="S43" si="16">S40-R40</f>
        <v>-5217.4169421611659</v>
      </c>
      <c r="T43" s="222">
        <f t="shared" ref="T43" si="17">T40-S40</f>
        <v>-1859.6837755689849</v>
      </c>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row>
    <row r="44" spans="1:60" s="1" customFormat="1" x14ac:dyDescent="0.25">
      <c r="A44" s="339" t="s">
        <v>391</v>
      </c>
      <c r="B44" s="340"/>
      <c r="C44" s="340"/>
      <c r="D44" s="340"/>
      <c r="E44" s="341"/>
      <c r="F44" s="338">
        <f>F42-F43</f>
        <v>-72594.217976256448</v>
      </c>
      <c r="G44" s="338">
        <f t="shared" ref="G44:L44" si="18">G42-G43</f>
        <v>28899.379871029181</v>
      </c>
      <c r="H44" s="338">
        <f t="shared" si="18"/>
        <v>32813.602046802233</v>
      </c>
      <c r="I44" s="338">
        <f t="shared" si="18"/>
        <v>13261.525151236914</v>
      </c>
      <c r="J44" s="338">
        <f t="shared" si="18"/>
        <v>15272.3844604237</v>
      </c>
      <c r="K44" s="338">
        <f t="shared" si="18"/>
        <v>15114.555760999345</v>
      </c>
      <c r="L44" s="338">
        <f t="shared" si="18"/>
        <v>8074.7540277650842</v>
      </c>
      <c r="M44" s="516">
        <f t="shared" ref="M44:T44" si="19">M42-M43</f>
        <v>25372.745206166717</v>
      </c>
      <c r="N44" s="516">
        <f>N42-N43</f>
        <v>15236.515783026041</v>
      </c>
      <c r="O44" s="516">
        <f>O42-O43</f>
        <v>16943.236872579924</v>
      </c>
      <c r="P44" s="516">
        <f t="shared" si="19"/>
        <v>16840.326581927067</v>
      </c>
      <c r="Q44" s="516">
        <f t="shared" si="19"/>
        <v>16522.870806150346</v>
      </c>
      <c r="R44" s="516">
        <f t="shared" si="19"/>
        <v>15218.515782860228</v>
      </c>
      <c r="S44" s="516">
        <f t="shared" si="19"/>
        <v>15649.728888402926</v>
      </c>
      <c r="T44" s="516">
        <f t="shared" si="19"/>
        <v>12014.188699437185</v>
      </c>
    </row>
    <row r="45" spans="1:60" x14ac:dyDescent="0.25">
      <c r="A45" s="229" t="s">
        <v>392</v>
      </c>
      <c r="B45" s="2"/>
      <c r="C45" s="2"/>
      <c r="F45" s="133"/>
      <c r="G45" s="133"/>
      <c r="H45" s="133"/>
      <c r="I45" s="133"/>
      <c r="J45" s="133"/>
      <c r="K45" s="133"/>
      <c r="L45" s="133"/>
      <c r="M45" s="33"/>
      <c r="N45" s="33"/>
      <c r="O45" s="33"/>
      <c r="P45" s="33"/>
      <c r="Q45" s="33"/>
      <c r="R45" s="33"/>
      <c r="S45" s="33"/>
      <c r="T45" s="33"/>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row>
    <row r="46" spans="1:60" x14ac:dyDescent="0.25">
      <c r="A46" s="88" t="s">
        <v>375</v>
      </c>
      <c r="B46" s="11"/>
      <c r="C46" s="11"/>
      <c r="F46" s="133">
        <f>F23</f>
        <v>13270.32</v>
      </c>
      <c r="G46" s="133">
        <f t="shared" ref="G46:L46" si="20">G23</f>
        <v>25127.620000000003</v>
      </c>
      <c r="H46" s="133">
        <f t="shared" si="20"/>
        <v>17637.794999999998</v>
      </c>
      <c r="I46" s="133">
        <f t="shared" si="20"/>
        <v>18141.126005500002</v>
      </c>
      <c r="J46" s="133">
        <f t="shared" si="20"/>
        <v>8414.5764069999987</v>
      </c>
      <c r="K46" s="133">
        <f t="shared" si="20"/>
        <v>18846.837730499999</v>
      </c>
      <c r="L46" s="133">
        <f t="shared" si="20"/>
        <v>36355.708199000001</v>
      </c>
      <c r="M46" s="33">
        <f t="shared" ref="M46:T46" si="21">M23</f>
        <v>7714.1955956721695</v>
      </c>
      <c r="N46" s="33">
        <f t="shared" si="21"/>
        <v>10315.852934662455</v>
      </c>
      <c r="O46" s="33">
        <f t="shared" si="21"/>
        <v>11656.99673191974</v>
      </c>
      <c r="P46" s="33">
        <f t="shared" si="21"/>
        <v>12425.676410638558</v>
      </c>
      <c r="Q46" s="33">
        <f t="shared" si="21"/>
        <v>12775.619658157822</v>
      </c>
      <c r="R46" s="33">
        <f t="shared" si="21"/>
        <v>11979.516331699506</v>
      </c>
      <c r="S46" s="33">
        <f t="shared" si="21"/>
        <v>10432.31194624176</v>
      </c>
      <c r="T46" s="33">
        <f t="shared" si="21"/>
        <v>10154.5049238682</v>
      </c>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row>
    <row r="47" spans="1:60" x14ac:dyDescent="0.25">
      <c r="A47" s="88" t="s">
        <v>393</v>
      </c>
      <c r="B47" s="152"/>
      <c r="C47" s="152"/>
      <c r="D47" s="150"/>
      <c r="E47" s="151"/>
      <c r="F47" s="197"/>
      <c r="G47" s="197">
        <f>F40</f>
        <v>85864.537976256455</v>
      </c>
      <c r="H47" s="197">
        <f t="shared" ref="H47:L47" si="22">G40</f>
        <v>82092.778105227277</v>
      </c>
      <c r="I47" s="197">
        <f t="shared" si="22"/>
        <v>66916.971058425042</v>
      </c>
      <c r="J47" s="197">
        <f t="shared" si="22"/>
        <v>71796.57191268813</v>
      </c>
      <c r="K47" s="197">
        <f t="shared" si="22"/>
        <v>64938.763859264429</v>
      </c>
      <c r="L47" s="197">
        <f t="shared" si="22"/>
        <v>68671.045828765084</v>
      </c>
      <c r="M47" s="222">
        <f t="shared" ref="M47" si="23">L40</f>
        <v>96952</v>
      </c>
      <c r="N47" s="222">
        <f t="shared" ref="N47" si="24">M40</f>
        <v>79293.450389505451</v>
      </c>
      <c r="O47" s="222">
        <f t="shared" ref="O47" si="25">N40</f>
        <v>74372.787541141864</v>
      </c>
      <c r="P47" s="222">
        <f t="shared" ref="P47" si="26">O40</f>
        <v>69086.547400481679</v>
      </c>
      <c r="Q47" s="222">
        <f t="shared" ref="Q47" si="27">P40</f>
        <v>64671.897229193171</v>
      </c>
      <c r="R47" s="222">
        <f t="shared" ref="R47" si="28">Q40</f>
        <v>60924.646081200648</v>
      </c>
      <c r="S47" s="222">
        <f t="shared" ref="S47" si="29">R40</f>
        <v>57685.646630039926</v>
      </c>
      <c r="T47" s="222">
        <f t="shared" ref="T47" si="30">S40</f>
        <v>52468.22968787876</v>
      </c>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row>
    <row r="48" spans="1:60" s="1" customFormat="1" x14ac:dyDescent="0.25">
      <c r="A48" s="339" t="s">
        <v>394</v>
      </c>
      <c r="B48" s="342"/>
      <c r="C48" s="342"/>
      <c r="D48" s="342"/>
      <c r="E48" s="343"/>
      <c r="F48" s="513"/>
      <c r="G48" s="360">
        <f>G46/G47</f>
        <v>0.29264258088651657</v>
      </c>
      <c r="H48" s="360">
        <f t="shared" ref="H48:K48" si="31">H46/H47</f>
        <v>0.21485196879793386</v>
      </c>
      <c r="I48" s="360">
        <f t="shared" si="31"/>
        <v>0.27109903091191961</v>
      </c>
      <c r="J48" s="360">
        <f t="shared" si="31"/>
        <v>0.11720025319917741</v>
      </c>
      <c r="K48" s="360">
        <f t="shared" si="31"/>
        <v>0.29022476885061976</v>
      </c>
      <c r="L48" s="360">
        <f>L46/L47</f>
        <v>0.52941829791925554</v>
      </c>
      <c r="M48" s="342">
        <f t="shared" ref="M48:T48" si="32">M46/M47</f>
        <v>7.9567163087632745E-2</v>
      </c>
      <c r="N48" s="342">
        <f t="shared" si="32"/>
        <v>0.13009716293072002</v>
      </c>
      <c r="O48" s="342">
        <f>O46/O47</f>
        <v>0.15673739169008921</v>
      </c>
      <c r="P48" s="342">
        <f t="shared" si="32"/>
        <v>0.1798566707728099</v>
      </c>
      <c r="Q48" s="342">
        <f t="shared" si="32"/>
        <v>0.19754515029738223</v>
      </c>
      <c r="R48" s="342">
        <f t="shared" si="32"/>
        <v>0.19662841070480985</v>
      </c>
      <c r="S48" s="342">
        <f t="shared" si="32"/>
        <v>0.18084762078074915</v>
      </c>
      <c r="T48" s="342">
        <f t="shared" si="32"/>
        <v>0.19353625964273957</v>
      </c>
      <c r="U48" s="153"/>
      <c r="V48" s="153"/>
    </row>
    <row r="49" spans="1:60" s="9" customFormat="1" x14ac:dyDescent="0.25">
      <c r="A49" s="15" t="s">
        <v>395</v>
      </c>
      <c r="D49" s="19"/>
      <c r="E49" s="19"/>
      <c r="F49" s="191"/>
      <c r="G49" s="191"/>
      <c r="H49" s="191"/>
      <c r="I49" s="191"/>
      <c r="J49" s="191"/>
      <c r="K49" s="191"/>
      <c r="L49" s="191"/>
      <c r="M49" s="190"/>
      <c r="N49" s="190"/>
      <c r="O49" s="190"/>
      <c r="P49" s="190"/>
      <c r="Q49" s="190"/>
      <c r="R49" s="190"/>
      <c r="S49" s="190"/>
      <c r="T49" s="190"/>
    </row>
    <row r="50" spans="1:60" s="9" customFormat="1" x14ac:dyDescent="0.25">
      <c r="A50" s="113" t="s">
        <v>393</v>
      </c>
      <c r="D50" s="19"/>
      <c r="E50" s="19"/>
      <c r="F50" s="191"/>
      <c r="G50" s="191">
        <f>G47</f>
        <v>85864.537976256455</v>
      </c>
      <c r="H50" s="191">
        <f t="shared" ref="H50:K50" si="33">H47</f>
        <v>82092.778105227277</v>
      </c>
      <c r="I50" s="191">
        <f t="shared" si="33"/>
        <v>66916.971058425042</v>
      </c>
      <c r="J50" s="191">
        <f t="shared" si="33"/>
        <v>71796.57191268813</v>
      </c>
      <c r="K50" s="191">
        <f t="shared" si="33"/>
        <v>64938.763859264429</v>
      </c>
      <c r="L50" s="191">
        <f>L47</f>
        <v>68671.045828765084</v>
      </c>
      <c r="M50" s="190">
        <f t="shared" ref="M50:T50" si="34">M47</f>
        <v>96952</v>
      </c>
      <c r="N50" s="190">
        <f t="shared" si="34"/>
        <v>79293.450389505451</v>
      </c>
      <c r="O50" s="190">
        <f t="shared" si="34"/>
        <v>74372.787541141864</v>
      </c>
      <c r="P50" s="190">
        <f t="shared" si="34"/>
        <v>69086.547400481679</v>
      </c>
      <c r="Q50" s="190">
        <f t="shared" si="34"/>
        <v>64671.897229193171</v>
      </c>
      <c r="R50" s="190">
        <f t="shared" si="34"/>
        <v>60924.646081200648</v>
      </c>
      <c r="S50" s="190">
        <f t="shared" si="34"/>
        <v>57685.646630039926</v>
      </c>
      <c r="T50" s="190">
        <f t="shared" si="34"/>
        <v>52468.22968787876</v>
      </c>
    </row>
    <row r="51" spans="1:60" s="9" customFormat="1" x14ac:dyDescent="0.25">
      <c r="A51" s="113" t="s">
        <v>396</v>
      </c>
      <c r="B51" s="154">
        <f>B48-Inputs!$B$20</f>
        <v>-6.6833095489353081E-2</v>
      </c>
      <c r="C51" s="154">
        <f>C48-Inputs!$B$20</f>
        <v>-6.6833095489353081E-2</v>
      </c>
      <c r="D51" s="154">
        <f>D48-Inputs!$B$20</f>
        <v>-6.6833095489353081E-2</v>
      </c>
      <c r="E51" s="154">
        <f>E48-Inputs!$B$20</f>
        <v>-6.6833095489353081E-2</v>
      </c>
      <c r="F51" s="361">
        <f>F48-Inputs!$B$20</f>
        <v>-6.6833095489353081E-2</v>
      </c>
      <c r="G51" s="361">
        <f>G48-Inputs!$B$20</f>
        <v>0.2258094853971635</v>
      </c>
      <c r="H51" s="361">
        <f>H48-Inputs!$B$20</f>
        <v>0.14801887330858077</v>
      </c>
      <c r="I51" s="361">
        <f>I48-Inputs!$B$20</f>
        <v>0.20426593542256655</v>
      </c>
      <c r="J51" s="361">
        <f>J48-Inputs!$B$20</f>
        <v>5.0367157709824334E-2</v>
      </c>
      <c r="K51" s="361">
        <f>K48-Inputs!$B$20</f>
        <v>0.2233916733612667</v>
      </c>
      <c r="L51" s="361">
        <f>L48-Inputs!$B$20</f>
        <v>0.46258520242990248</v>
      </c>
      <c r="M51" s="154">
        <f>M48-Inputs!$B$20</f>
        <v>1.2734067598279664E-2</v>
      </c>
      <c r="N51" s="154">
        <f>N48-Inputs!$B$20</f>
        <v>6.3264067441366936E-2</v>
      </c>
      <c r="O51" s="154">
        <f>O48-Inputs!$B$20</f>
        <v>8.9904296200736131E-2</v>
      </c>
      <c r="P51" s="154">
        <f>P48-Inputs!$B$20</f>
        <v>0.11302357528345681</v>
      </c>
      <c r="Q51" s="154">
        <f>Q48-Inputs!$B$20</f>
        <v>0.13071205480802917</v>
      </c>
      <c r="R51" s="154">
        <f>R48-Inputs!$B$20</f>
        <v>0.12979531521545679</v>
      </c>
      <c r="S51" s="154">
        <f>S48-Inputs!$B$20</f>
        <v>0.11401452529139607</v>
      </c>
      <c r="T51" s="154">
        <f>T48-Inputs!$B$20</f>
        <v>0.1267031641533865</v>
      </c>
      <c r="U51" s="237"/>
      <c r="V51" s="237"/>
    </row>
    <row r="52" spans="1:60" s="114" customFormat="1" x14ac:dyDescent="0.25">
      <c r="A52" s="344" t="s">
        <v>397</v>
      </c>
      <c r="B52" s="211"/>
      <c r="C52" s="211"/>
      <c r="D52" s="211"/>
      <c r="E52" s="211"/>
      <c r="F52" s="514"/>
      <c r="G52" s="348">
        <f t="shared" ref="G52:K52" si="35">G50*G51</f>
        <v>19389.027134283671</v>
      </c>
      <c r="H52" s="348">
        <f t="shared" si="35"/>
        <v>12151.280521907069</v>
      </c>
      <c r="I52" s="348">
        <f t="shared" si="35"/>
        <v>13668.857688894004</v>
      </c>
      <c r="J52" s="348">
        <f t="shared" si="35"/>
        <v>3616.1892605511071</v>
      </c>
      <c r="K52" s="348">
        <f t="shared" si="35"/>
        <v>14506.77912453323</v>
      </c>
      <c r="L52" s="348">
        <f>L50*L51</f>
        <v>31766.209635772408</v>
      </c>
      <c r="M52" s="454">
        <f t="shared" ref="M52:T52" si="36">M50*M51</f>
        <v>1234.5933217884099</v>
      </c>
      <c r="N52" s="454">
        <f t="shared" si="36"/>
        <v>5016.4261931003566</v>
      </c>
      <c r="O52" s="454">
        <f t="shared" si="36"/>
        <v>6686.4331203732363</v>
      </c>
      <c r="P52" s="454">
        <f t="shared" si="36"/>
        <v>7808.4085911924485</v>
      </c>
      <c r="Q52" s="454">
        <f t="shared" si="36"/>
        <v>8453.3965751615269</v>
      </c>
      <c r="R52" s="454">
        <f t="shared" si="36"/>
        <v>7907.7336424995819</v>
      </c>
      <c r="S52" s="454">
        <f t="shared" si="36"/>
        <v>6577.0016166512232</v>
      </c>
      <c r="T52" s="454">
        <f t="shared" si="36"/>
        <v>6647.8907189808897</v>
      </c>
      <c r="U52" s="9"/>
      <c r="V52" s="9"/>
    </row>
    <row r="53" spans="1:60" s="16" customFormat="1" x14ac:dyDescent="0.25">
      <c r="D53" s="22"/>
      <c r="E53" s="23"/>
      <c r="F53" s="353"/>
      <c r="G53" s="353"/>
      <c r="H53" s="353"/>
      <c r="I53" s="353"/>
      <c r="J53" s="353"/>
      <c r="K53" s="353"/>
      <c r="L53" s="353"/>
      <c r="M53" s="22"/>
    </row>
    <row r="54" spans="1:60" x14ac:dyDescent="0.25">
      <c r="B54" s="2"/>
      <c r="C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row>
    <row r="55" spans="1:60" x14ac:dyDescent="0.25">
      <c r="B55" s="2"/>
      <c r="C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row>
    <row r="56" spans="1:60" x14ac:dyDescent="0.25">
      <c r="B56" s="2"/>
      <c r="C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row>
    <row r="57" spans="1:60" x14ac:dyDescent="0.25">
      <c r="B57" s="2"/>
      <c r="C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row>
    <row r="58" spans="1:60" x14ac:dyDescent="0.25">
      <c r="B58" s="2"/>
      <c r="C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row>
    <row r="59" spans="1:60" x14ac:dyDescent="0.25">
      <c r="B59" s="2"/>
      <c r="C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row>
    <row r="60" spans="1:60" x14ac:dyDescent="0.25">
      <c r="B60" s="2"/>
      <c r="C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row>
    <row r="61" spans="1:60" x14ac:dyDescent="0.25">
      <c r="B61" s="2"/>
      <c r="C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row>
    <row r="62" spans="1:60" x14ac:dyDescent="0.25">
      <c r="B62" s="2"/>
      <c r="C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row>
    <row r="63" spans="1:60" x14ac:dyDescent="0.25">
      <c r="B63" s="2"/>
      <c r="C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row>
    <row r="64" spans="1:60" x14ac:dyDescent="0.25">
      <c r="B64" s="2"/>
      <c r="C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row>
    <row r="65" spans="2:60" x14ac:dyDescent="0.25">
      <c r="B65" s="2"/>
      <c r="C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row>
    <row r="66" spans="2:60" x14ac:dyDescent="0.25">
      <c r="B66" s="2"/>
      <c r="C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row>
    <row r="67" spans="2:60" x14ac:dyDescent="0.25">
      <c r="B67" s="2"/>
      <c r="C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row>
    <row r="68" spans="2:60" x14ac:dyDescent="0.25">
      <c r="B68" s="2"/>
      <c r="C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row>
    <row r="69" spans="2:60" x14ac:dyDescent="0.25">
      <c r="B69" s="2"/>
      <c r="C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row>
    <row r="70" spans="2:60" x14ac:dyDescent="0.25">
      <c r="B70" s="2"/>
      <c r="C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row>
    <row r="71" spans="2:60" x14ac:dyDescent="0.25">
      <c r="B71" s="2"/>
      <c r="C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row>
    <row r="72" spans="2:60" x14ac:dyDescent="0.25">
      <c r="B72" s="2"/>
      <c r="C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row>
    <row r="73" spans="2:60" x14ac:dyDescent="0.25">
      <c r="B73" s="2"/>
      <c r="C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row>
    <row r="74" spans="2:60" x14ac:dyDescent="0.25">
      <c r="B74" s="2"/>
      <c r="C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row>
    <row r="75" spans="2:60" x14ac:dyDescent="0.25">
      <c r="B75" s="2"/>
      <c r="C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row>
    <row r="76" spans="2:60" x14ac:dyDescent="0.25">
      <c r="B76" s="2"/>
      <c r="C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row>
    <row r="77" spans="2:60" x14ac:dyDescent="0.25">
      <c r="B77" s="2"/>
      <c r="C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row>
    <row r="78" spans="2:60" x14ac:dyDescent="0.25">
      <c r="B78" s="2"/>
      <c r="C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row>
    <row r="79" spans="2:60" x14ac:dyDescent="0.25">
      <c r="B79" s="2"/>
      <c r="C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row>
    <row r="80" spans="2:60" x14ac:dyDescent="0.25">
      <c r="B80" s="2"/>
      <c r="C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row>
    <row r="81" spans="2:60" x14ac:dyDescent="0.25">
      <c r="B81" s="2"/>
      <c r="C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row>
    <row r="82" spans="2:60" x14ac:dyDescent="0.25">
      <c r="B82" s="2"/>
      <c r="C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row>
    <row r="83" spans="2:60" x14ac:dyDescent="0.25">
      <c r="B83" s="2"/>
      <c r="C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row>
    <row r="84" spans="2:60" x14ac:dyDescent="0.25">
      <c r="B84" s="2"/>
      <c r="C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row>
    <row r="85" spans="2:60" x14ac:dyDescent="0.25">
      <c r="B85" s="2"/>
      <c r="C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row>
    <row r="86" spans="2:60" x14ac:dyDescent="0.25">
      <c r="B86" s="2"/>
      <c r="C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row>
    <row r="87" spans="2:60" x14ac:dyDescent="0.25">
      <c r="B87" s="2"/>
      <c r="C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row>
    <row r="88" spans="2:60" x14ac:dyDescent="0.25">
      <c r="B88" s="2"/>
      <c r="C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row>
    <row r="89" spans="2:60" x14ac:dyDescent="0.25">
      <c r="B89" s="2"/>
      <c r="C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row>
    <row r="90" spans="2:60" x14ac:dyDescent="0.25">
      <c r="B90" s="2"/>
      <c r="C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row>
    <row r="91" spans="2:60" x14ac:dyDescent="0.25">
      <c r="B91" s="2"/>
      <c r="C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row>
    <row r="92" spans="2:60" x14ac:dyDescent="0.25">
      <c r="B92" s="2"/>
      <c r="C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row>
    <row r="93" spans="2:60" x14ac:dyDescent="0.25">
      <c r="B93" s="2"/>
      <c r="C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row>
    <row r="94" spans="2:60" x14ac:dyDescent="0.25">
      <c r="B94" s="2"/>
      <c r="C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row>
    <row r="95" spans="2:60" x14ac:dyDescent="0.25">
      <c r="B95" s="2"/>
      <c r="C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row>
    <row r="96" spans="2:60" x14ac:dyDescent="0.25">
      <c r="B96" s="2"/>
      <c r="C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row>
    <row r="97" spans="2:60" x14ac:dyDescent="0.25">
      <c r="B97" s="2"/>
      <c r="C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row>
    <row r="98" spans="2:60" x14ac:dyDescent="0.25">
      <c r="B98" s="2"/>
      <c r="C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row>
    <row r="99" spans="2:60" x14ac:dyDescent="0.25">
      <c r="B99" s="2"/>
      <c r="C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row>
    <row r="100" spans="2:60" x14ac:dyDescent="0.25">
      <c r="B100" s="2"/>
      <c r="C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row>
    <row r="101" spans="2:60" x14ac:dyDescent="0.25">
      <c r="B101" s="2"/>
      <c r="C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row>
    <row r="102" spans="2:60" x14ac:dyDescent="0.25">
      <c r="B102" s="2"/>
      <c r="C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row>
    <row r="103" spans="2:60" x14ac:dyDescent="0.25">
      <c r="B103" s="2"/>
      <c r="C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row>
    <row r="104" spans="2:60" x14ac:dyDescent="0.25">
      <c r="B104" s="2"/>
      <c r="C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row>
    <row r="105" spans="2:60" x14ac:dyDescent="0.25">
      <c r="B105" s="2"/>
      <c r="C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row>
    <row r="106" spans="2:60" x14ac:dyDescent="0.25">
      <c r="B106" s="2"/>
      <c r="C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row>
    <row r="107" spans="2:60" x14ac:dyDescent="0.25">
      <c r="B107" s="2"/>
      <c r="C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row>
    <row r="108" spans="2:60" x14ac:dyDescent="0.25">
      <c r="B108" s="2"/>
      <c r="C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row>
    <row r="109" spans="2:60" x14ac:dyDescent="0.25">
      <c r="B109" s="2"/>
      <c r="C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row>
    <row r="110" spans="2:60" x14ac:dyDescent="0.25">
      <c r="B110" s="2"/>
      <c r="C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row>
    <row r="111" spans="2:60" x14ac:dyDescent="0.25">
      <c r="B111" s="2"/>
      <c r="C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row>
    <row r="112" spans="2:60" x14ac:dyDescent="0.25">
      <c r="B112" s="2"/>
      <c r="C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row>
    <row r="113" spans="2:60" x14ac:dyDescent="0.25">
      <c r="B113" s="2"/>
      <c r="C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row>
    <row r="114" spans="2:60" x14ac:dyDescent="0.25">
      <c r="B114" s="2"/>
      <c r="C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row>
    <row r="115" spans="2:60" x14ac:dyDescent="0.25">
      <c r="B115" s="2"/>
      <c r="C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row>
    <row r="116" spans="2:60" x14ac:dyDescent="0.25">
      <c r="B116" s="2"/>
      <c r="C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row>
    <row r="117" spans="2:60" x14ac:dyDescent="0.25">
      <c r="B117" s="2"/>
      <c r="C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row>
    <row r="118" spans="2:60" x14ac:dyDescent="0.25">
      <c r="B118" s="2"/>
      <c r="C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row>
    <row r="119" spans="2:60" x14ac:dyDescent="0.25">
      <c r="B119" s="2"/>
      <c r="C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row>
    <row r="120" spans="2:60" x14ac:dyDescent="0.25">
      <c r="B120" s="2"/>
      <c r="C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row>
    <row r="121" spans="2:60" x14ac:dyDescent="0.25">
      <c r="B121" s="2"/>
      <c r="C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row>
    <row r="122" spans="2:60" x14ac:dyDescent="0.25">
      <c r="B122" s="2"/>
      <c r="C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row>
    <row r="123" spans="2:60" x14ac:dyDescent="0.25">
      <c r="B123" s="2"/>
      <c r="C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row>
    <row r="124" spans="2:60" x14ac:dyDescent="0.25">
      <c r="B124" s="2"/>
      <c r="C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row>
    <row r="125" spans="2:60" x14ac:dyDescent="0.25">
      <c r="B125" s="2"/>
      <c r="C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row>
    <row r="126" spans="2:60" x14ac:dyDescent="0.25">
      <c r="B126" s="2"/>
      <c r="C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row>
    <row r="127" spans="2:60" x14ac:dyDescent="0.25">
      <c r="B127" s="2"/>
      <c r="C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row>
    <row r="128" spans="2:60" x14ac:dyDescent="0.25">
      <c r="B128" s="2"/>
      <c r="C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row>
    <row r="129" spans="2:60" x14ac:dyDescent="0.25">
      <c r="B129" s="2"/>
      <c r="C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row>
    <row r="130" spans="2:60" x14ac:dyDescent="0.25">
      <c r="B130" s="2"/>
      <c r="C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row>
    <row r="131" spans="2:60" x14ac:dyDescent="0.25">
      <c r="B131" s="2"/>
      <c r="C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row>
    <row r="132" spans="2:60" x14ac:dyDescent="0.25">
      <c r="B132" s="2"/>
      <c r="C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row>
    <row r="133" spans="2:60" x14ac:dyDescent="0.25">
      <c r="B133" s="2"/>
      <c r="C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row>
    <row r="134" spans="2:60" x14ac:dyDescent="0.25">
      <c r="B134" s="2"/>
      <c r="C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row>
    <row r="135" spans="2:60" x14ac:dyDescent="0.25">
      <c r="B135" s="2"/>
      <c r="C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row>
    <row r="136" spans="2:60" x14ac:dyDescent="0.25">
      <c r="B136" s="2"/>
      <c r="C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row>
    <row r="137" spans="2:60" x14ac:dyDescent="0.25">
      <c r="B137" s="2"/>
      <c r="C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row>
    <row r="138" spans="2:60" x14ac:dyDescent="0.25">
      <c r="B138" s="2"/>
      <c r="C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row>
    <row r="139" spans="2:60" x14ac:dyDescent="0.25">
      <c r="B139" s="2"/>
      <c r="C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row>
    <row r="140" spans="2:60" x14ac:dyDescent="0.25">
      <c r="B140" s="2"/>
      <c r="C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row>
    <row r="141" spans="2:60" x14ac:dyDescent="0.25">
      <c r="B141" s="2"/>
      <c r="C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row>
    <row r="142" spans="2:60" x14ac:dyDescent="0.25">
      <c r="B142" s="2"/>
      <c r="C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row>
    <row r="143" spans="2:60" x14ac:dyDescent="0.25">
      <c r="B143" s="2"/>
      <c r="C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row>
    <row r="144" spans="2:60" x14ac:dyDescent="0.25">
      <c r="B144" s="2"/>
      <c r="C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row>
    <row r="145" spans="2:60" x14ac:dyDescent="0.25">
      <c r="B145" s="2"/>
      <c r="C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row>
    <row r="146" spans="2:60" x14ac:dyDescent="0.25">
      <c r="B146" s="2"/>
      <c r="C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row>
    <row r="147" spans="2:60" x14ac:dyDescent="0.25">
      <c r="B147" s="2"/>
      <c r="C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row>
    <row r="148" spans="2:60" x14ac:dyDescent="0.25">
      <c r="B148" s="2"/>
      <c r="C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row>
    <row r="149" spans="2:60" x14ac:dyDescent="0.25">
      <c r="B149" s="2"/>
      <c r="C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row>
    <row r="150" spans="2:60" x14ac:dyDescent="0.25">
      <c r="B150" s="2"/>
      <c r="C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row>
    <row r="151" spans="2:60" x14ac:dyDescent="0.25">
      <c r="B151" s="2"/>
      <c r="C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row>
    <row r="152" spans="2:60" x14ac:dyDescent="0.25">
      <c r="B152" s="2"/>
      <c r="C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row>
    <row r="153" spans="2:60" x14ac:dyDescent="0.25">
      <c r="B153" s="2"/>
      <c r="C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row>
    <row r="154" spans="2:60" x14ac:dyDescent="0.25">
      <c r="B154" s="2"/>
      <c r="C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row>
    <row r="155" spans="2:60" x14ac:dyDescent="0.25">
      <c r="B155" s="2"/>
      <c r="C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row>
    <row r="156" spans="2:60" x14ac:dyDescent="0.25">
      <c r="B156" s="2"/>
      <c r="C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row>
    <row r="157" spans="2:60" x14ac:dyDescent="0.25">
      <c r="B157" s="2"/>
      <c r="C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row>
    <row r="158" spans="2:60" x14ac:dyDescent="0.25">
      <c r="B158" s="2"/>
      <c r="C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row>
    <row r="159" spans="2:60" x14ac:dyDescent="0.25">
      <c r="B159" s="2"/>
      <c r="C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row>
    <row r="160" spans="2:60" x14ac:dyDescent="0.25">
      <c r="B160" s="2"/>
      <c r="C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row>
    <row r="161" spans="2:60" x14ac:dyDescent="0.25">
      <c r="B161" s="2"/>
      <c r="C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row>
    <row r="162" spans="2:60" x14ac:dyDescent="0.25">
      <c r="B162" s="2"/>
      <c r="C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row>
    <row r="163" spans="2:60" x14ac:dyDescent="0.25">
      <c r="B163" s="2"/>
      <c r="C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row>
    <row r="164" spans="2:60" x14ac:dyDescent="0.25">
      <c r="B164" s="2"/>
      <c r="C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row>
    <row r="165" spans="2:60" x14ac:dyDescent="0.25">
      <c r="B165" s="2"/>
      <c r="C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row>
    <row r="166" spans="2:60" x14ac:dyDescent="0.25">
      <c r="B166" s="2"/>
      <c r="C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row>
    <row r="167" spans="2:60" x14ac:dyDescent="0.25">
      <c r="B167" s="2"/>
      <c r="C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row>
    <row r="168" spans="2:60" x14ac:dyDescent="0.25">
      <c r="B168" s="2"/>
      <c r="C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row>
    <row r="169" spans="2:60" x14ac:dyDescent="0.25">
      <c r="B169" s="2"/>
      <c r="C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row>
    <row r="170" spans="2:60" x14ac:dyDescent="0.25">
      <c r="B170" s="2"/>
      <c r="C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row>
    <row r="171" spans="2:60" x14ac:dyDescent="0.25">
      <c r="B171" s="2"/>
      <c r="C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row>
    <row r="172" spans="2:60" x14ac:dyDescent="0.25">
      <c r="B172" s="2"/>
      <c r="C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row>
    <row r="173" spans="2:60" x14ac:dyDescent="0.25">
      <c r="B173" s="2"/>
      <c r="C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row>
    <row r="174" spans="2:60" x14ac:dyDescent="0.25">
      <c r="B174" s="2"/>
      <c r="C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row>
    <row r="175" spans="2:60" x14ac:dyDescent="0.25">
      <c r="B175" s="2"/>
      <c r="C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row>
    <row r="176" spans="2:60" x14ac:dyDescent="0.25">
      <c r="B176" s="2"/>
      <c r="C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row>
    <row r="177" spans="2:60" x14ac:dyDescent="0.25">
      <c r="B177" s="2"/>
      <c r="C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row>
    <row r="178" spans="2:60" x14ac:dyDescent="0.25">
      <c r="B178" s="2"/>
      <c r="C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row>
    <row r="179" spans="2:60" x14ac:dyDescent="0.25">
      <c r="B179" s="2"/>
      <c r="C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row>
    <row r="180" spans="2:60" x14ac:dyDescent="0.25">
      <c r="B180" s="2"/>
      <c r="C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row>
    <row r="181" spans="2:60" x14ac:dyDescent="0.25">
      <c r="B181" s="2"/>
      <c r="C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row>
    <row r="182" spans="2:60" x14ac:dyDescent="0.25">
      <c r="B182" s="2"/>
      <c r="C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row>
    <row r="183" spans="2:60" x14ac:dyDescent="0.25">
      <c r="B183" s="2"/>
      <c r="C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row>
    <row r="184" spans="2:60" x14ac:dyDescent="0.25">
      <c r="B184" s="2"/>
      <c r="C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row>
    <row r="185" spans="2:60" x14ac:dyDescent="0.25">
      <c r="B185" s="2"/>
      <c r="C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row>
    <row r="186" spans="2:60" x14ac:dyDescent="0.25">
      <c r="B186" s="2"/>
      <c r="C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row>
    <row r="187" spans="2:60" x14ac:dyDescent="0.25">
      <c r="B187" s="2"/>
      <c r="C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row>
    <row r="188" spans="2:60" x14ac:dyDescent="0.25">
      <c r="B188" s="2"/>
      <c r="C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row>
    <row r="189" spans="2:60" x14ac:dyDescent="0.25">
      <c r="B189" s="2"/>
      <c r="C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row>
    <row r="190" spans="2:60" x14ac:dyDescent="0.25">
      <c r="B190" s="2"/>
      <c r="C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row>
    <row r="191" spans="2:60" x14ac:dyDescent="0.25">
      <c r="B191" s="2"/>
      <c r="C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row>
    <row r="192" spans="2:60" x14ac:dyDescent="0.25">
      <c r="B192" s="2"/>
      <c r="C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row>
    <row r="193" spans="2:60" x14ac:dyDescent="0.25">
      <c r="B193" s="2"/>
      <c r="C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row>
    <row r="194" spans="2:60" x14ac:dyDescent="0.25">
      <c r="B194" s="2"/>
      <c r="C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row>
    <row r="195" spans="2:60" x14ac:dyDescent="0.25">
      <c r="B195" s="2"/>
      <c r="C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row>
    <row r="196" spans="2:60" x14ac:dyDescent="0.25">
      <c r="B196" s="2"/>
      <c r="C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row>
    <row r="197" spans="2:60" x14ac:dyDescent="0.25">
      <c r="B197" s="2"/>
      <c r="C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row>
    <row r="198" spans="2:60" x14ac:dyDescent="0.25">
      <c r="B198" s="2"/>
      <c r="C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row>
    <row r="199" spans="2:60" x14ac:dyDescent="0.25">
      <c r="B199" s="2"/>
      <c r="C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row>
    <row r="200" spans="2:60" x14ac:dyDescent="0.25">
      <c r="B200" s="2"/>
      <c r="C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row>
    <row r="201" spans="2:60" x14ac:dyDescent="0.25">
      <c r="B201" s="2"/>
      <c r="C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row>
    <row r="202" spans="2:60" x14ac:dyDescent="0.25">
      <c r="B202" s="2"/>
      <c r="C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row>
    <row r="203" spans="2:60" x14ac:dyDescent="0.25">
      <c r="B203" s="2"/>
      <c r="C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row>
    <row r="204" spans="2:60" x14ac:dyDescent="0.25">
      <c r="B204" s="2"/>
      <c r="C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row>
    <row r="205" spans="2:60" x14ac:dyDescent="0.25">
      <c r="B205" s="2"/>
      <c r="C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row>
    <row r="206" spans="2:60" x14ac:dyDescent="0.25">
      <c r="B206" s="2"/>
      <c r="C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row>
    <row r="207" spans="2:60" x14ac:dyDescent="0.25">
      <c r="B207" s="2"/>
      <c r="C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row>
    <row r="208" spans="2:60" x14ac:dyDescent="0.25">
      <c r="B208" s="2"/>
      <c r="C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row>
    <row r="209" spans="2:60" x14ac:dyDescent="0.25">
      <c r="B209" s="2"/>
      <c r="C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row>
    <row r="210" spans="2:60" x14ac:dyDescent="0.25">
      <c r="B210" s="2"/>
      <c r="C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row>
    <row r="211" spans="2:60" x14ac:dyDescent="0.25">
      <c r="B211" s="2"/>
      <c r="C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row>
    <row r="212" spans="2:60" x14ac:dyDescent="0.25">
      <c r="B212" s="2"/>
      <c r="C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row>
    <row r="213" spans="2:60" x14ac:dyDescent="0.25">
      <c r="B213" s="2"/>
      <c r="C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row>
    <row r="214" spans="2:60" x14ac:dyDescent="0.25">
      <c r="B214" s="2"/>
      <c r="C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row>
    <row r="215" spans="2:60" x14ac:dyDescent="0.25">
      <c r="B215" s="2"/>
      <c r="C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row>
    <row r="216" spans="2:60" x14ac:dyDescent="0.25">
      <c r="B216" s="2"/>
      <c r="C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row>
    <row r="217" spans="2:60" x14ac:dyDescent="0.25">
      <c r="B217" s="2"/>
      <c r="C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row>
    <row r="218" spans="2:60" x14ac:dyDescent="0.25">
      <c r="B218" s="2"/>
      <c r="C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row>
    <row r="219" spans="2:60" x14ac:dyDescent="0.25">
      <c r="B219" s="2"/>
      <c r="C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row>
    <row r="220" spans="2:60" x14ac:dyDescent="0.25">
      <c r="B220" s="2"/>
      <c r="C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row>
    <row r="221" spans="2:60" x14ac:dyDescent="0.25">
      <c r="B221" s="2"/>
      <c r="C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row>
    <row r="222" spans="2:60" x14ac:dyDescent="0.25">
      <c r="B222" s="2"/>
      <c r="C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row>
    <row r="223" spans="2:60" x14ac:dyDescent="0.25">
      <c r="B223" s="2"/>
      <c r="C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row>
    <row r="224" spans="2:60" x14ac:dyDescent="0.25">
      <c r="B224" s="2"/>
      <c r="C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row>
    <row r="225" spans="2:60" x14ac:dyDescent="0.25">
      <c r="B225" s="2"/>
      <c r="C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row>
    <row r="226" spans="2:60" x14ac:dyDescent="0.25">
      <c r="B226" s="2"/>
      <c r="C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row>
    <row r="227" spans="2:60" x14ac:dyDescent="0.25">
      <c r="B227" s="2"/>
      <c r="C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row>
    <row r="228" spans="2:60" x14ac:dyDescent="0.25">
      <c r="B228" s="2"/>
      <c r="C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row>
    <row r="229" spans="2:60" x14ac:dyDescent="0.25">
      <c r="B229" s="2"/>
      <c r="C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row>
    <row r="230" spans="2:60" x14ac:dyDescent="0.25">
      <c r="B230" s="2"/>
      <c r="C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row>
    <row r="231" spans="2:60" x14ac:dyDescent="0.25">
      <c r="B231" s="2"/>
      <c r="C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row>
    <row r="232" spans="2:60" x14ac:dyDescent="0.25">
      <c r="B232" s="2"/>
      <c r="C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row>
    <row r="233" spans="2:60" x14ac:dyDescent="0.25">
      <c r="B233" s="2"/>
      <c r="C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row>
    <row r="234" spans="2:60" x14ac:dyDescent="0.25">
      <c r="B234" s="2"/>
      <c r="C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row>
    <row r="235" spans="2:60" x14ac:dyDescent="0.25">
      <c r="B235" s="2"/>
      <c r="C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row>
    <row r="236" spans="2:60" x14ac:dyDescent="0.25">
      <c r="B236" s="2"/>
      <c r="C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row>
    <row r="237" spans="2:60" x14ac:dyDescent="0.25">
      <c r="B237" s="2"/>
      <c r="C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row>
    <row r="238" spans="2:60" x14ac:dyDescent="0.25">
      <c r="B238" s="2"/>
      <c r="C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row>
    <row r="239" spans="2:60" x14ac:dyDescent="0.25">
      <c r="B239" s="2"/>
      <c r="C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row>
    <row r="240" spans="2:60" x14ac:dyDescent="0.25">
      <c r="B240" s="2"/>
      <c r="C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row>
    <row r="241" spans="2:60" x14ac:dyDescent="0.25">
      <c r="B241" s="2"/>
      <c r="C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row>
    <row r="242" spans="2:60" x14ac:dyDescent="0.25">
      <c r="B242" s="2"/>
      <c r="C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row>
    <row r="243" spans="2:60" x14ac:dyDescent="0.25">
      <c r="B243" s="2"/>
      <c r="C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row>
    <row r="244" spans="2:60" x14ac:dyDescent="0.25">
      <c r="B244" s="2"/>
      <c r="C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row>
    <row r="245" spans="2:60" x14ac:dyDescent="0.25">
      <c r="B245" s="2"/>
      <c r="C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row>
    <row r="246" spans="2:60" x14ac:dyDescent="0.25">
      <c r="B246" s="2"/>
      <c r="C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row>
    <row r="247" spans="2:60" x14ac:dyDescent="0.25">
      <c r="B247" s="2"/>
      <c r="C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row>
    <row r="248" spans="2:60" x14ac:dyDescent="0.25">
      <c r="B248" s="2"/>
      <c r="C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row>
    <row r="249" spans="2:60" x14ac:dyDescent="0.25">
      <c r="B249" s="2"/>
      <c r="C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row>
    <row r="250" spans="2:60" x14ac:dyDescent="0.25">
      <c r="B250" s="2"/>
      <c r="C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row>
    <row r="251" spans="2:60" x14ac:dyDescent="0.25">
      <c r="B251" s="2"/>
      <c r="C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row>
    <row r="252" spans="2:60" x14ac:dyDescent="0.25">
      <c r="B252" s="2"/>
      <c r="C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row>
    <row r="253" spans="2:60" x14ac:dyDescent="0.25">
      <c r="B253" s="2"/>
      <c r="C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row>
    <row r="254" spans="2:60" x14ac:dyDescent="0.25">
      <c r="B254" s="2"/>
      <c r="C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row>
    <row r="255" spans="2:60" x14ac:dyDescent="0.25">
      <c r="B255" s="2"/>
      <c r="C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row>
    <row r="256" spans="2:60" x14ac:dyDescent="0.25">
      <c r="B256" s="2"/>
      <c r="C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row>
    <row r="257" spans="2:60" x14ac:dyDescent="0.25">
      <c r="B257" s="2"/>
      <c r="C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row>
    <row r="258" spans="2:60" x14ac:dyDescent="0.25">
      <c r="B258" s="2"/>
      <c r="C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row>
    <row r="259" spans="2:60" x14ac:dyDescent="0.25">
      <c r="B259" s="2"/>
      <c r="C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row>
    <row r="260" spans="2:60" x14ac:dyDescent="0.25">
      <c r="B260" s="2"/>
      <c r="C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row>
    <row r="261" spans="2:60" x14ac:dyDescent="0.25">
      <c r="B261" s="2"/>
      <c r="C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row>
    <row r="262" spans="2:60" x14ac:dyDescent="0.25">
      <c r="B262" s="2"/>
      <c r="C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row>
    <row r="263" spans="2:60" x14ac:dyDescent="0.25">
      <c r="B263" s="2"/>
      <c r="C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row>
    <row r="264" spans="2:60" x14ac:dyDescent="0.25">
      <c r="B264" s="2"/>
      <c r="C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row>
    <row r="265" spans="2:60" x14ac:dyDescent="0.25">
      <c r="B265" s="2"/>
      <c r="C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row>
    <row r="266" spans="2:60" x14ac:dyDescent="0.25">
      <c r="B266" s="2"/>
      <c r="C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row>
    <row r="267" spans="2:60" x14ac:dyDescent="0.25">
      <c r="B267" s="2"/>
      <c r="C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row>
    <row r="268" spans="2:60" x14ac:dyDescent="0.25">
      <c r="B268" s="2"/>
      <c r="C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row>
    <row r="269" spans="2:60" x14ac:dyDescent="0.25">
      <c r="B269" s="2"/>
      <c r="C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row>
    <row r="270" spans="2:60" x14ac:dyDescent="0.25">
      <c r="B270" s="2"/>
      <c r="C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row>
    <row r="271" spans="2:60" x14ac:dyDescent="0.25">
      <c r="B271" s="2"/>
      <c r="C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row>
    <row r="272" spans="2:60" x14ac:dyDescent="0.25">
      <c r="B272" s="2"/>
      <c r="C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row>
    <row r="273" spans="2:60" x14ac:dyDescent="0.25">
      <c r="B273" s="2"/>
      <c r="C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row>
    <row r="274" spans="2:60" x14ac:dyDescent="0.25">
      <c r="B274" s="2"/>
      <c r="C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row>
    <row r="275" spans="2:60" x14ac:dyDescent="0.25">
      <c r="B275" s="2"/>
      <c r="C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row>
    <row r="276" spans="2:60" x14ac:dyDescent="0.25">
      <c r="B276" s="2"/>
      <c r="C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row>
    <row r="277" spans="2:60" x14ac:dyDescent="0.25">
      <c r="B277" s="2"/>
      <c r="C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row>
    <row r="278" spans="2:60" x14ac:dyDescent="0.25">
      <c r="B278" s="2"/>
      <c r="C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row>
    <row r="279" spans="2:60" x14ac:dyDescent="0.25">
      <c r="B279" s="2"/>
      <c r="C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row>
    <row r="280" spans="2:60" x14ac:dyDescent="0.25">
      <c r="B280" s="2"/>
      <c r="C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row>
    <row r="281" spans="2:60" x14ac:dyDescent="0.25">
      <c r="B281" s="2"/>
      <c r="C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row>
    <row r="282" spans="2:60" x14ac:dyDescent="0.25">
      <c r="B282" s="2"/>
      <c r="C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row>
    <row r="283" spans="2:60" x14ac:dyDescent="0.25">
      <c r="B283" s="2"/>
      <c r="C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row>
    <row r="284" spans="2:60" x14ac:dyDescent="0.25">
      <c r="B284" s="2"/>
      <c r="C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row>
    <row r="285" spans="2:60" x14ac:dyDescent="0.25">
      <c r="B285" s="2"/>
      <c r="C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row>
    <row r="286" spans="2:60" x14ac:dyDescent="0.25">
      <c r="B286" s="2"/>
      <c r="C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row>
    <row r="287" spans="2:60" x14ac:dyDescent="0.25">
      <c r="B287" s="2"/>
      <c r="C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row>
    <row r="288" spans="2:60" x14ac:dyDescent="0.25">
      <c r="B288" s="2"/>
      <c r="C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row>
    <row r="289" spans="2:60" x14ac:dyDescent="0.25">
      <c r="B289" s="2"/>
      <c r="C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row>
    <row r="290" spans="2:60" x14ac:dyDescent="0.25">
      <c r="B290" s="2"/>
      <c r="C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row>
    <row r="291" spans="2:60" x14ac:dyDescent="0.25">
      <c r="B291" s="2"/>
      <c r="C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row>
    <row r="292" spans="2:60" x14ac:dyDescent="0.25">
      <c r="B292" s="2"/>
      <c r="C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row>
    <row r="293" spans="2:60" x14ac:dyDescent="0.25">
      <c r="B293" s="2"/>
      <c r="C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row>
    <row r="294" spans="2:60" x14ac:dyDescent="0.25">
      <c r="B294" s="2"/>
      <c r="C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row>
    <row r="295" spans="2:60" x14ac:dyDescent="0.25">
      <c r="B295" s="2"/>
      <c r="C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row>
    <row r="296" spans="2:60" x14ac:dyDescent="0.25">
      <c r="B296" s="2"/>
      <c r="C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row>
    <row r="297" spans="2:60" x14ac:dyDescent="0.25">
      <c r="B297" s="2"/>
      <c r="C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row>
    <row r="298" spans="2:60" x14ac:dyDescent="0.25">
      <c r="B298" s="2"/>
      <c r="C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row>
    <row r="299" spans="2:60" x14ac:dyDescent="0.25">
      <c r="B299" s="2"/>
      <c r="C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row>
    <row r="300" spans="2:60" x14ac:dyDescent="0.25">
      <c r="B300" s="2"/>
      <c r="C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row>
    <row r="301" spans="2:60" x14ac:dyDescent="0.25">
      <c r="B301" s="2"/>
      <c r="C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row>
    <row r="302" spans="2:60" x14ac:dyDescent="0.25">
      <c r="B302" s="2"/>
      <c r="C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row>
    <row r="303" spans="2:60" x14ac:dyDescent="0.25">
      <c r="B303" s="2"/>
      <c r="C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row>
    <row r="304" spans="2:60" x14ac:dyDescent="0.25">
      <c r="B304" s="2"/>
      <c r="C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row>
    <row r="305" spans="2:60" x14ac:dyDescent="0.25">
      <c r="B305" s="2"/>
      <c r="C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row>
    <row r="306" spans="2:60" x14ac:dyDescent="0.25">
      <c r="B306" s="2"/>
      <c r="C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row>
    <row r="307" spans="2:60" x14ac:dyDescent="0.25">
      <c r="B307" s="2"/>
      <c r="C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row>
    <row r="308" spans="2:60" x14ac:dyDescent="0.25">
      <c r="B308" s="2"/>
      <c r="C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row>
    <row r="309" spans="2:60" x14ac:dyDescent="0.25">
      <c r="B309" s="2"/>
      <c r="C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row>
    <row r="310" spans="2:60" x14ac:dyDescent="0.25">
      <c r="B310" s="2"/>
      <c r="C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row>
    <row r="311" spans="2:60" x14ac:dyDescent="0.25">
      <c r="B311" s="2"/>
      <c r="C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row>
    <row r="312" spans="2:60" x14ac:dyDescent="0.25">
      <c r="B312" s="2"/>
      <c r="C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row>
    <row r="313" spans="2:60" x14ac:dyDescent="0.25">
      <c r="B313" s="2"/>
      <c r="C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row>
    <row r="314" spans="2:60" x14ac:dyDescent="0.25">
      <c r="B314" s="2"/>
      <c r="C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row>
    <row r="315" spans="2:60" x14ac:dyDescent="0.25">
      <c r="B315" s="2"/>
      <c r="C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row>
    <row r="316" spans="2:60" x14ac:dyDescent="0.25">
      <c r="B316" s="2"/>
      <c r="C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row>
    <row r="317" spans="2:60" x14ac:dyDescent="0.25">
      <c r="B317" s="2"/>
      <c r="C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row>
    <row r="318" spans="2:60" x14ac:dyDescent="0.25">
      <c r="B318" s="2"/>
      <c r="C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row>
    <row r="319" spans="2:60" x14ac:dyDescent="0.25">
      <c r="B319" s="2"/>
      <c r="C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row>
    <row r="320" spans="2:60" x14ac:dyDescent="0.25">
      <c r="B320" s="2"/>
      <c r="C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row>
    <row r="321" spans="2:60" x14ac:dyDescent="0.25">
      <c r="B321" s="2"/>
      <c r="C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row>
    <row r="322" spans="2:60" x14ac:dyDescent="0.25">
      <c r="B322" s="2"/>
      <c r="C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row>
    <row r="323" spans="2:60" x14ac:dyDescent="0.25">
      <c r="B323" s="2"/>
      <c r="C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row>
    <row r="324" spans="2:60" x14ac:dyDescent="0.25">
      <c r="B324" s="2"/>
      <c r="C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row>
    <row r="325" spans="2:60" x14ac:dyDescent="0.25">
      <c r="B325" s="2"/>
      <c r="C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row>
    <row r="326" spans="2:60" x14ac:dyDescent="0.25">
      <c r="B326" s="2"/>
      <c r="C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row>
    <row r="327" spans="2:60" x14ac:dyDescent="0.25">
      <c r="B327" s="2"/>
      <c r="C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row>
    <row r="328" spans="2:60" x14ac:dyDescent="0.25">
      <c r="B328" s="2"/>
      <c r="C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row>
    <row r="329" spans="2:60" x14ac:dyDescent="0.25">
      <c r="B329" s="2"/>
      <c r="C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row>
    <row r="330" spans="2:60" x14ac:dyDescent="0.25">
      <c r="B330" s="2"/>
      <c r="C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row>
    <row r="331" spans="2:60" x14ac:dyDescent="0.25">
      <c r="B331" s="2"/>
      <c r="C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row>
    <row r="332" spans="2:60" x14ac:dyDescent="0.25">
      <c r="B332" s="2"/>
      <c r="C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row>
    <row r="333" spans="2:60" x14ac:dyDescent="0.25">
      <c r="B333" s="2"/>
      <c r="C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row>
    <row r="334" spans="2:60" x14ac:dyDescent="0.25">
      <c r="B334" s="2"/>
      <c r="C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row>
    <row r="335" spans="2:60" x14ac:dyDescent="0.25">
      <c r="B335" s="2"/>
      <c r="C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row>
    <row r="336" spans="2:60" x14ac:dyDescent="0.25">
      <c r="B336" s="2"/>
      <c r="C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row>
    <row r="337" spans="2:60" x14ac:dyDescent="0.25">
      <c r="B337" s="2"/>
      <c r="C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row>
    <row r="338" spans="2:60" x14ac:dyDescent="0.25">
      <c r="B338" s="2"/>
      <c r="C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row>
    <row r="339" spans="2:60" x14ac:dyDescent="0.25">
      <c r="B339" s="2"/>
      <c r="C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row>
    <row r="340" spans="2:60" x14ac:dyDescent="0.25">
      <c r="B340" s="2"/>
      <c r="C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row>
    <row r="341" spans="2:60" x14ac:dyDescent="0.25">
      <c r="B341" s="2"/>
      <c r="C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row>
    <row r="342" spans="2:60" x14ac:dyDescent="0.25">
      <c r="B342" s="2"/>
      <c r="C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row>
    <row r="343" spans="2:60" x14ac:dyDescent="0.25">
      <c r="B343" s="2"/>
      <c r="C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row>
    <row r="344" spans="2:60" x14ac:dyDescent="0.25">
      <c r="B344" s="2"/>
      <c r="C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row>
    <row r="345" spans="2:60" x14ac:dyDescent="0.25">
      <c r="B345" s="2"/>
      <c r="C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row>
    <row r="346" spans="2:60" x14ac:dyDescent="0.25">
      <c r="B346" s="2"/>
      <c r="C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row>
    <row r="347" spans="2:60" x14ac:dyDescent="0.25">
      <c r="B347" s="2"/>
      <c r="C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row>
    <row r="348" spans="2:60" x14ac:dyDescent="0.25">
      <c r="B348" s="2"/>
      <c r="C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row>
    <row r="349" spans="2:60" x14ac:dyDescent="0.25">
      <c r="B349" s="2"/>
      <c r="C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row>
    <row r="350" spans="2:60" x14ac:dyDescent="0.25">
      <c r="B350" s="2"/>
      <c r="C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row>
    <row r="351" spans="2:60" x14ac:dyDescent="0.25">
      <c r="B351" s="2"/>
      <c r="C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row>
    <row r="352" spans="2:60" x14ac:dyDescent="0.25">
      <c r="B352" s="2"/>
      <c r="C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row>
    <row r="353" spans="2:60" x14ac:dyDescent="0.25">
      <c r="B353" s="2"/>
      <c r="C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row>
    <row r="354" spans="2:60" x14ac:dyDescent="0.25">
      <c r="B354" s="2"/>
      <c r="C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row>
    <row r="355" spans="2:60" x14ac:dyDescent="0.25">
      <c r="B355" s="2"/>
      <c r="C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row>
    <row r="356" spans="2:60" x14ac:dyDescent="0.25">
      <c r="B356" s="2"/>
      <c r="C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row>
    <row r="357" spans="2:60" x14ac:dyDescent="0.25">
      <c r="B357" s="2"/>
      <c r="C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row>
    <row r="358" spans="2:60" x14ac:dyDescent="0.25">
      <c r="B358" s="2"/>
      <c r="C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row>
    <row r="359" spans="2:60" x14ac:dyDescent="0.25">
      <c r="B359" s="2"/>
      <c r="C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row>
    <row r="360" spans="2:60" x14ac:dyDescent="0.25">
      <c r="B360" s="2"/>
      <c r="C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row>
    <row r="361" spans="2:60" x14ac:dyDescent="0.25">
      <c r="B361" s="2"/>
      <c r="C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row>
    <row r="362" spans="2:60" x14ac:dyDescent="0.25">
      <c r="B362" s="2"/>
      <c r="C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row>
    <row r="363" spans="2:60" x14ac:dyDescent="0.25">
      <c r="B363" s="2"/>
      <c r="C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row>
    <row r="364" spans="2:60" x14ac:dyDescent="0.25">
      <c r="B364" s="2"/>
      <c r="C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row>
    <row r="365" spans="2:60" x14ac:dyDescent="0.25">
      <c r="B365" s="2"/>
      <c r="C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row>
    <row r="366" spans="2:60" x14ac:dyDescent="0.25">
      <c r="B366" s="2"/>
      <c r="C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row>
    <row r="367" spans="2:60" x14ac:dyDescent="0.25">
      <c r="B367" s="2"/>
      <c r="C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row>
    <row r="368" spans="2:60" x14ac:dyDescent="0.25">
      <c r="B368" s="2"/>
      <c r="C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row>
    <row r="369" spans="2:60" x14ac:dyDescent="0.25">
      <c r="B369" s="2"/>
      <c r="C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row>
    <row r="370" spans="2:60" x14ac:dyDescent="0.25">
      <c r="B370" s="2"/>
      <c r="C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row>
    <row r="371" spans="2:60" x14ac:dyDescent="0.25">
      <c r="B371" s="2"/>
      <c r="C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row>
    <row r="372" spans="2:60" x14ac:dyDescent="0.25">
      <c r="B372" s="2"/>
      <c r="C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row>
    <row r="373" spans="2:60" x14ac:dyDescent="0.25">
      <c r="B373" s="2"/>
      <c r="C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row>
    <row r="374" spans="2:60" x14ac:dyDescent="0.25">
      <c r="B374" s="2"/>
      <c r="C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row>
    <row r="375" spans="2:60" x14ac:dyDescent="0.25">
      <c r="B375" s="2"/>
      <c r="C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row>
    <row r="376" spans="2:60" x14ac:dyDescent="0.25">
      <c r="B376" s="2"/>
      <c r="C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row>
    <row r="377" spans="2:60" x14ac:dyDescent="0.25">
      <c r="B377" s="2"/>
      <c r="C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row>
    <row r="378" spans="2:60" x14ac:dyDescent="0.25">
      <c r="B378" s="2"/>
      <c r="C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row>
    <row r="379" spans="2:60" x14ac:dyDescent="0.25">
      <c r="B379" s="2"/>
      <c r="C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row>
    <row r="380" spans="2:60" x14ac:dyDescent="0.25">
      <c r="B380" s="2"/>
      <c r="C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row>
    <row r="381" spans="2:60" x14ac:dyDescent="0.25">
      <c r="B381" s="2"/>
      <c r="C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row>
    <row r="382" spans="2:60" x14ac:dyDescent="0.25">
      <c r="B382" s="2"/>
      <c r="C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row>
    <row r="383" spans="2:60" x14ac:dyDescent="0.25">
      <c r="B383" s="2"/>
      <c r="C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row>
    <row r="384" spans="2:60" x14ac:dyDescent="0.25">
      <c r="B384" s="2"/>
      <c r="C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row>
    <row r="385" spans="2:60" x14ac:dyDescent="0.25">
      <c r="B385" s="2"/>
      <c r="C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row>
    <row r="386" spans="2:60" x14ac:dyDescent="0.25">
      <c r="B386" s="2"/>
      <c r="C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row>
    <row r="387" spans="2:60" x14ac:dyDescent="0.25">
      <c r="B387" s="2"/>
      <c r="C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row>
    <row r="388" spans="2:60" x14ac:dyDescent="0.25">
      <c r="B388" s="2"/>
      <c r="C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row>
    <row r="389" spans="2:60" x14ac:dyDescent="0.25">
      <c r="B389" s="2"/>
      <c r="C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row>
    <row r="390" spans="2:60" x14ac:dyDescent="0.25">
      <c r="B390" s="2"/>
      <c r="C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row>
    <row r="391" spans="2:60" x14ac:dyDescent="0.25">
      <c r="B391" s="2"/>
      <c r="C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row>
    <row r="392" spans="2:60" x14ac:dyDescent="0.25">
      <c r="B392" s="2"/>
      <c r="C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row>
    <row r="393" spans="2:60" x14ac:dyDescent="0.25">
      <c r="B393" s="2"/>
      <c r="C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row>
    <row r="394" spans="2:60" x14ac:dyDescent="0.25">
      <c r="B394" s="2"/>
      <c r="C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row>
    <row r="395" spans="2:60" x14ac:dyDescent="0.25">
      <c r="B395" s="2"/>
      <c r="C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row>
    <row r="396" spans="2:60" x14ac:dyDescent="0.25">
      <c r="B396" s="2"/>
      <c r="C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row>
    <row r="397" spans="2:60" x14ac:dyDescent="0.25">
      <c r="B397" s="2"/>
      <c r="C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row>
    <row r="398" spans="2:60" x14ac:dyDescent="0.25">
      <c r="B398" s="2"/>
      <c r="C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row>
    <row r="399" spans="2:60" x14ac:dyDescent="0.25">
      <c r="B399" s="2"/>
      <c r="C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row>
    <row r="400" spans="2:60" x14ac:dyDescent="0.25">
      <c r="B400" s="2"/>
      <c r="C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row>
    <row r="401" spans="2:60" x14ac:dyDescent="0.25">
      <c r="B401" s="2"/>
      <c r="C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row>
    <row r="402" spans="2:60" x14ac:dyDescent="0.25">
      <c r="B402" s="2"/>
      <c r="C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row>
    <row r="403" spans="2:60" x14ac:dyDescent="0.25">
      <c r="B403" s="2"/>
      <c r="C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row>
    <row r="404" spans="2:60" x14ac:dyDescent="0.25">
      <c r="B404" s="2"/>
      <c r="C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row>
    <row r="405" spans="2:60" x14ac:dyDescent="0.25">
      <c r="B405" s="2"/>
      <c r="C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row>
    <row r="406" spans="2:60" x14ac:dyDescent="0.25">
      <c r="B406" s="2"/>
      <c r="C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row>
    <row r="407" spans="2:60" x14ac:dyDescent="0.25">
      <c r="B407" s="2"/>
      <c r="C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row>
    <row r="408" spans="2:60" x14ac:dyDescent="0.25">
      <c r="B408" s="2"/>
      <c r="C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row>
    <row r="409" spans="2:60" x14ac:dyDescent="0.25">
      <c r="B409" s="2"/>
      <c r="C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row>
    <row r="410" spans="2:60" x14ac:dyDescent="0.25">
      <c r="B410" s="2"/>
      <c r="C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row>
    <row r="411" spans="2:60" x14ac:dyDescent="0.25">
      <c r="B411" s="2"/>
      <c r="C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row>
    <row r="412" spans="2:60" x14ac:dyDescent="0.25">
      <c r="B412" s="2"/>
      <c r="C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row>
    <row r="413" spans="2:60" x14ac:dyDescent="0.25">
      <c r="B413" s="2"/>
      <c r="C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row>
    <row r="414" spans="2:60" x14ac:dyDescent="0.25">
      <c r="B414" s="2"/>
      <c r="C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row>
    <row r="415" spans="2:60" x14ac:dyDescent="0.25">
      <c r="B415" s="2"/>
      <c r="C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row>
    <row r="416" spans="2:60" x14ac:dyDescent="0.25">
      <c r="B416" s="2"/>
      <c r="C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row>
    <row r="417" spans="2:60" x14ac:dyDescent="0.25">
      <c r="B417" s="2"/>
      <c r="C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row>
    <row r="418" spans="2:60" x14ac:dyDescent="0.25">
      <c r="B418" s="2"/>
      <c r="C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row>
    <row r="419" spans="2:60" x14ac:dyDescent="0.25">
      <c r="B419" s="2"/>
      <c r="C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row>
    <row r="420" spans="2:60" x14ac:dyDescent="0.25">
      <c r="B420" s="2"/>
      <c r="C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row>
    <row r="421" spans="2:60" x14ac:dyDescent="0.25">
      <c r="B421" s="2"/>
      <c r="C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row>
    <row r="422" spans="2:60" x14ac:dyDescent="0.25">
      <c r="B422" s="2"/>
      <c r="C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row>
    <row r="423" spans="2:60" x14ac:dyDescent="0.25">
      <c r="B423" s="2"/>
      <c r="C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row>
    <row r="424" spans="2:60" x14ac:dyDescent="0.25">
      <c r="B424" s="2"/>
      <c r="C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row>
    <row r="425" spans="2:60" x14ac:dyDescent="0.25">
      <c r="B425" s="2"/>
      <c r="C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row>
    <row r="426" spans="2:60" x14ac:dyDescent="0.25">
      <c r="B426" s="2"/>
      <c r="C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row>
    <row r="427" spans="2:60" x14ac:dyDescent="0.25">
      <c r="B427" s="2"/>
      <c r="C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row>
    <row r="428" spans="2:60" x14ac:dyDescent="0.25">
      <c r="B428" s="2"/>
      <c r="C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row>
    <row r="429" spans="2:60" x14ac:dyDescent="0.25">
      <c r="B429" s="2"/>
      <c r="C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row>
    <row r="430" spans="2:60" x14ac:dyDescent="0.25">
      <c r="B430" s="2"/>
      <c r="C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row>
    <row r="431" spans="2:60" x14ac:dyDescent="0.25">
      <c r="B431" s="2"/>
      <c r="C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row>
    <row r="432" spans="2:60" x14ac:dyDescent="0.25">
      <c r="B432" s="2"/>
      <c r="C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row>
    <row r="433" spans="2:60" x14ac:dyDescent="0.25">
      <c r="B433" s="2"/>
      <c r="C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row>
    <row r="434" spans="2:60" x14ac:dyDescent="0.25">
      <c r="B434" s="2"/>
      <c r="C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row>
    <row r="435" spans="2:60" x14ac:dyDescent="0.25">
      <c r="B435" s="2"/>
      <c r="C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row>
    <row r="436" spans="2:60" x14ac:dyDescent="0.25">
      <c r="B436" s="2"/>
      <c r="C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row>
    <row r="437" spans="2:60" x14ac:dyDescent="0.25">
      <c r="B437" s="2"/>
      <c r="C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row>
    <row r="438" spans="2:60" x14ac:dyDescent="0.25">
      <c r="B438" s="2"/>
      <c r="C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row>
    <row r="439" spans="2:60" x14ac:dyDescent="0.25">
      <c r="B439" s="2"/>
      <c r="C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row>
    <row r="440" spans="2:60" x14ac:dyDescent="0.25">
      <c r="B440" s="2"/>
      <c r="C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row>
    <row r="441" spans="2:60" x14ac:dyDescent="0.25">
      <c r="B441" s="2"/>
      <c r="C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row>
    <row r="442" spans="2:60" x14ac:dyDescent="0.25">
      <c r="B442" s="2"/>
      <c r="C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row>
    <row r="443" spans="2:60" x14ac:dyDescent="0.25">
      <c r="B443" s="2"/>
      <c r="C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row>
    <row r="444" spans="2:60" x14ac:dyDescent="0.25">
      <c r="B444" s="2"/>
      <c r="C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row>
    <row r="445" spans="2:60" x14ac:dyDescent="0.25">
      <c r="B445" s="2"/>
      <c r="C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row>
    <row r="446" spans="2:60" x14ac:dyDescent="0.25">
      <c r="B446" s="2"/>
      <c r="C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row>
    <row r="447" spans="2:60" x14ac:dyDescent="0.25">
      <c r="B447" s="2"/>
      <c r="C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row>
    <row r="448" spans="2:60" x14ac:dyDescent="0.25">
      <c r="B448" s="2"/>
      <c r="C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row>
    <row r="449" spans="2:60" x14ac:dyDescent="0.25">
      <c r="B449" s="2"/>
      <c r="C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row>
    <row r="450" spans="2:60" x14ac:dyDescent="0.25">
      <c r="B450" s="2"/>
      <c r="C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row>
    <row r="451" spans="2:60" x14ac:dyDescent="0.25">
      <c r="B451" s="2"/>
      <c r="C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row>
    <row r="452" spans="2:60" x14ac:dyDescent="0.25">
      <c r="B452" s="2"/>
      <c r="C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row>
    <row r="453" spans="2:60" x14ac:dyDescent="0.25">
      <c r="B453" s="2"/>
      <c r="C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row>
    <row r="454" spans="2:60" x14ac:dyDescent="0.25">
      <c r="B454" s="2"/>
      <c r="C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row>
    <row r="455" spans="2:60" x14ac:dyDescent="0.25">
      <c r="B455" s="2"/>
      <c r="C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row>
    <row r="456" spans="2:60" x14ac:dyDescent="0.25">
      <c r="B456" s="2"/>
      <c r="C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row>
    <row r="457" spans="2:60" x14ac:dyDescent="0.25">
      <c r="B457" s="2"/>
      <c r="C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row>
    <row r="458" spans="2:60" x14ac:dyDescent="0.25">
      <c r="B458" s="2"/>
      <c r="C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row>
    <row r="459" spans="2:60" x14ac:dyDescent="0.25">
      <c r="B459" s="2"/>
      <c r="C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row>
    <row r="460" spans="2:60" x14ac:dyDescent="0.25">
      <c r="B460" s="2"/>
      <c r="C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row>
    <row r="461" spans="2:60" x14ac:dyDescent="0.25">
      <c r="B461" s="2"/>
      <c r="C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row>
    <row r="462" spans="2:60" x14ac:dyDescent="0.25">
      <c r="B462" s="2"/>
      <c r="C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row>
    <row r="463" spans="2:60" x14ac:dyDescent="0.25">
      <c r="B463" s="2"/>
      <c r="C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row>
    <row r="464" spans="2:60" x14ac:dyDescent="0.25">
      <c r="B464" s="2"/>
      <c r="C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row>
    <row r="465" spans="2:60" x14ac:dyDescent="0.25">
      <c r="B465" s="2"/>
      <c r="C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row>
    <row r="466" spans="2:60" x14ac:dyDescent="0.25">
      <c r="B466" s="2"/>
      <c r="C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row>
    <row r="467" spans="2:60" x14ac:dyDescent="0.25">
      <c r="B467" s="2"/>
      <c r="C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row>
    <row r="468" spans="2:60" x14ac:dyDescent="0.25">
      <c r="B468" s="2"/>
      <c r="C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row>
    <row r="469" spans="2:60" x14ac:dyDescent="0.25">
      <c r="B469" s="2"/>
      <c r="C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row>
    <row r="470" spans="2:60" x14ac:dyDescent="0.25">
      <c r="B470" s="2"/>
      <c r="C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row>
    <row r="471" spans="2:60" x14ac:dyDescent="0.25">
      <c r="B471" s="2"/>
      <c r="C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row>
    <row r="472" spans="2:60" x14ac:dyDescent="0.25">
      <c r="B472" s="2"/>
      <c r="C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row>
    <row r="473" spans="2:60" x14ac:dyDescent="0.25">
      <c r="B473" s="2"/>
      <c r="C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row>
    <row r="474" spans="2:60" x14ac:dyDescent="0.25">
      <c r="B474" s="2"/>
      <c r="C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row>
    <row r="475" spans="2:60" x14ac:dyDescent="0.25">
      <c r="B475" s="2"/>
      <c r="C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row>
    <row r="476" spans="2:60" x14ac:dyDescent="0.25">
      <c r="B476" s="2"/>
      <c r="C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row>
    <row r="477" spans="2:60" x14ac:dyDescent="0.25">
      <c r="B477" s="2"/>
      <c r="C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row>
    <row r="478" spans="2:60" x14ac:dyDescent="0.25">
      <c r="B478" s="2"/>
      <c r="C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row>
    <row r="479" spans="2:60" x14ac:dyDescent="0.25">
      <c r="B479" s="2"/>
      <c r="C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row>
    <row r="480" spans="2:60" x14ac:dyDescent="0.25">
      <c r="B480" s="2"/>
      <c r="C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row>
    <row r="481" spans="2:60" x14ac:dyDescent="0.25">
      <c r="B481" s="2"/>
      <c r="C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row>
    <row r="482" spans="2:60" x14ac:dyDescent="0.25">
      <c r="B482" s="2"/>
      <c r="C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row>
    <row r="483" spans="2:60" x14ac:dyDescent="0.25">
      <c r="B483" s="2"/>
      <c r="C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row>
    <row r="484" spans="2:60" x14ac:dyDescent="0.25">
      <c r="B484" s="2"/>
      <c r="C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row>
    <row r="485" spans="2:60" x14ac:dyDescent="0.25">
      <c r="B485" s="2"/>
      <c r="C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row>
    <row r="486" spans="2:60" x14ac:dyDescent="0.25">
      <c r="B486" s="2"/>
      <c r="C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row>
    <row r="487" spans="2:60" x14ac:dyDescent="0.25">
      <c r="B487" s="2"/>
      <c r="C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row>
    <row r="488" spans="2:60" x14ac:dyDescent="0.25">
      <c r="B488" s="2"/>
      <c r="C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row>
    <row r="489" spans="2:60" x14ac:dyDescent="0.25">
      <c r="B489" s="2"/>
      <c r="C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row>
    <row r="490" spans="2:60" x14ac:dyDescent="0.25">
      <c r="B490" s="2"/>
      <c r="C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row>
    <row r="491" spans="2:60" x14ac:dyDescent="0.25">
      <c r="B491" s="2"/>
      <c r="C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row>
    <row r="492" spans="2:60" x14ac:dyDescent="0.25">
      <c r="B492" s="2"/>
      <c r="C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row>
    <row r="493" spans="2:60" x14ac:dyDescent="0.25">
      <c r="B493" s="2"/>
      <c r="C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row>
    <row r="494" spans="2:60" x14ac:dyDescent="0.25">
      <c r="B494" s="2"/>
      <c r="C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row>
    <row r="495" spans="2:60" x14ac:dyDescent="0.25">
      <c r="B495" s="2"/>
      <c r="C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row>
    <row r="496" spans="2:60" x14ac:dyDescent="0.25">
      <c r="B496" s="2"/>
      <c r="C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row>
    <row r="497" spans="2:60" x14ac:dyDescent="0.25">
      <c r="B497" s="2"/>
      <c r="C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row>
    <row r="498" spans="2:60" x14ac:dyDescent="0.25">
      <c r="B498" s="2"/>
      <c r="C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row>
    <row r="499" spans="2:60" x14ac:dyDescent="0.25">
      <c r="B499" s="2"/>
      <c r="C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row>
    <row r="500" spans="2:60" x14ac:dyDescent="0.25">
      <c r="B500" s="2"/>
      <c r="C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row>
    <row r="501" spans="2:60" x14ac:dyDescent="0.25">
      <c r="B501" s="2"/>
      <c r="C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row>
    <row r="502" spans="2:60" x14ac:dyDescent="0.25">
      <c r="B502" s="2"/>
      <c r="C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row>
    <row r="503" spans="2:60" x14ac:dyDescent="0.25">
      <c r="B503" s="2"/>
      <c r="C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row>
    <row r="504" spans="2:60" x14ac:dyDescent="0.25">
      <c r="B504" s="2"/>
      <c r="C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row>
    <row r="505" spans="2:60" x14ac:dyDescent="0.25">
      <c r="B505" s="2"/>
      <c r="C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row>
    <row r="506" spans="2:60" x14ac:dyDescent="0.25">
      <c r="B506" s="2"/>
      <c r="C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row>
    <row r="507" spans="2:60" x14ac:dyDescent="0.25">
      <c r="B507" s="2"/>
      <c r="C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row>
    <row r="508" spans="2:60" x14ac:dyDescent="0.25">
      <c r="B508" s="2"/>
      <c r="C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row>
    <row r="509" spans="2:60" x14ac:dyDescent="0.25">
      <c r="B509" s="2"/>
      <c r="C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row>
    <row r="510" spans="2:60" x14ac:dyDescent="0.25">
      <c r="B510" s="2"/>
      <c r="C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row>
    <row r="511" spans="2:60" x14ac:dyDescent="0.25">
      <c r="B511" s="2"/>
      <c r="C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row>
    <row r="512" spans="2:60" x14ac:dyDescent="0.25">
      <c r="B512" s="2"/>
      <c r="C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row>
    <row r="513" spans="2:60" x14ac:dyDescent="0.25">
      <c r="B513" s="2"/>
      <c r="C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row>
    <row r="514" spans="2:60" x14ac:dyDescent="0.25">
      <c r="B514" s="2"/>
      <c r="C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row>
    <row r="515" spans="2:60" x14ac:dyDescent="0.25">
      <c r="B515" s="2"/>
      <c r="C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row>
    <row r="516" spans="2:60" x14ac:dyDescent="0.25">
      <c r="B516" s="2"/>
      <c r="C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row>
    <row r="517" spans="2:60" x14ac:dyDescent="0.25">
      <c r="B517" s="2"/>
      <c r="C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row>
    <row r="518" spans="2:60" x14ac:dyDescent="0.25">
      <c r="B518" s="2"/>
      <c r="C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row>
    <row r="519" spans="2:60" x14ac:dyDescent="0.25">
      <c r="B519" s="2"/>
      <c r="C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row>
    <row r="520" spans="2:60" x14ac:dyDescent="0.25">
      <c r="B520" s="2"/>
      <c r="C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row>
    <row r="521" spans="2:60" x14ac:dyDescent="0.25">
      <c r="B521" s="2"/>
      <c r="C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row>
    <row r="522" spans="2:60" x14ac:dyDescent="0.25">
      <c r="B522" s="2"/>
      <c r="C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row>
    <row r="523" spans="2:60" x14ac:dyDescent="0.25">
      <c r="B523" s="2"/>
      <c r="C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row>
    <row r="524" spans="2:60" x14ac:dyDescent="0.25">
      <c r="B524" s="2"/>
      <c r="C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row>
    <row r="525" spans="2:60" x14ac:dyDescent="0.25">
      <c r="B525" s="2"/>
      <c r="C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row>
    <row r="526" spans="2:60" x14ac:dyDescent="0.25">
      <c r="B526" s="2"/>
      <c r="C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row>
    <row r="527" spans="2:60" x14ac:dyDescent="0.25">
      <c r="B527" s="2"/>
      <c r="C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row>
    <row r="528" spans="2:60" x14ac:dyDescent="0.25">
      <c r="B528" s="2"/>
      <c r="C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row>
    <row r="529" spans="2:60" x14ac:dyDescent="0.25">
      <c r="B529" s="2"/>
      <c r="C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row>
    <row r="530" spans="2:60" x14ac:dyDescent="0.25">
      <c r="B530" s="2"/>
      <c r="C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row>
    <row r="531" spans="2:60" x14ac:dyDescent="0.25">
      <c r="B531" s="2"/>
      <c r="C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row>
    <row r="532" spans="2:60" x14ac:dyDescent="0.25">
      <c r="B532" s="2"/>
      <c r="C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row>
    <row r="533" spans="2:60" x14ac:dyDescent="0.25">
      <c r="B533" s="2"/>
      <c r="C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row>
    <row r="534" spans="2:60" x14ac:dyDescent="0.25">
      <c r="B534" s="2"/>
      <c r="C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row>
    <row r="535" spans="2:60" x14ac:dyDescent="0.25">
      <c r="B535" s="2"/>
      <c r="C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row>
    <row r="536" spans="2:60" x14ac:dyDescent="0.25">
      <c r="B536" s="2"/>
      <c r="C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row>
    <row r="537" spans="2:60" x14ac:dyDescent="0.25">
      <c r="B537" s="2"/>
      <c r="C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row>
    <row r="538" spans="2:60" x14ac:dyDescent="0.25">
      <c r="B538" s="2"/>
      <c r="C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row>
    <row r="539" spans="2:60" x14ac:dyDescent="0.25">
      <c r="B539" s="2"/>
      <c r="C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row>
    <row r="540" spans="2:60" x14ac:dyDescent="0.25">
      <c r="B540" s="2"/>
      <c r="C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row>
    <row r="541" spans="2:60" x14ac:dyDescent="0.25">
      <c r="B541" s="2"/>
      <c r="C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row>
    <row r="542" spans="2:60" x14ac:dyDescent="0.25">
      <c r="B542" s="2"/>
      <c r="C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row>
    <row r="543" spans="2:60" x14ac:dyDescent="0.25">
      <c r="B543" s="2"/>
      <c r="C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row>
    <row r="544" spans="2:60" x14ac:dyDescent="0.25">
      <c r="B544" s="2"/>
      <c r="C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row>
    <row r="545" spans="2:60" x14ac:dyDescent="0.25">
      <c r="B545" s="2"/>
      <c r="C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row>
    <row r="546" spans="2:60" x14ac:dyDescent="0.25">
      <c r="B546" s="2"/>
      <c r="C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row>
    <row r="547" spans="2:60" x14ac:dyDescent="0.25">
      <c r="B547" s="2"/>
      <c r="C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row>
    <row r="548" spans="2:60" x14ac:dyDescent="0.25">
      <c r="B548" s="2"/>
      <c r="C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row>
    <row r="549" spans="2:60" x14ac:dyDescent="0.25">
      <c r="B549" s="2"/>
      <c r="C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row>
    <row r="550" spans="2:60" x14ac:dyDescent="0.25">
      <c r="B550" s="2"/>
      <c r="C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row>
    <row r="551" spans="2:60" x14ac:dyDescent="0.25">
      <c r="B551" s="2"/>
      <c r="C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row>
    <row r="552" spans="2:60" x14ac:dyDescent="0.25">
      <c r="B552" s="2"/>
      <c r="C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row>
    <row r="553" spans="2:60" x14ac:dyDescent="0.25">
      <c r="B553" s="2"/>
      <c r="C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row>
    <row r="554" spans="2:60" x14ac:dyDescent="0.25">
      <c r="B554" s="2"/>
      <c r="C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row>
    <row r="555" spans="2:60" x14ac:dyDescent="0.25">
      <c r="B555" s="2"/>
      <c r="C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row>
    <row r="556" spans="2:60" x14ac:dyDescent="0.25">
      <c r="B556" s="2"/>
      <c r="C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row>
    <row r="557" spans="2:60" x14ac:dyDescent="0.25">
      <c r="B557" s="2"/>
      <c r="C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row>
    <row r="558" spans="2:60" x14ac:dyDescent="0.25">
      <c r="B558" s="2"/>
      <c r="C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row>
    <row r="559" spans="2:60" x14ac:dyDescent="0.25">
      <c r="B559" s="2"/>
      <c r="C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row>
    <row r="560" spans="2:60" x14ac:dyDescent="0.25">
      <c r="B560" s="2"/>
      <c r="C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row>
    <row r="561" spans="2:60" x14ac:dyDescent="0.25">
      <c r="B561" s="2"/>
      <c r="C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row>
    <row r="562" spans="2:60" x14ac:dyDescent="0.25">
      <c r="B562" s="2"/>
      <c r="C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row>
    <row r="563" spans="2:60" x14ac:dyDescent="0.25">
      <c r="B563" s="2"/>
      <c r="C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row>
    <row r="564" spans="2:60" x14ac:dyDescent="0.25">
      <c r="B564" s="2"/>
      <c r="C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row>
    <row r="565" spans="2:60" x14ac:dyDescent="0.25">
      <c r="B565" s="2"/>
      <c r="C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row>
    <row r="566" spans="2:60" x14ac:dyDescent="0.25">
      <c r="B566" s="2"/>
      <c r="C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row>
    <row r="567" spans="2:60" x14ac:dyDescent="0.25">
      <c r="B567" s="2"/>
      <c r="C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row>
    <row r="568" spans="2:60" x14ac:dyDescent="0.25">
      <c r="B568" s="2"/>
      <c r="C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row>
    <row r="569" spans="2:60" x14ac:dyDescent="0.25">
      <c r="B569" s="2"/>
      <c r="C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row>
    <row r="570" spans="2:60" x14ac:dyDescent="0.25">
      <c r="B570" s="2"/>
      <c r="C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row>
    <row r="571" spans="2:60" x14ac:dyDescent="0.25">
      <c r="B571" s="2"/>
      <c r="C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row>
    <row r="572" spans="2:60" x14ac:dyDescent="0.25">
      <c r="B572" s="2"/>
      <c r="C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row>
    <row r="573" spans="2:60" x14ac:dyDescent="0.25">
      <c r="B573" s="2"/>
      <c r="C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row>
    <row r="574" spans="2:60" x14ac:dyDescent="0.25">
      <c r="B574" s="2"/>
      <c r="C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row>
    <row r="575" spans="2:60" x14ac:dyDescent="0.25">
      <c r="B575" s="2"/>
      <c r="C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row>
    <row r="576" spans="2:60" x14ac:dyDescent="0.25">
      <c r="B576" s="2"/>
      <c r="C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row>
    <row r="577" spans="2:60" x14ac:dyDescent="0.25">
      <c r="B577" s="2"/>
      <c r="C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row>
    <row r="578" spans="2:60" x14ac:dyDescent="0.25">
      <c r="B578" s="2"/>
      <c r="C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row>
    <row r="579" spans="2:60" x14ac:dyDescent="0.25">
      <c r="B579" s="2"/>
      <c r="C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row>
    <row r="580" spans="2:60" x14ac:dyDescent="0.25">
      <c r="B580" s="2"/>
      <c r="C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row>
    <row r="581" spans="2:60" x14ac:dyDescent="0.25">
      <c r="B581" s="2"/>
      <c r="C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row>
    <row r="582" spans="2:60" x14ac:dyDescent="0.25">
      <c r="B582" s="2"/>
      <c r="C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row>
    <row r="583" spans="2:60" x14ac:dyDescent="0.25">
      <c r="B583" s="2"/>
      <c r="C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row>
    <row r="584" spans="2:60" x14ac:dyDescent="0.25">
      <c r="B584" s="2"/>
      <c r="C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row>
    <row r="585" spans="2:60" x14ac:dyDescent="0.25">
      <c r="B585" s="2"/>
      <c r="C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row>
    <row r="586" spans="2:60" x14ac:dyDescent="0.25">
      <c r="B586" s="2"/>
      <c r="C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row>
    <row r="587" spans="2:60" x14ac:dyDescent="0.25">
      <c r="B587" s="2"/>
      <c r="C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row>
    <row r="588" spans="2:60" x14ac:dyDescent="0.25">
      <c r="B588" s="2"/>
      <c r="C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row>
    <row r="589" spans="2:60" x14ac:dyDescent="0.25">
      <c r="B589" s="2"/>
      <c r="C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row>
    <row r="590" spans="2:60" x14ac:dyDescent="0.25">
      <c r="B590" s="2"/>
      <c r="C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row>
    <row r="591" spans="2:60" x14ac:dyDescent="0.25">
      <c r="B591" s="2"/>
      <c r="C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row>
    <row r="592" spans="2:60" x14ac:dyDescent="0.25">
      <c r="B592" s="2"/>
      <c r="C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row>
    <row r="593" spans="2:60" x14ac:dyDescent="0.25">
      <c r="B593" s="2"/>
      <c r="C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row>
    <row r="594" spans="2:60" x14ac:dyDescent="0.25">
      <c r="B594" s="2"/>
      <c r="C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row>
    <row r="595" spans="2:60" x14ac:dyDescent="0.25">
      <c r="B595" s="2"/>
      <c r="C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row>
    <row r="596" spans="2:60" x14ac:dyDescent="0.25">
      <c r="B596" s="2"/>
      <c r="C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row>
    <row r="597" spans="2:60" x14ac:dyDescent="0.25">
      <c r="B597" s="2"/>
      <c r="C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row>
    <row r="598" spans="2:60" x14ac:dyDescent="0.25">
      <c r="B598" s="2"/>
      <c r="C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row>
    <row r="599" spans="2:60" x14ac:dyDescent="0.25">
      <c r="B599" s="2"/>
      <c r="C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row>
    <row r="600" spans="2:60" x14ac:dyDescent="0.25">
      <c r="B600" s="2"/>
      <c r="C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row>
    <row r="601" spans="2:60" x14ac:dyDescent="0.25">
      <c r="B601" s="2"/>
      <c r="C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row>
    <row r="602" spans="2:60" x14ac:dyDescent="0.25">
      <c r="B602" s="2"/>
      <c r="C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row>
    <row r="603" spans="2:60" x14ac:dyDescent="0.25">
      <c r="B603" s="2"/>
      <c r="C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row>
    <row r="604" spans="2:60" x14ac:dyDescent="0.25">
      <c r="B604" s="2"/>
      <c r="C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row>
    <row r="605" spans="2:60" x14ac:dyDescent="0.25">
      <c r="B605" s="2"/>
      <c r="C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row>
    <row r="606" spans="2:60" x14ac:dyDescent="0.25">
      <c r="B606" s="2"/>
      <c r="C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row>
    <row r="607" spans="2:60" x14ac:dyDescent="0.25">
      <c r="B607" s="2"/>
      <c r="C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row>
    <row r="608" spans="2:60" x14ac:dyDescent="0.25">
      <c r="B608" s="2"/>
      <c r="C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row>
    <row r="609" spans="2:60" x14ac:dyDescent="0.25">
      <c r="B609" s="2"/>
      <c r="C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row>
    <row r="610" spans="2:60" x14ac:dyDescent="0.25">
      <c r="B610" s="2"/>
      <c r="C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row>
    <row r="611" spans="2:60" x14ac:dyDescent="0.25">
      <c r="B611" s="2"/>
      <c r="C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row>
    <row r="612" spans="2:60" x14ac:dyDescent="0.25">
      <c r="B612" s="2"/>
      <c r="C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row>
    <row r="613" spans="2:60" x14ac:dyDescent="0.25">
      <c r="B613" s="2"/>
      <c r="C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row>
    <row r="614" spans="2:60" x14ac:dyDescent="0.25">
      <c r="B614" s="2"/>
      <c r="C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row>
    <row r="615" spans="2:60" x14ac:dyDescent="0.25">
      <c r="B615" s="2"/>
      <c r="C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row>
    <row r="616" spans="2:60" x14ac:dyDescent="0.25">
      <c r="B616" s="2"/>
      <c r="C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row>
    <row r="617" spans="2:60" x14ac:dyDescent="0.25">
      <c r="B617" s="2"/>
      <c r="C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row>
    <row r="618" spans="2:60" x14ac:dyDescent="0.25">
      <c r="B618" s="2"/>
      <c r="C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row>
    <row r="619" spans="2:60" x14ac:dyDescent="0.25">
      <c r="B619" s="2"/>
      <c r="C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row>
    <row r="620" spans="2:60" x14ac:dyDescent="0.25">
      <c r="B620" s="2"/>
      <c r="C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row>
    <row r="621" spans="2:60" x14ac:dyDescent="0.25">
      <c r="B621" s="2"/>
      <c r="C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row>
    <row r="622" spans="2:60" x14ac:dyDescent="0.25">
      <c r="B622" s="2"/>
      <c r="C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row>
    <row r="623" spans="2:60" x14ac:dyDescent="0.25">
      <c r="B623" s="2"/>
      <c r="C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row>
    <row r="624" spans="2:60" x14ac:dyDescent="0.25">
      <c r="B624" s="2"/>
      <c r="C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row>
    <row r="625" spans="2:60" x14ac:dyDescent="0.25">
      <c r="B625" s="2"/>
      <c r="C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row>
    <row r="626" spans="2:60" x14ac:dyDescent="0.25">
      <c r="B626" s="2"/>
      <c r="C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row>
    <row r="627" spans="2:60" x14ac:dyDescent="0.25">
      <c r="B627" s="2"/>
      <c r="C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row>
    <row r="628" spans="2:60" x14ac:dyDescent="0.25">
      <c r="B628" s="2"/>
      <c r="C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row>
    <row r="629" spans="2:60" x14ac:dyDescent="0.25">
      <c r="B629" s="2"/>
      <c r="C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row>
    <row r="630" spans="2:60" x14ac:dyDescent="0.25">
      <c r="B630" s="2"/>
      <c r="C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row>
    <row r="631" spans="2:60" x14ac:dyDescent="0.25">
      <c r="B631" s="2"/>
      <c r="C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row>
    <row r="632" spans="2:60" x14ac:dyDescent="0.25">
      <c r="B632" s="2"/>
      <c r="C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row>
    <row r="633" spans="2:60" x14ac:dyDescent="0.25">
      <c r="B633" s="2"/>
      <c r="C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row>
    <row r="634" spans="2:60" x14ac:dyDescent="0.25">
      <c r="B634" s="2"/>
      <c r="C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row>
    <row r="635" spans="2:60" x14ac:dyDescent="0.25">
      <c r="B635" s="2"/>
      <c r="C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row>
    <row r="636" spans="2:60" x14ac:dyDescent="0.25">
      <c r="B636" s="2"/>
      <c r="C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row>
    <row r="637" spans="2:60" x14ac:dyDescent="0.25">
      <c r="B637" s="2"/>
      <c r="C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row>
    <row r="638" spans="2:60" x14ac:dyDescent="0.25">
      <c r="B638" s="2"/>
      <c r="C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row>
    <row r="639" spans="2:60" x14ac:dyDescent="0.25">
      <c r="B639" s="2"/>
      <c r="C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row>
    <row r="640" spans="2:60" x14ac:dyDescent="0.25">
      <c r="B640" s="2"/>
      <c r="C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row>
    <row r="641" spans="2:60" x14ac:dyDescent="0.25">
      <c r="B641" s="2"/>
      <c r="C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row>
    <row r="642" spans="2:60" x14ac:dyDescent="0.25">
      <c r="B642" s="2"/>
      <c r="C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row>
    <row r="643" spans="2:60" x14ac:dyDescent="0.25">
      <c r="B643" s="2"/>
      <c r="C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row>
    <row r="644" spans="2:60" x14ac:dyDescent="0.25">
      <c r="B644" s="2"/>
      <c r="C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row>
    <row r="645" spans="2:60" x14ac:dyDescent="0.25">
      <c r="B645" s="2"/>
      <c r="C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row>
    <row r="646" spans="2:60" x14ac:dyDescent="0.25">
      <c r="B646" s="2"/>
      <c r="C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row>
    <row r="647" spans="2:60" x14ac:dyDescent="0.25">
      <c r="B647" s="2"/>
      <c r="C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row>
    <row r="648" spans="2:60" x14ac:dyDescent="0.25">
      <c r="B648" s="2"/>
      <c r="C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row>
    <row r="649" spans="2:60" x14ac:dyDescent="0.25">
      <c r="B649" s="2"/>
      <c r="C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row>
    <row r="650" spans="2:60" x14ac:dyDescent="0.25">
      <c r="B650" s="2"/>
      <c r="C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row>
    <row r="651" spans="2:60" x14ac:dyDescent="0.25">
      <c r="B651" s="2"/>
      <c r="C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row>
    <row r="652" spans="2:60" x14ac:dyDescent="0.25">
      <c r="B652" s="2"/>
      <c r="C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row>
    <row r="653" spans="2:60" x14ac:dyDescent="0.25">
      <c r="B653" s="2"/>
      <c r="C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row>
    <row r="654" spans="2:60" x14ac:dyDescent="0.25">
      <c r="B654" s="2"/>
      <c r="C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row>
    <row r="655" spans="2:60" x14ac:dyDescent="0.25">
      <c r="B655" s="2"/>
      <c r="C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row>
    <row r="656" spans="2:60" x14ac:dyDescent="0.25">
      <c r="B656" s="2"/>
      <c r="C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row>
    <row r="657" spans="2:60" x14ac:dyDescent="0.25">
      <c r="B657" s="2"/>
      <c r="C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row>
    <row r="658" spans="2:60" x14ac:dyDescent="0.25">
      <c r="B658" s="2"/>
      <c r="C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row>
    <row r="659" spans="2:60" x14ac:dyDescent="0.25">
      <c r="B659" s="2"/>
      <c r="C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row>
    <row r="660" spans="2:60" x14ac:dyDescent="0.25">
      <c r="B660" s="2"/>
      <c r="C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row>
    <row r="661" spans="2:60" x14ac:dyDescent="0.25">
      <c r="B661" s="2"/>
      <c r="C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row>
    <row r="662" spans="2:60" x14ac:dyDescent="0.25">
      <c r="B662" s="2"/>
      <c r="C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row>
    <row r="663" spans="2:60" x14ac:dyDescent="0.25">
      <c r="B663" s="2"/>
      <c r="C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row>
    <row r="664" spans="2:60" x14ac:dyDescent="0.25">
      <c r="B664" s="2"/>
      <c r="C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row>
    <row r="665" spans="2:60" x14ac:dyDescent="0.25">
      <c r="B665" s="2"/>
      <c r="C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row>
    <row r="666" spans="2:60" x14ac:dyDescent="0.25">
      <c r="B666" s="2"/>
      <c r="C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row>
    <row r="667" spans="2:60" x14ac:dyDescent="0.25">
      <c r="B667" s="2"/>
      <c r="C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row>
    <row r="668" spans="2:60" x14ac:dyDescent="0.25">
      <c r="B668" s="2"/>
      <c r="C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row>
    <row r="669" spans="2:60" x14ac:dyDescent="0.25">
      <c r="B669" s="2"/>
      <c r="C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row>
    <row r="670" spans="2:60" x14ac:dyDescent="0.25">
      <c r="B670" s="2"/>
      <c r="C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row>
    <row r="671" spans="2:60" x14ac:dyDescent="0.25">
      <c r="B671" s="2"/>
      <c r="C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row>
    <row r="672" spans="2:60" x14ac:dyDescent="0.25">
      <c r="B672" s="2"/>
      <c r="C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row>
    <row r="673" spans="2:60" x14ac:dyDescent="0.25">
      <c r="B673" s="2"/>
      <c r="C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row>
    <row r="674" spans="2:60" x14ac:dyDescent="0.25">
      <c r="B674" s="2"/>
      <c r="C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row>
    <row r="675" spans="2:60" x14ac:dyDescent="0.25">
      <c r="B675" s="2"/>
      <c r="C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row>
    <row r="676" spans="2:60" x14ac:dyDescent="0.25">
      <c r="B676" s="2"/>
      <c r="C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row>
    <row r="677" spans="2:60" x14ac:dyDescent="0.25">
      <c r="B677" s="2"/>
      <c r="C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row>
    <row r="678" spans="2:60" x14ac:dyDescent="0.25">
      <c r="B678" s="2"/>
      <c r="C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row>
    <row r="679" spans="2:60" x14ac:dyDescent="0.25">
      <c r="B679" s="2"/>
      <c r="C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row>
    <row r="680" spans="2:60" x14ac:dyDescent="0.25">
      <c r="B680" s="2"/>
      <c r="C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row>
    <row r="681" spans="2:60" x14ac:dyDescent="0.25">
      <c r="B681" s="2"/>
      <c r="C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row>
    <row r="682" spans="2:60" x14ac:dyDescent="0.25">
      <c r="B682" s="2"/>
      <c r="C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row>
    <row r="683" spans="2:60" x14ac:dyDescent="0.25">
      <c r="B683" s="2"/>
      <c r="C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row>
    <row r="684" spans="2:60" x14ac:dyDescent="0.25">
      <c r="B684" s="2"/>
      <c r="C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row>
    <row r="685" spans="2:60" x14ac:dyDescent="0.25">
      <c r="B685" s="2"/>
      <c r="C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row>
    <row r="686" spans="2:60" x14ac:dyDescent="0.25">
      <c r="B686" s="2"/>
      <c r="C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row>
    <row r="687" spans="2:60" x14ac:dyDescent="0.25">
      <c r="B687" s="2"/>
      <c r="C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row>
    <row r="688" spans="2:60" x14ac:dyDescent="0.25">
      <c r="B688" s="2"/>
      <c r="C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row>
    <row r="689" spans="2:60" x14ac:dyDescent="0.25">
      <c r="B689" s="2"/>
      <c r="C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row>
    <row r="690" spans="2:60" x14ac:dyDescent="0.25">
      <c r="B690" s="2"/>
      <c r="C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row>
    <row r="691" spans="2:60" x14ac:dyDescent="0.25">
      <c r="B691" s="2"/>
      <c r="C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row>
    <row r="692" spans="2:60" x14ac:dyDescent="0.25">
      <c r="B692" s="2"/>
      <c r="C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row>
    <row r="693" spans="2:60" x14ac:dyDescent="0.25">
      <c r="B693" s="2"/>
      <c r="C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row>
    <row r="694" spans="2:60" x14ac:dyDescent="0.25">
      <c r="B694" s="2"/>
      <c r="C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row>
    <row r="695" spans="2:60" x14ac:dyDescent="0.25">
      <c r="B695" s="2"/>
      <c r="C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row>
    <row r="696" spans="2:60" x14ac:dyDescent="0.25">
      <c r="B696" s="2"/>
      <c r="C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row>
    <row r="697" spans="2:60" x14ac:dyDescent="0.25">
      <c r="B697" s="2"/>
      <c r="C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row>
    <row r="698" spans="2:60" x14ac:dyDescent="0.25">
      <c r="B698" s="2"/>
      <c r="C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row>
    <row r="699" spans="2:60" x14ac:dyDescent="0.25">
      <c r="B699" s="2"/>
      <c r="C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row>
    <row r="700" spans="2:60" x14ac:dyDescent="0.25">
      <c r="B700" s="2"/>
      <c r="C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row>
    <row r="701" spans="2:60" x14ac:dyDescent="0.25">
      <c r="B701" s="2"/>
      <c r="C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row>
    <row r="702" spans="2:60" x14ac:dyDescent="0.25">
      <c r="B702" s="2"/>
      <c r="C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row>
    <row r="703" spans="2:60" x14ac:dyDescent="0.25">
      <c r="B703" s="2"/>
      <c r="C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row>
    <row r="704" spans="2:60" x14ac:dyDescent="0.25">
      <c r="B704" s="2"/>
      <c r="C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row>
    <row r="705" spans="2:60" x14ac:dyDescent="0.25">
      <c r="B705" s="2"/>
      <c r="C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row>
    <row r="706" spans="2:60" x14ac:dyDescent="0.25">
      <c r="B706" s="2"/>
      <c r="C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row>
    <row r="707" spans="2:60" x14ac:dyDescent="0.25">
      <c r="B707" s="2"/>
      <c r="C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row>
    <row r="708" spans="2:60" x14ac:dyDescent="0.25">
      <c r="B708" s="2"/>
      <c r="C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row>
    <row r="709" spans="2:60" x14ac:dyDescent="0.25">
      <c r="B709" s="2"/>
      <c r="C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row>
    <row r="710" spans="2:60" x14ac:dyDescent="0.25">
      <c r="B710" s="2"/>
      <c r="C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row>
    <row r="711" spans="2:60" x14ac:dyDescent="0.25">
      <c r="B711" s="2"/>
      <c r="C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row>
    <row r="712" spans="2:60" x14ac:dyDescent="0.25">
      <c r="B712" s="2"/>
      <c r="C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row>
    <row r="713" spans="2:60" x14ac:dyDescent="0.25">
      <c r="B713" s="2"/>
      <c r="C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row>
    <row r="714" spans="2:60" x14ac:dyDescent="0.25">
      <c r="B714" s="2"/>
      <c r="C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row>
    <row r="715" spans="2:60" x14ac:dyDescent="0.25">
      <c r="B715" s="2"/>
      <c r="C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row>
    <row r="716" spans="2:60" x14ac:dyDescent="0.25">
      <c r="B716" s="2"/>
      <c r="C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row>
    <row r="717" spans="2:60" x14ac:dyDescent="0.25">
      <c r="B717" s="2"/>
      <c r="C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row>
    <row r="718" spans="2:60" x14ac:dyDescent="0.25">
      <c r="B718" s="2"/>
      <c r="C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row>
    <row r="719" spans="2:60" x14ac:dyDescent="0.25">
      <c r="B719" s="2"/>
      <c r="C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row>
    <row r="720" spans="2:60" x14ac:dyDescent="0.25">
      <c r="B720" s="2"/>
      <c r="C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row>
    <row r="721" spans="2:60" x14ac:dyDescent="0.25">
      <c r="B721" s="2"/>
      <c r="C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row>
    <row r="722" spans="2:60" x14ac:dyDescent="0.25">
      <c r="B722" s="2"/>
      <c r="C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row>
    <row r="723" spans="2:60" x14ac:dyDescent="0.25">
      <c r="B723" s="2"/>
      <c r="C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row>
    <row r="724" spans="2:60" x14ac:dyDescent="0.25">
      <c r="B724" s="2"/>
      <c r="C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row>
    <row r="725" spans="2:60" x14ac:dyDescent="0.25">
      <c r="B725" s="2"/>
      <c r="C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row>
    <row r="726" spans="2:60" x14ac:dyDescent="0.25">
      <c r="B726" s="2"/>
      <c r="C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row>
    <row r="727" spans="2:60" x14ac:dyDescent="0.25">
      <c r="B727" s="2"/>
      <c r="C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row>
    <row r="728" spans="2:60" x14ac:dyDescent="0.25">
      <c r="B728" s="2"/>
      <c r="C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row>
    <row r="729" spans="2:60" x14ac:dyDescent="0.25">
      <c r="B729" s="2"/>
      <c r="C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row>
    <row r="730" spans="2:60" x14ac:dyDescent="0.25">
      <c r="B730" s="2"/>
      <c r="C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row>
    <row r="731" spans="2:60" x14ac:dyDescent="0.25">
      <c r="B731" s="2"/>
      <c r="C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row>
    <row r="732" spans="2:60" x14ac:dyDescent="0.25">
      <c r="B732" s="2"/>
      <c r="C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row>
    <row r="733" spans="2:60" x14ac:dyDescent="0.25">
      <c r="B733" s="2"/>
      <c r="C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row>
    <row r="734" spans="2:60" x14ac:dyDescent="0.25">
      <c r="B734" s="2"/>
      <c r="C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row>
    <row r="735" spans="2:60" x14ac:dyDescent="0.25">
      <c r="B735" s="2"/>
      <c r="C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row>
    <row r="736" spans="2:60" x14ac:dyDescent="0.25">
      <c r="B736" s="2"/>
      <c r="C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row>
    <row r="737" spans="2:60" x14ac:dyDescent="0.25">
      <c r="B737" s="2"/>
      <c r="C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row>
    <row r="738" spans="2:60" x14ac:dyDescent="0.25">
      <c r="B738" s="2"/>
      <c r="C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row>
    <row r="739" spans="2:60" x14ac:dyDescent="0.25">
      <c r="B739" s="2"/>
      <c r="C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row>
    <row r="740" spans="2:60" x14ac:dyDescent="0.25">
      <c r="B740" s="2"/>
      <c r="C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row>
    <row r="741" spans="2:60" x14ac:dyDescent="0.25">
      <c r="B741" s="2"/>
      <c r="C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row>
    <row r="742" spans="2:60" x14ac:dyDescent="0.25">
      <c r="B742" s="2"/>
      <c r="C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row>
    <row r="743" spans="2:60" x14ac:dyDescent="0.25">
      <c r="B743" s="2"/>
      <c r="C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row>
    <row r="744" spans="2:60" x14ac:dyDescent="0.25">
      <c r="B744" s="2"/>
      <c r="C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row>
    <row r="745" spans="2:60" x14ac:dyDescent="0.25">
      <c r="B745" s="2"/>
      <c r="C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row>
    <row r="746" spans="2:60" x14ac:dyDescent="0.25">
      <c r="B746" s="2"/>
      <c r="C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row>
    <row r="747" spans="2:60" x14ac:dyDescent="0.25">
      <c r="B747" s="2"/>
      <c r="C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row>
    <row r="748" spans="2:60" x14ac:dyDescent="0.25">
      <c r="B748" s="2"/>
      <c r="C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row>
    <row r="749" spans="2:60" x14ac:dyDescent="0.25">
      <c r="B749" s="2"/>
      <c r="C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row>
    <row r="750" spans="2:60" x14ac:dyDescent="0.25">
      <c r="B750" s="2"/>
      <c r="C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row>
    <row r="751" spans="2:60" x14ac:dyDescent="0.25">
      <c r="B751" s="2"/>
      <c r="C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row>
    <row r="752" spans="2:60" x14ac:dyDescent="0.25">
      <c r="B752" s="2"/>
      <c r="C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row>
    <row r="753" spans="2:60" x14ac:dyDescent="0.25">
      <c r="B753" s="2"/>
      <c r="C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row>
    <row r="754" spans="2:60" x14ac:dyDescent="0.25">
      <c r="B754" s="2"/>
      <c r="C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row>
    <row r="755" spans="2:60" x14ac:dyDescent="0.25">
      <c r="B755" s="2"/>
      <c r="C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row>
    <row r="756" spans="2:60" x14ac:dyDescent="0.25">
      <c r="B756" s="2"/>
      <c r="C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row>
    <row r="757" spans="2:60" x14ac:dyDescent="0.25">
      <c r="B757" s="2"/>
      <c r="C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row>
    <row r="758" spans="2:60" x14ac:dyDescent="0.25">
      <c r="B758" s="2"/>
      <c r="C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row>
    <row r="759" spans="2:60" x14ac:dyDescent="0.25">
      <c r="B759" s="2"/>
      <c r="C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row>
    <row r="760" spans="2:60" x14ac:dyDescent="0.25">
      <c r="B760" s="2"/>
      <c r="C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row>
    <row r="761" spans="2:60" x14ac:dyDescent="0.25">
      <c r="B761" s="2"/>
      <c r="C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row>
    <row r="762" spans="2:60" x14ac:dyDescent="0.25">
      <c r="B762" s="2"/>
      <c r="C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row>
    <row r="763" spans="2:60" x14ac:dyDescent="0.25">
      <c r="B763" s="2"/>
      <c r="C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row>
    <row r="764" spans="2:60" x14ac:dyDescent="0.25">
      <c r="B764" s="2"/>
      <c r="C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row>
    <row r="765" spans="2:60" x14ac:dyDescent="0.25">
      <c r="B765" s="2"/>
      <c r="C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row>
    <row r="766" spans="2:60" x14ac:dyDescent="0.25">
      <c r="B766" s="2"/>
      <c r="C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row>
    <row r="767" spans="2:60" x14ac:dyDescent="0.25">
      <c r="B767" s="2"/>
      <c r="C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row>
    <row r="768" spans="2:60" x14ac:dyDescent="0.25">
      <c r="B768" s="2"/>
      <c r="C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row>
    <row r="769" spans="2:60" x14ac:dyDescent="0.25">
      <c r="B769" s="2"/>
      <c r="C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row>
    <row r="770" spans="2:60" x14ac:dyDescent="0.25">
      <c r="B770" s="2"/>
      <c r="C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row>
    <row r="771" spans="2:60" x14ac:dyDescent="0.25">
      <c r="B771" s="2"/>
      <c r="C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row>
    <row r="772" spans="2:60" x14ac:dyDescent="0.25">
      <c r="B772" s="2"/>
      <c r="C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row>
    <row r="773" spans="2:60" x14ac:dyDescent="0.25">
      <c r="B773" s="2"/>
      <c r="C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row>
    <row r="774" spans="2:60" x14ac:dyDescent="0.25">
      <c r="B774" s="2"/>
      <c r="C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row>
    <row r="775" spans="2:60" x14ac:dyDescent="0.25">
      <c r="B775" s="2"/>
      <c r="C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row>
    <row r="776" spans="2:60" x14ac:dyDescent="0.25">
      <c r="B776" s="2"/>
      <c r="C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row>
    <row r="777" spans="2:60" x14ac:dyDescent="0.25">
      <c r="B777" s="2"/>
      <c r="C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row>
    <row r="778" spans="2:60" x14ac:dyDescent="0.25">
      <c r="B778" s="2"/>
      <c r="C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row>
    <row r="779" spans="2:60" x14ac:dyDescent="0.25">
      <c r="B779" s="2"/>
      <c r="C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row>
    <row r="780" spans="2:60" x14ac:dyDescent="0.25">
      <c r="B780" s="2"/>
      <c r="C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row>
    <row r="781" spans="2:60" x14ac:dyDescent="0.25">
      <c r="B781" s="2"/>
      <c r="C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row>
    <row r="782" spans="2:60" x14ac:dyDescent="0.25">
      <c r="B782" s="2"/>
      <c r="C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row>
    <row r="783" spans="2:60" x14ac:dyDescent="0.25">
      <c r="B783" s="2"/>
      <c r="C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row>
    <row r="784" spans="2:60" x14ac:dyDescent="0.25">
      <c r="B784" s="2"/>
      <c r="C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row>
    <row r="785" spans="2:60" x14ac:dyDescent="0.25">
      <c r="B785" s="2"/>
      <c r="C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row>
    <row r="786" spans="2:60" x14ac:dyDescent="0.25">
      <c r="B786" s="2"/>
      <c r="C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row>
    <row r="787" spans="2:60" x14ac:dyDescent="0.25">
      <c r="B787" s="2"/>
      <c r="C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row>
    <row r="788" spans="2:60" x14ac:dyDescent="0.25">
      <c r="B788" s="2"/>
      <c r="C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row>
    <row r="789" spans="2:60" x14ac:dyDescent="0.25">
      <c r="B789" s="2"/>
      <c r="C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row>
    <row r="790" spans="2:60" x14ac:dyDescent="0.25">
      <c r="B790" s="2"/>
      <c r="C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row>
    <row r="791" spans="2:60" x14ac:dyDescent="0.25">
      <c r="B791" s="2"/>
      <c r="C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row>
    <row r="792" spans="2:60" x14ac:dyDescent="0.25">
      <c r="B792" s="2"/>
      <c r="C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row>
    <row r="793" spans="2:60" x14ac:dyDescent="0.25">
      <c r="B793" s="2"/>
      <c r="C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row>
    <row r="794" spans="2:60" x14ac:dyDescent="0.25">
      <c r="B794" s="2"/>
      <c r="C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row>
    <row r="795" spans="2:60" x14ac:dyDescent="0.25">
      <c r="B795" s="2"/>
      <c r="C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row>
    <row r="796" spans="2:60" x14ac:dyDescent="0.25">
      <c r="B796" s="2"/>
      <c r="C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row>
    <row r="797" spans="2:60" x14ac:dyDescent="0.25">
      <c r="B797" s="2"/>
      <c r="C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row>
    <row r="798" spans="2:60" x14ac:dyDescent="0.25">
      <c r="B798" s="2"/>
      <c r="C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row>
    <row r="799" spans="2:60" x14ac:dyDescent="0.25">
      <c r="B799" s="2"/>
      <c r="C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row>
    <row r="800" spans="2:60" x14ac:dyDescent="0.25">
      <c r="B800" s="2"/>
      <c r="C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row>
    <row r="801" spans="2:60" x14ac:dyDescent="0.25">
      <c r="B801" s="2"/>
      <c r="C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row>
    <row r="802" spans="2:60" x14ac:dyDescent="0.25">
      <c r="B802" s="2"/>
      <c r="C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row>
    <row r="803" spans="2:60" x14ac:dyDescent="0.25">
      <c r="B803" s="2"/>
      <c r="C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row>
    <row r="804" spans="2:60" x14ac:dyDescent="0.25">
      <c r="B804" s="2"/>
      <c r="C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row>
    <row r="805" spans="2:60" x14ac:dyDescent="0.25">
      <c r="B805" s="2"/>
      <c r="C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row>
    <row r="806" spans="2:60" x14ac:dyDescent="0.25">
      <c r="B806" s="2"/>
      <c r="C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row>
    <row r="807" spans="2:60" x14ac:dyDescent="0.25">
      <c r="B807" s="2"/>
      <c r="C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row>
    <row r="808" spans="2:60" x14ac:dyDescent="0.25">
      <c r="B808" s="2"/>
      <c r="C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row>
    <row r="809" spans="2:60" x14ac:dyDescent="0.25">
      <c r="B809" s="2"/>
      <c r="C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row>
    <row r="810" spans="2:60" x14ac:dyDescent="0.25">
      <c r="B810" s="2"/>
      <c r="C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row>
    <row r="811" spans="2:60" x14ac:dyDescent="0.25">
      <c r="B811" s="2"/>
      <c r="C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row>
    <row r="812" spans="2:60" x14ac:dyDescent="0.25">
      <c r="B812" s="2"/>
      <c r="C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row>
    <row r="813" spans="2:60" x14ac:dyDescent="0.25">
      <c r="B813" s="2"/>
      <c r="C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row>
    <row r="814" spans="2:60" x14ac:dyDescent="0.25">
      <c r="B814" s="2"/>
      <c r="C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row>
    <row r="815" spans="2:60" x14ac:dyDescent="0.25">
      <c r="B815" s="2"/>
      <c r="C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row>
    <row r="816" spans="2:60" x14ac:dyDescent="0.25">
      <c r="B816" s="2"/>
      <c r="C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row>
    <row r="817" spans="2:60" x14ac:dyDescent="0.25">
      <c r="B817" s="2"/>
      <c r="C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row>
    <row r="818" spans="2:60" x14ac:dyDescent="0.25">
      <c r="B818" s="2"/>
      <c r="C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row>
    <row r="819" spans="2:60" x14ac:dyDescent="0.25">
      <c r="B819" s="2"/>
      <c r="C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row>
    <row r="820" spans="2:60" x14ac:dyDescent="0.25">
      <c r="B820" s="2"/>
      <c r="C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row>
    <row r="821" spans="2:60" x14ac:dyDescent="0.25">
      <c r="B821" s="2"/>
      <c r="C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row>
    <row r="822" spans="2:60" x14ac:dyDescent="0.25">
      <c r="B822" s="2"/>
      <c r="C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row>
    <row r="823" spans="2:60" x14ac:dyDescent="0.25">
      <c r="B823" s="2"/>
      <c r="C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row>
    <row r="824" spans="2:60" x14ac:dyDescent="0.25">
      <c r="B824" s="2"/>
      <c r="C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row>
    <row r="825" spans="2:60" x14ac:dyDescent="0.25">
      <c r="B825" s="2"/>
      <c r="C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row>
    <row r="826" spans="2:60" x14ac:dyDescent="0.25">
      <c r="B826" s="2"/>
      <c r="C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row>
    <row r="827" spans="2:60" x14ac:dyDescent="0.25">
      <c r="B827" s="2"/>
      <c r="C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row>
    <row r="828" spans="2:60" x14ac:dyDescent="0.25">
      <c r="B828" s="2"/>
      <c r="C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row>
    <row r="829" spans="2:60" x14ac:dyDescent="0.25">
      <c r="B829" s="2"/>
      <c r="C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row>
    <row r="830" spans="2:60" x14ac:dyDescent="0.25">
      <c r="B830" s="2"/>
      <c r="C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row>
    <row r="831" spans="2:60" x14ac:dyDescent="0.25">
      <c r="B831" s="2"/>
      <c r="C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row>
    <row r="832" spans="2:60" x14ac:dyDescent="0.25">
      <c r="B832" s="2"/>
      <c r="C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row>
    <row r="833" spans="2:60" x14ac:dyDescent="0.25">
      <c r="B833" s="2"/>
      <c r="C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row>
    <row r="834" spans="2:60" x14ac:dyDescent="0.25">
      <c r="B834" s="2"/>
      <c r="C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row>
    <row r="835" spans="2:60" x14ac:dyDescent="0.25">
      <c r="B835" s="2"/>
      <c r="C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row>
    <row r="836" spans="2:60" x14ac:dyDescent="0.25">
      <c r="B836" s="2"/>
      <c r="C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row>
    <row r="837" spans="2:60" x14ac:dyDescent="0.25">
      <c r="B837" s="2"/>
      <c r="C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row>
    <row r="838" spans="2:60" x14ac:dyDescent="0.25">
      <c r="B838" s="2"/>
      <c r="C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row>
    <row r="839" spans="2:60" x14ac:dyDescent="0.25">
      <c r="B839" s="2"/>
      <c r="C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row>
    <row r="840" spans="2:60" x14ac:dyDescent="0.25">
      <c r="B840" s="2"/>
      <c r="C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row>
    <row r="841" spans="2:60" x14ac:dyDescent="0.25">
      <c r="B841" s="2"/>
      <c r="C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row>
    <row r="842" spans="2:60" x14ac:dyDescent="0.25">
      <c r="B842" s="2"/>
      <c r="C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row>
    <row r="843" spans="2:60" x14ac:dyDescent="0.25">
      <c r="B843" s="2"/>
      <c r="C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row>
    <row r="844" spans="2:60" x14ac:dyDescent="0.25">
      <c r="B844" s="2"/>
      <c r="C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row>
    <row r="845" spans="2:60" x14ac:dyDescent="0.25">
      <c r="B845" s="2"/>
      <c r="C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row>
    <row r="846" spans="2:60" x14ac:dyDescent="0.25">
      <c r="B846" s="2"/>
      <c r="C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row>
    <row r="847" spans="2:60" x14ac:dyDescent="0.25">
      <c r="B847" s="2"/>
      <c r="C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row>
    <row r="848" spans="2:60" x14ac:dyDescent="0.25">
      <c r="B848" s="2"/>
      <c r="C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row>
    <row r="849" spans="2:60" x14ac:dyDescent="0.25">
      <c r="B849" s="2"/>
      <c r="C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row>
    <row r="850" spans="2:60" x14ac:dyDescent="0.25">
      <c r="B850" s="2"/>
      <c r="C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row>
    <row r="851" spans="2:60" x14ac:dyDescent="0.25">
      <c r="B851" s="2"/>
      <c r="C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row>
    <row r="852" spans="2:60" x14ac:dyDescent="0.25">
      <c r="B852" s="2"/>
      <c r="C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row>
    <row r="853" spans="2:60" x14ac:dyDescent="0.25">
      <c r="B853" s="2"/>
      <c r="C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row>
    <row r="854" spans="2:60" x14ac:dyDescent="0.25">
      <c r="B854" s="2"/>
      <c r="C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row>
    <row r="855" spans="2:60" x14ac:dyDescent="0.25">
      <c r="B855" s="2"/>
      <c r="C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row>
    <row r="856" spans="2:60" x14ac:dyDescent="0.25">
      <c r="B856" s="2"/>
      <c r="C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row>
    <row r="857" spans="2:60" x14ac:dyDescent="0.25">
      <c r="B857" s="2"/>
      <c r="C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row>
    <row r="858" spans="2:60" x14ac:dyDescent="0.25">
      <c r="B858" s="2"/>
      <c r="C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row>
    <row r="859" spans="2:60" x14ac:dyDescent="0.25">
      <c r="B859" s="2"/>
      <c r="C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row>
    <row r="860" spans="2:60" x14ac:dyDescent="0.25">
      <c r="B860" s="2"/>
      <c r="C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row>
    <row r="861" spans="2:60" x14ac:dyDescent="0.25">
      <c r="B861" s="2"/>
      <c r="C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row>
    <row r="862" spans="2:60" x14ac:dyDescent="0.25">
      <c r="B862" s="2"/>
      <c r="C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row>
    <row r="863" spans="2:60" x14ac:dyDescent="0.25">
      <c r="B863" s="2"/>
      <c r="C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row>
    <row r="864" spans="2:60" x14ac:dyDescent="0.25">
      <c r="B864" s="2"/>
      <c r="C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row>
    <row r="865" spans="2:60" x14ac:dyDescent="0.25">
      <c r="B865" s="2"/>
      <c r="C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row>
    <row r="866" spans="2:60" x14ac:dyDescent="0.25">
      <c r="B866" s="2"/>
      <c r="C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row>
    <row r="867" spans="2:60" x14ac:dyDescent="0.25">
      <c r="B867" s="2"/>
      <c r="C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row>
    <row r="868" spans="2:60" x14ac:dyDescent="0.25">
      <c r="B868" s="2"/>
      <c r="C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row>
    <row r="869" spans="2:60" x14ac:dyDescent="0.25">
      <c r="B869" s="2"/>
      <c r="C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row>
    <row r="870" spans="2:60" x14ac:dyDescent="0.25">
      <c r="B870" s="2"/>
      <c r="C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row>
    <row r="871" spans="2:60" x14ac:dyDescent="0.25">
      <c r="B871" s="2"/>
      <c r="C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row>
    <row r="872" spans="2:60" x14ac:dyDescent="0.25">
      <c r="B872" s="2"/>
      <c r="C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row>
    <row r="873" spans="2:60" x14ac:dyDescent="0.25">
      <c r="B873" s="2"/>
      <c r="C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row>
    <row r="874" spans="2:60" x14ac:dyDescent="0.25">
      <c r="B874" s="2"/>
      <c r="C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row>
    <row r="875" spans="2:60" x14ac:dyDescent="0.25">
      <c r="B875" s="2"/>
      <c r="C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row>
    <row r="876" spans="2:60" x14ac:dyDescent="0.25">
      <c r="B876" s="2"/>
      <c r="C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row>
    <row r="877" spans="2:60" x14ac:dyDescent="0.25">
      <c r="B877" s="2"/>
      <c r="C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row>
    <row r="878" spans="2:60" x14ac:dyDescent="0.25">
      <c r="B878" s="2"/>
      <c r="C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row>
    <row r="879" spans="2:60" x14ac:dyDescent="0.25">
      <c r="B879" s="2"/>
      <c r="C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row>
    <row r="880" spans="2:60" x14ac:dyDescent="0.25">
      <c r="B880" s="2"/>
      <c r="C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row>
    <row r="881" spans="2:60" x14ac:dyDescent="0.25">
      <c r="B881" s="2"/>
      <c r="C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row>
    <row r="882" spans="2:60" x14ac:dyDescent="0.25">
      <c r="B882" s="2"/>
      <c r="C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row>
    <row r="883" spans="2:60" x14ac:dyDescent="0.25">
      <c r="B883" s="2"/>
      <c r="C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row>
    <row r="884" spans="2:60" x14ac:dyDescent="0.25">
      <c r="B884" s="2"/>
      <c r="C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row>
    <row r="885" spans="2:60" x14ac:dyDescent="0.25">
      <c r="B885" s="2"/>
      <c r="C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row>
    <row r="886" spans="2:60" x14ac:dyDescent="0.25">
      <c r="B886" s="2"/>
      <c r="C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row>
    <row r="887" spans="2:60" x14ac:dyDescent="0.25">
      <c r="B887" s="2"/>
      <c r="C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row>
    <row r="888" spans="2:60" x14ac:dyDescent="0.25">
      <c r="B888" s="2"/>
      <c r="C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row>
    <row r="889" spans="2:60" x14ac:dyDescent="0.25">
      <c r="B889" s="2"/>
      <c r="C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row>
    <row r="890" spans="2:60" x14ac:dyDescent="0.25">
      <c r="B890" s="2"/>
      <c r="C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row>
    <row r="891" spans="2:60" x14ac:dyDescent="0.25">
      <c r="B891" s="2"/>
      <c r="C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row>
    <row r="892" spans="2:60" x14ac:dyDescent="0.25">
      <c r="B892" s="2"/>
      <c r="C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row>
    <row r="893" spans="2:60" x14ac:dyDescent="0.25">
      <c r="B893" s="2"/>
      <c r="C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row>
    <row r="894" spans="2:60" x14ac:dyDescent="0.25">
      <c r="B894" s="2"/>
      <c r="C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row>
    <row r="895" spans="2:60" x14ac:dyDescent="0.25">
      <c r="B895" s="2"/>
      <c r="C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row>
    <row r="896" spans="2:60" x14ac:dyDescent="0.25">
      <c r="B896" s="2"/>
      <c r="C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row>
    <row r="897" spans="2:60" x14ac:dyDescent="0.25">
      <c r="B897" s="2"/>
      <c r="C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row>
    <row r="898" spans="2:60" x14ac:dyDescent="0.25">
      <c r="B898" s="2"/>
      <c r="C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row>
    <row r="899" spans="2:60" x14ac:dyDescent="0.25">
      <c r="B899" s="2"/>
      <c r="C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row>
    <row r="900" spans="2:60" x14ac:dyDescent="0.25">
      <c r="B900" s="2"/>
      <c r="C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row>
    <row r="901" spans="2:60" x14ac:dyDescent="0.25">
      <c r="B901" s="2"/>
      <c r="C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row>
    <row r="902" spans="2:60" x14ac:dyDescent="0.25">
      <c r="B902" s="2"/>
      <c r="C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row>
    <row r="903" spans="2:60" x14ac:dyDescent="0.25">
      <c r="B903" s="2"/>
      <c r="C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row>
    <row r="904" spans="2:60" x14ac:dyDescent="0.25">
      <c r="B904" s="2"/>
      <c r="C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row>
    <row r="905" spans="2:60" x14ac:dyDescent="0.25">
      <c r="B905" s="2"/>
      <c r="C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row>
    <row r="906" spans="2:60" x14ac:dyDescent="0.25">
      <c r="B906" s="2"/>
      <c r="C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row>
    <row r="907" spans="2:60" x14ac:dyDescent="0.25">
      <c r="B907" s="2"/>
      <c r="C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row>
    <row r="908" spans="2:60" x14ac:dyDescent="0.25">
      <c r="B908" s="2"/>
      <c r="C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row>
    <row r="909" spans="2:60" x14ac:dyDescent="0.25">
      <c r="B909" s="2"/>
      <c r="C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row>
    <row r="910" spans="2:60" x14ac:dyDescent="0.25">
      <c r="B910" s="2"/>
      <c r="C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row>
    <row r="911" spans="2:60" x14ac:dyDescent="0.25">
      <c r="B911" s="2"/>
      <c r="C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row>
    <row r="912" spans="2:60" x14ac:dyDescent="0.25">
      <c r="B912" s="2"/>
      <c r="C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row>
    <row r="913" spans="2:60" x14ac:dyDescent="0.25">
      <c r="B913" s="2"/>
      <c r="C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row>
    <row r="914" spans="2:60" x14ac:dyDescent="0.25">
      <c r="B914" s="2"/>
      <c r="C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row>
    <row r="915" spans="2:60" x14ac:dyDescent="0.25">
      <c r="B915" s="2"/>
      <c r="C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row>
    <row r="916" spans="2:60" x14ac:dyDescent="0.25">
      <c r="B916" s="2"/>
      <c r="C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row>
    <row r="917" spans="2:60" x14ac:dyDescent="0.25">
      <c r="B917" s="2"/>
      <c r="C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row>
    <row r="918" spans="2:60" x14ac:dyDescent="0.25">
      <c r="B918" s="2"/>
      <c r="C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row>
    <row r="919" spans="2:60" x14ac:dyDescent="0.25">
      <c r="B919" s="2"/>
      <c r="C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row>
    <row r="920" spans="2:60" x14ac:dyDescent="0.25">
      <c r="B920" s="2"/>
      <c r="C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row>
    <row r="921" spans="2:60" x14ac:dyDescent="0.25">
      <c r="B921" s="2"/>
      <c r="C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row>
    <row r="922" spans="2:60" x14ac:dyDescent="0.25">
      <c r="B922" s="2"/>
      <c r="C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row>
    <row r="923" spans="2:60" x14ac:dyDescent="0.25">
      <c r="B923" s="2"/>
      <c r="C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row>
    <row r="924" spans="2:60" x14ac:dyDescent="0.25">
      <c r="B924" s="2"/>
      <c r="C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row>
    <row r="925" spans="2:60" x14ac:dyDescent="0.25">
      <c r="B925" s="2"/>
      <c r="C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row>
    <row r="926" spans="2:60" x14ac:dyDescent="0.25">
      <c r="B926" s="2"/>
      <c r="C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row>
    <row r="927" spans="2:60" x14ac:dyDescent="0.25">
      <c r="B927" s="2"/>
      <c r="C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row>
    <row r="928" spans="2:60" x14ac:dyDescent="0.25">
      <c r="B928" s="2"/>
      <c r="C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row>
    <row r="929" spans="2:60" x14ac:dyDescent="0.25">
      <c r="B929" s="2"/>
      <c r="C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row>
    <row r="930" spans="2:60" x14ac:dyDescent="0.25">
      <c r="B930" s="2"/>
      <c r="C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row>
    <row r="931" spans="2:60" x14ac:dyDescent="0.25">
      <c r="B931" s="2"/>
      <c r="C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row>
    <row r="932" spans="2:60" x14ac:dyDescent="0.25">
      <c r="B932" s="2"/>
      <c r="C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row>
    <row r="933" spans="2:60" x14ac:dyDescent="0.25">
      <c r="B933" s="2"/>
      <c r="C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row>
    <row r="934" spans="2:60" x14ac:dyDescent="0.25">
      <c r="B934" s="2"/>
      <c r="C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row>
    <row r="935" spans="2:60" x14ac:dyDescent="0.25">
      <c r="B935" s="2"/>
      <c r="C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row>
    <row r="936" spans="2:60" x14ac:dyDescent="0.25">
      <c r="B936" s="2"/>
      <c r="C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row>
    <row r="937" spans="2:60" x14ac:dyDescent="0.25">
      <c r="B937" s="2"/>
      <c r="C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row>
    <row r="938" spans="2:60" x14ac:dyDescent="0.25">
      <c r="B938" s="2"/>
      <c r="C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row>
    <row r="939" spans="2:60" x14ac:dyDescent="0.25">
      <c r="B939" s="2"/>
      <c r="C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row>
    <row r="940" spans="2:60" x14ac:dyDescent="0.25">
      <c r="B940" s="2"/>
      <c r="C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row>
    <row r="941" spans="2:60" x14ac:dyDescent="0.25">
      <c r="B941" s="2"/>
      <c r="C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row>
    <row r="942" spans="2:60" x14ac:dyDescent="0.25">
      <c r="B942" s="2"/>
      <c r="C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row>
    <row r="943" spans="2:60" x14ac:dyDescent="0.25">
      <c r="B943" s="2"/>
      <c r="C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row>
    <row r="944" spans="2:60" x14ac:dyDescent="0.25">
      <c r="B944" s="2"/>
      <c r="C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row>
    <row r="945" spans="2:60" x14ac:dyDescent="0.25">
      <c r="B945" s="2"/>
      <c r="C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row>
    <row r="946" spans="2:60" x14ac:dyDescent="0.25">
      <c r="B946" s="2"/>
      <c r="C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row>
    <row r="947" spans="2:60" x14ac:dyDescent="0.25">
      <c r="B947" s="2"/>
      <c r="C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row>
    <row r="948" spans="2:60" x14ac:dyDescent="0.25">
      <c r="B948" s="2"/>
      <c r="C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row>
    <row r="949" spans="2:60" x14ac:dyDescent="0.25">
      <c r="B949" s="2"/>
      <c r="C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row>
    <row r="950" spans="2:60" x14ac:dyDescent="0.25">
      <c r="B950" s="2"/>
      <c r="C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row>
    <row r="951" spans="2:60" x14ac:dyDescent="0.25">
      <c r="B951" s="2"/>
      <c r="C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row>
    <row r="952" spans="2:60" x14ac:dyDescent="0.25">
      <c r="B952" s="2"/>
      <c r="C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row>
    <row r="953" spans="2:60" x14ac:dyDescent="0.25">
      <c r="B953" s="2"/>
      <c r="C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row>
    <row r="954" spans="2:60" x14ac:dyDescent="0.25">
      <c r="B954" s="2"/>
      <c r="C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row>
    <row r="955" spans="2:60" x14ac:dyDescent="0.25">
      <c r="B955" s="2"/>
      <c r="C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row>
    <row r="956" spans="2:60" x14ac:dyDescent="0.25">
      <c r="B956" s="2"/>
      <c r="C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row>
    <row r="957" spans="2:60" x14ac:dyDescent="0.25">
      <c r="B957" s="2"/>
      <c r="C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row>
    <row r="958" spans="2:60" x14ac:dyDescent="0.25">
      <c r="B958" s="2"/>
      <c r="C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row>
    <row r="959" spans="2:60" x14ac:dyDescent="0.25">
      <c r="B959" s="2"/>
      <c r="C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row>
    <row r="960" spans="2:60" x14ac:dyDescent="0.25">
      <c r="B960" s="2"/>
      <c r="C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row>
    <row r="961" spans="2:60" x14ac:dyDescent="0.25">
      <c r="B961" s="2"/>
      <c r="C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row>
    <row r="962" spans="2:60" x14ac:dyDescent="0.25">
      <c r="B962" s="2"/>
      <c r="C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row>
    <row r="963" spans="2:60" x14ac:dyDescent="0.25">
      <c r="B963" s="2"/>
      <c r="C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row>
    <row r="964" spans="2:60" x14ac:dyDescent="0.25">
      <c r="B964" s="2"/>
      <c r="C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row>
    <row r="965" spans="2:60" x14ac:dyDescent="0.25">
      <c r="B965" s="2"/>
      <c r="C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row>
    <row r="966" spans="2:60" x14ac:dyDescent="0.25">
      <c r="B966" s="2"/>
      <c r="C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row>
    <row r="967" spans="2:60" x14ac:dyDescent="0.25">
      <c r="B967" s="2"/>
      <c r="C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row>
    <row r="968" spans="2:60" x14ac:dyDescent="0.25">
      <c r="B968" s="2"/>
      <c r="C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row>
    <row r="969" spans="2:60" x14ac:dyDescent="0.25">
      <c r="B969" s="2"/>
      <c r="C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row>
    <row r="970" spans="2:60" x14ac:dyDescent="0.25">
      <c r="B970" s="2"/>
      <c r="C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row>
    <row r="971" spans="2:60" x14ac:dyDescent="0.25">
      <c r="B971" s="2"/>
      <c r="C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row>
    <row r="972" spans="2:60" x14ac:dyDescent="0.25">
      <c r="B972" s="2"/>
      <c r="C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row>
    <row r="973" spans="2:60" x14ac:dyDescent="0.25">
      <c r="B973" s="2"/>
      <c r="C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row>
    <row r="974" spans="2:60" x14ac:dyDescent="0.25">
      <c r="B974" s="2"/>
      <c r="C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row>
    <row r="975" spans="2:60" x14ac:dyDescent="0.25">
      <c r="B975" s="2"/>
      <c r="C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row>
    <row r="976" spans="2:60" x14ac:dyDescent="0.25">
      <c r="B976" s="2"/>
      <c r="C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row>
    <row r="977" spans="2:60" x14ac:dyDescent="0.25">
      <c r="B977" s="2"/>
      <c r="C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row>
    <row r="978" spans="2:60" x14ac:dyDescent="0.25">
      <c r="B978" s="2"/>
      <c r="C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row>
    <row r="979" spans="2:60" x14ac:dyDescent="0.25">
      <c r="B979" s="2"/>
      <c r="C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row>
    <row r="980" spans="2:60" x14ac:dyDescent="0.25">
      <c r="B980" s="2"/>
      <c r="C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row>
    <row r="981" spans="2:60" x14ac:dyDescent="0.25">
      <c r="B981" s="2"/>
      <c r="C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row>
    <row r="982" spans="2:60" x14ac:dyDescent="0.25">
      <c r="B982" s="2"/>
      <c r="C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row>
    <row r="983" spans="2:60" x14ac:dyDescent="0.25">
      <c r="B983" s="2"/>
      <c r="C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row>
    <row r="984" spans="2:60" x14ac:dyDescent="0.25">
      <c r="B984" s="2"/>
      <c r="C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row>
    <row r="985" spans="2:60" x14ac:dyDescent="0.25">
      <c r="B985" s="2"/>
      <c r="C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row>
    <row r="986" spans="2:60" x14ac:dyDescent="0.25">
      <c r="B986" s="2"/>
      <c r="C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row>
    <row r="987" spans="2:60" x14ac:dyDescent="0.25">
      <c r="B987" s="2"/>
      <c r="C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row>
    <row r="988" spans="2:60" x14ac:dyDescent="0.25">
      <c r="B988" s="2"/>
      <c r="C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row>
    <row r="989" spans="2:60" x14ac:dyDescent="0.25">
      <c r="B989" s="2"/>
      <c r="C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row>
    <row r="990" spans="2:60" x14ac:dyDescent="0.25">
      <c r="B990" s="2"/>
      <c r="C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row>
    <row r="991" spans="2:60" x14ac:dyDescent="0.25">
      <c r="B991" s="2"/>
      <c r="C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row>
    <row r="992" spans="2:60" x14ac:dyDescent="0.25">
      <c r="B992" s="2"/>
      <c r="C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row>
    <row r="993" spans="2:60" x14ac:dyDescent="0.25">
      <c r="B993" s="2"/>
      <c r="C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row>
    <row r="994" spans="2:60" x14ac:dyDescent="0.25">
      <c r="B994" s="2"/>
      <c r="C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row>
    <row r="995" spans="2:60" x14ac:dyDescent="0.25">
      <c r="B995" s="2"/>
      <c r="C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row>
    <row r="996" spans="2:60" x14ac:dyDescent="0.25">
      <c r="B996" s="2"/>
      <c r="C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row>
    <row r="997" spans="2:60" x14ac:dyDescent="0.25">
      <c r="B997" s="2"/>
      <c r="C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row>
    <row r="998" spans="2:60" x14ac:dyDescent="0.25">
      <c r="B998" s="2"/>
      <c r="C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row>
    <row r="999" spans="2:60" x14ac:dyDescent="0.25">
      <c r="B999" s="2"/>
      <c r="C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row>
    <row r="1000" spans="2:60" x14ac:dyDescent="0.25">
      <c r="B1000" s="2"/>
      <c r="C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row>
    <row r="1001" spans="2:60" x14ac:dyDescent="0.25">
      <c r="B1001" s="2"/>
      <c r="C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row>
    <row r="1002" spans="2:60" x14ac:dyDescent="0.25">
      <c r="B1002" s="2"/>
      <c r="C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row>
    <row r="1003" spans="2:60" x14ac:dyDescent="0.25">
      <c r="B1003" s="2"/>
      <c r="C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row>
    <row r="1004" spans="2:60" x14ac:dyDescent="0.25">
      <c r="B1004" s="2"/>
      <c r="C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row>
    <row r="1005" spans="2:60" x14ac:dyDescent="0.25">
      <c r="B1005" s="2"/>
      <c r="C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row>
    <row r="1006" spans="2:60" x14ac:dyDescent="0.25">
      <c r="B1006" s="2"/>
      <c r="C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row>
    <row r="1007" spans="2:60" x14ac:dyDescent="0.25">
      <c r="B1007" s="2"/>
      <c r="C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row>
    <row r="1008" spans="2:60" x14ac:dyDescent="0.25">
      <c r="B1008" s="2"/>
      <c r="C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row>
    <row r="1009" spans="2:60" x14ac:dyDescent="0.25">
      <c r="B1009" s="2"/>
      <c r="C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row>
    <row r="1010" spans="2:60" x14ac:dyDescent="0.25">
      <c r="B1010" s="2"/>
      <c r="C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row>
    <row r="1011" spans="2:60" x14ac:dyDescent="0.25">
      <c r="B1011" s="2"/>
      <c r="C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row>
    <row r="1012" spans="2:60" x14ac:dyDescent="0.25">
      <c r="B1012" s="2"/>
      <c r="C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row>
    <row r="1013" spans="2:60" x14ac:dyDescent="0.25">
      <c r="B1013" s="2"/>
      <c r="C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row>
    <row r="1014" spans="2:60" x14ac:dyDescent="0.25">
      <c r="B1014" s="2"/>
      <c r="C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row>
    <row r="1015" spans="2:60" x14ac:dyDescent="0.25">
      <c r="B1015" s="2"/>
      <c r="C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row>
    <row r="1016" spans="2:60" x14ac:dyDescent="0.25">
      <c r="B1016" s="2"/>
      <c r="C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row>
    <row r="1017" spans="2:60" x14ac:dyDescent="0.25">
      <c r="B1017" s="2"/>
      <c r="C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row>
    <row r="1018" spans="2:60" x14ac:dyDescent="0.25">
      <c r="B1018" s="2"/>
      <c r="C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row>
    <row r="1019" spans="2:60" x14ac:dyDescent="0.25">
      <c r="B1019" s="2"/>
      <c r="C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row>
    <row r="1020" spans="2:60" x14ac:dyDescent="0.25">
      <c r="B1020" s="2"/>
      <c r="C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row>
    <row r="1021" spans="2:60" x14ac:dyDescent="0.25">
      <c r="B1021" s="2"/>
      <c r="C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row>
    <row r="1022" spans="2:60" x14ac:dyDescent="0.25">
      <c r="B1022" s="2"/>
      <c r="C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row>
    <row r="1023" spans="2:60" x14ac:dyDescent="0.25">
      <c r="B1023" s="2"/>
      <c r="C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row>
    <row r="1024" spans="2:60" x14ac:dyDescent="0.25">
      <c r="B1024" s="2"/>
      <c r="C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row>
    <row r="1025" spans="2:60" x14ac:dyDescent="0.25">
      <c r="B1025" s="2"/>
      <c r="C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row>
    <row r="1026" spans="2:60" x14ac:dyDescent="0.25">
      <c r="B1026" s="2"/>
      <c r="C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row>
    <row r="1027" spans="2:60" x14ac:dyDescent="0.25">
      <c r="B1027" s="2"/>
      <c r="C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row>
    <row r="1028" spans="2:60" x14ac:dyDescent="0.25">
      <c r="B1028" s="2"/>
      <c r="C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row>
    <row r="1029" spans="2:60" x14ac:dyDescent="0.25">
      <c r="B1029" s="2"/>
      <c r="C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row>
    <row r="1030" spans="2:60" x14ac:dyDescent="0.25">
      <c r="B1030" s="2"/>
      <c r="C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row>
    <row r="1031" spans="2:60" x14ac:dyDescent="0.25">
      <c r="B1031" s="2"/>
      <c r="C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row>
    <row r="1032" spans="2:60" x14ac:dyDescent="0.25">
      <c r="B1032" s="2"/>
      <c r="C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row>
    <row r="1033" spans="2:60" x14ac:dyDescent="0.25">
      <c r="B1033" s="2"/>
      <c r="C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row>
    <row r="1034" spans="2:60" x14ac:dyDescent="0.25">
      <c r="B1034" s="2"/>
      <c r="C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row>
    <row r="1035" spans="2:60" x14ac:dyDescent="0.25">
      <c r="B1035" s="2"/>
      <c r="C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row>
    <row r="1036" spans="2:60" x14ac:dyDescent="0.25">
      <c r="B1036" s="2"/>
      <c r="C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row>
    <row r="1037" spans="2:60" x14ac:dyDescent="0.25">
      <c r="B1037" s="2"/>
      <c r="C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row>
    <row r="1038" spans="2:60" x14ac:dyDescent="0.25">
      <c r="B1038" s="2"/>
      <c r="C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row>
    <row r="1039" spans="2:60" x14ac:dyDescent="0.25">
      <c r="B1039" s="2"/>
      <c r="C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row>
    <row r="1040" spans="2:60" x14ac:dyDescent="0.25">
      <c r="B1040" s="2"/>
      <c r="C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row>
    <row r="1041" spans="2:60" x14ac:dyDescent="0.25">
      <c r="B1041" s="2"/>
      <c r="C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row>
    <row r="1042" spans="2:60" x14ac:dyDescent="0.25">
      <c r="B1042" s="2"/>
      <c r="C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row>
    <row r="1043" spans="2:60" x14ac:dyDescent="0.25">
      <c r="B1043" s="2"/>
      <c r="C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row>
    <row r="1044" spans="2:60" x14ac:dyDescent="0.25">
      <c r="B1044" s="2"/>
      <c r="C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row>
    <row r="1045" spans="2:60" x14ac:dyDescent="0.25">
      <c r="B1045" s="2"/>
      <c r="C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row>
    <row r="1046" spans="2:60" x14ac:dyDescent="0.25">
      <c r="B1046" s="2"/>
      <c r="C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row>
    <row r="1047" spans="2:60" x14ac:dyDescent="0.25">
      <c r="B1047" s="2"/>
      <c r="C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row>
    <row r="1048" spans="2:60" x14ac:dyDescent="0.25">
      <c r="B1048" s="2"/>
      <c r="C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row>
    <row r="1049" spans="2:60" x14ac:dyDescent="0.25">
      <c r="B1049" s="2"/>
      <c r="C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row>
    <row r="1050" spans="2:60" x14ac:dyDescent="0.25">
      <c r="B1050" s="2"/>
      <c r="C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row>
    <row r="1051" spans="2:60" x14ac:dyDescent="0.25">
      <c r="B1051" s="2"/>
      <c r="C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row>
    <row r="1052" spans="2:60" x14ac:dyDescent="0.25">
      <c r="B1052" s="2"/>
      <c r="C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row>
    <row r="1053" spans="2:60" x14ac:dyDescent="0.25">
      <c r="B1053" s="2"/>
      <c r="C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row>
    <row r="1054" spans="2:60" x14ac:dyDescent="0.25">
      <c r="B1054" s="2"/>
      <c r="C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row>
    <row r="1055" spans="2:60" x14ac:dyDescent="0.25">
      <c r="B1055" s="2"/>
      <c r="C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row>
    <row r="1056" spans="2:60" x14ac:dyDescent="0.25">
      <c r="B1056" s="2"/>
      <c r="C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row>
    <row r="1057" spans="2:60" x14ac:dyDescent="0.25">
      <c r="B1057" s="2"/>
      <c r="C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row>
    <row r="1058" spans="2:60" x14ac:dyDescent="0.25">
      <c r="B1058" s="2"/>
      <c r="C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row>
    <row r="1059" spans="2:60" x14ac:dyDescent="0.25">
      <c r="B1059" s="2"/>
      <c r="C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row>
    <row r="1060" spans="2:60" x14ac:dyDescent="0.25">
      <c r="B1060" s="2"/>
      <c r="C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row>
    <row r="1061" spans="2:60" x14ac:dyDescent="0.25">
      <c r="B1061" s="2"/>
      <c r="C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row>
    <row r="1062" spans="2:60" x14ac:dyDescent="0.25">
      <c r="B1062" s="2"/>
      <c r="C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row>
    <row r="1063" spans="2:60" x14ac:dyDescent="0.25">
      <c r="B1063" s="2"/>
      <c r="C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row>
    <row r="1064" spans="2:60" x14ac:dyDescent="0.25">
      <c r="B1064" s="2"/>
      <c r="C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row>
    <row r="1065" spans="2:60" x14ac:dyDescent="0.25">
      <c r="B1065" s="2"/>
      <c r="C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row>
    <row r="1066" spans="2:60" x14ac:dyDescent="0.25">
      <c r="B1066" s="2"/>
      <c r="C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row>
    <row r="1067" spans="2:60" x14ac:dyDescent="0.25">
      <c r="B1067" s="2"/>
      <c r="C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row>
    <row r="1068" spans="2:60" x14ac:dyDescent="0.25">
      <c r="B1068" s="2"/>
      <c r="C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row>
    <row r="1069" spans="2:60" x14ac:dyDescent="0.25">
      <c r="B1069" s="2"/>
      <c r="C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row>
    <row r="1070" spans="2:60" x14ac:dyDescent="0.25">
      <c r="B1070" s="2"/>
      <c r="C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row>
    <row r="1071" spans="2:60" x14ac:dyDescent="0.25">
      <c r="B1071" s="2"/>
      <c r="C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row>
    <row r="1072" spans="2:60" x14ac:dyDescent="0.25">
      <c r="B1072" s="2"/>
      <c r="C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row>
    <row r="1073" spans="2:60" x14ac:dyDescent="0.25">
      <c r="B1073" s="2"/>
      <c r="C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row>
    <row r="1074" spans="2:60" x14ac:dyDescent="0.25">
      <c r="B1074" s="2"/>
      <c r="C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row>
    <row r="1075" spans="2:60" x14ac:dyDescent="0.25">
      <c r="B1075" s="2"/>
      <c r="C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row>
    <row r="1076" spans="2:60" x14ac:dyDescent="0.25">
      <c r="B1076" s="2"/>
      <c r="C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row>
    <row r="1077" spans="2:60" x14ac:dyDescent="0.25">
      <c r="B1077" s="2"/>
      <c r="C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row>
    <row r="1078" spans="2:60" x14ac:dyDescent="0.25">
      <c r="B1078" s="2"/>
      <c r="C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row>
    <row r="1079" spans="2:60" x14ac:dyDescent="0.25">
      <c r="B1079" s="2"/>
      <c r="C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c r="BH1079" s="2"/>
    </row>
    <row r="1080" spans="2:60" x14ac:dyDescent="0.25">
      <c r="B1080" s="2"/>
      <c r="C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row>
    <row r="1081" spans="2:60" x14ac:dyDescent="0.25">
      <c r="B1081" s="2"/>
      <c r="C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c r="BH1081" s="2"/>
    </row>
    <row r="1082" spans="2:60" x14ac:dyDescent="0.25">
      <c r="B1082" s="2"/>
      <c r="C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row>
    <row r="1083" spans="2:60" x14ac:dyDescent="0.25">
      <c r="B1083" s="2"/>
      <c r="C1083" s="2"/>
      <c r="N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c r="BH1083" s="2"/>
    </row>
    <row r="1084" spans="2:60" x14ac:dyDescent="0.25">
      <c r="B1084" s="2"/>
      <c r="C1084" s="2"/>
      <c r="N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c r="BH1084" s="2"/>
    </row>
    <row r="1085" spans="2:60" x14ac:dyDescent="0.25">
      <c r="B1085" s="2"/>
      <c r="C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c r="BH1085" s="2"/>
    </row>
    <row r="1086" spans="2:60" x14ac:dyDescent="0.25">
      <c r="B1086" s="2"/>
      <c r="C1086" s="2"/>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c r="BH1086" s="2"/>
    </row>
    <row r="1087" spans="2:60" x14ac:dyDescent="0.25">
      <c r="B1087" s="2"/>
      <c r="C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c r="BG1087" s="2"/>
      <c r="BH1087" s="2"/>
    </row>
    <row r="1088" spans="2:60" x14ac:dyDescent="0.25">
      <c r="B1088" s="2"/>
      <c r="C1088" s="2"/>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c r="BG1088" s="2"/>
      <c r="BH1088" s="2"/>
    </row>
    <row r="1089" spans="2:60" x14ac:dyDescent="0.25">
      <c r="B1089" s="2"/>
      <c r="C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c r="BG1089" s="2"/>
      <c r="BH1089" s="2"/>
    </row>
    <row r="1090" spans="2:60" x14ac:dyDescent="0.25">
      <c r="B1090" s="2"/>
      <c r="C1090" s="2"/>
      <c r="N1090" s="2"/>
      <c r="O1090" s="2"/>
      <c r="P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row>
    <row r="1091" spans="2:60" x14ac:dyDescent="0.25">
      <c r="B1091" s="2"/>
      <c r="C1091" s="2"/>
      <c r="N1091" s="2"/>
      <c r="O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row>
    <row r="1092" spans="2:60" x14ac:dyDescent="0.25">
      <c r="B1092" s="2"/>
      <c r="C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c r="BG1092" s="2"/>
      <c r="BH1092" s="2"/>
    </row>
    <row r="1093" spans="2:60" x14ac:dyDescent="0.25">
      <c r="B1093" s="2"/>
      <c r="C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row>
    <row r="1094" spans="2:60" x14ac:dyDescent="0.25">
      <c r="B1094" s="2"/>
      <c r="C1094" s="2"/>
      <c r="N1094" s="2"/>
      <c r="O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row>
    <row r="1095" spans="2:60" x14ac:dyDescent="0.25">
      <c r="B1095" s="2"/>
      <c r="C1095" s="2"/>
      <c r="N1095" s="2"/>
      <c r="O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row>
    <row r="1096" spans="2:60" x14ac:dyDescent="0.25">
      <c r="B1096" s="2"/>
      <c r="C1096" s="2"/>
      <c r="N1096" s="2"/>
      <c r="O1096" s="2"/>
      <c r="P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row>
    <row r="1097" spans="2:60" x14ac:dyDescent="0.25">
      <c r="B1097" s="2"/>
      <c r="C1097" s="2"/>
      <c r="N1097" s="2"/>
      <c r="O1097" s="2"/>
      <c r="P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c r="BF1097" s="2"/>
      <c r="BG1097" s="2"/>
      <c r="BH1097" s="2"/>
    </row>
    <row r="1098" spans="2:60" x14ac:dyDescent="0.25">
      <c r="B1098" s="2"/>
      <c r="C1098" s="2"/>
      <c r="N1098" s="2"/>
      <c r="O1098" s="2"/>
      <c r="P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c r="BF1098" s="2"/>
      <c r="BG1098" s="2"/>
      <c r="BH1098" s="2"/>
    </row>
    <row r="1099" spans="2:60" x14ac:dyDescent="0.25">
      <c r="B1099" s="2"/>
      <c r="C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row>
    <row r="1100" spans="2:60" x14ac:dyDescent="0.25">
      <c r="B1100" s="2"/>
      <c r="C1100" s="2"/>
      <c r="N1100" s="2"/>
      <c r="O1100" s="2"/>
      <c r="P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c r="BF1100" s="2"/>
      <c r="BG1100" s="2"/>
      <c r="BH1100" s="2"/>
    </row>
    <row r="1101" spans="2:60" x14ac:dyDescent="0.25">
      <c r="B1101" s="2"/>
      <c r="C1101" s="2"/>
      <c r="N1101" s="2"/>
      <c r="O1101" s="2"/>
      <c r="P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c r="BE1101" s="2"/>
      <c r="BF1101" s="2"/>
      <c r="BG1101" s="2"/>
      <c r="BH1101" s="2"/>
    </row>
  </sheetData>
  <pageMargins left="0.7" right="0.7" top="0.75" bottom="0.75" header="0.3" footer="0.3"/>
  <pageSetup scale="61"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pageSetUpPr fitToPage="1"/>
  </sheetPr>
  <dimension ref="A1:K36"/>
  <sheetViews>
    <sheetView workbookViewId="0"/>
  </sheetViews>
  <sheetFormatPr defaultColWidth="9.140625" defaultRowHeight="15" x14ac:dyDescent="0.25"/>
  <cols>
    <col min="1" max="1" width="3.7109375" style="2" customWidth="1"/>
    <col min="2" max="2" width="32.28515625" style="2" bestFit="1" customWidth="1"/>
    <col min="3" max="3" width="12.28515625" style="2" customWidth="1"/>
    <col min="4" max="4" width="7.7109375" style="2" customWidth="1"/>
    <col min="5" max="5" width="9.140625" style="3"/>
    <col min="6" max="16384" width="9.140625" style="2"/>
  </cols>
  <sheetData>
    <row r="1" spans="1:9" x14ac:dyDescent="0.25">
      <c r="A1" s="4" t="str">
        <f>Inputs!A1</f>
        <v>Pfizer</v>
      </c>
    </row>
    <row r="2" spans="1:9" x14ac:dyDescent="0.25">
      <c r="A2" s="3" t="s">
        <v>398</v>
      </c>
    </row>
    <row r="4" spans="1:9" x14ac:dyDescent="0.25">
      <c r="A4" s="104"/>
      <c r="B4" s="104"/>
      <c r="C4" s="104"/>
      <c r="D4" s="104"/>
      <c r="E4" s="126"/>
      <c r="F4" s="104"/>
      <c r="G4" s="104"/>
      <c r="H4" s="104"/>
      <c r="I4" s="104"/>
    </row>
    <row r="6" spans="1:9" x14ac:dyDescent="0.25">
      <c r="A6" s="1" t="s">
        <v>399</v>
      </c>
      <c r="E6" s="3" t="s">
        <v>400</v>
      </c>
    </row>
    <row r="7" spans="1:9" x14ac:dyDescent="0.25">
      <c r="B7" s="2" t="s">
        <v>13</v>
      </c>
      <c r="C7" s="120">
        <f>Inputs!B12</f>
        <v>4.8300000000000003E-2</v>
      </c>
      <c r="E7" s="3" t="s">
        <v>694</v>
      </c>
    </row>
    <row r="8" spans="1:9" x14ac:dyDescent="0.25">
      <c r="B8" s="2" t="s">
        <v>12</v>
      </c>
      <c r="C8" s="64">
        <f>Inputs!B11</f>
        <v>0.54999999999999993</v>
      </c>
      <c r="E8" s="3" t="s">
        <v>697</v>
      </c>
    </row>
    <row r="9" spans="1:9" x14ac:dyDescent="0.25">
      <c r="B9" s="36" t="s">
        <v>14</v>
      </c>
      <c r="C9" s="121">
        <f>Inputs!B13</f>
        <v>5.0099999999999999E-2</v>
      </c>
      <c r="E9" s="3" t="s">
        <v>696</v>
      </c>
    </row>
    <row r="10" spans="1:9" x14ac:dyDescent="0.25">
      <c r="B10" s="1" t="s">
        <v>20</v>
      </c>
      <c r="C10" s="122">
        <f>C7+(C8*C9)</f>
        <v>7.5855000000000006E-2</v>
      </c>
    </row>
    <row r="12" spans="1:9" x14ac:dyDescent="0.25">
      <c r="A12" s="1" t="s">
        <v>401</v>
      </c>
    </row>
    <row r="13" spans="1:9" x14ac:dyDescent="0.25">
      <c r="B13" s="2" t="s">
        <v>13</v>
      </c>
      <c r="C13" s="43">
        <f>Inputs!B12</f>
        <v>4.8300000000000003E-2</v>
      </c>
      <c r="E13" s="3" t="s">
        <v>694</v>
      </c>
    </row>
    <row r="14" spans="1:9" x14ac:dyDescent="0.25">
      <c r="B14" s="2" t="s">
        <v>402</v>
      </c>
      <c r="C14" s="125">
        <f>C15-C13</f>
        <v>1.14E-2</v>
      </c>
    </row>
    <row r="15" spans="1:9" x14ac:dyDescent="0.25">
      <c r="B15" s="2" t="s">
        <v>11</v>
      </c>
      <c r="C15" s="120">
        <f>Inputs!B10</f>
        <v>5.9700000000000003E-2</v>
      </c>
      <c r="E15" s="3" t="s">
        <v>695</v>
      </c>
    </row>
    <row r="16" spans="1:9" x14ac:dyDescent="0.25">
      <c r="B16" s="2" t="s">
        <v>403</v>
      </c>
      <c r="C16" s="123">
        <f>Inputs!B17</f>
        <v>0.22</v>
      </c>
    </row>
    <row r="17" spans="1:11" x14ac:dyDescent="0.25">
      <c r="B17" s="1" t="s">
        <v>404</v>
      </c>
      <c r="C17" s="124">
        <f>C15*(1-C16)</f>
        <v>4.6566000000000003E-2</v>
      </c>
    </row>
    <row r="19" spans="1:11" x14ac:dyDescent="0.25">
      <c r="A19" s="36"/>
      <c r="B19" s="36"/>
      <c r="C19" s="36"/>
      <c r="D19" s="36"/>
      <c r="E19" s="127"/>
      <c r="F19" s="36"/>
      <c r="G19" s="36"/>
      <c r="H19" s="36"/>
      <c r="I19" s="36"/>
    </row>
    <row r="21" spans="1:11" x14ac:dyDescent="0.25">
      <c r="A21" s="1" t="s">
        <v>405</v>
      </c>
      <c r="E21" s="2"/>
      <c r="F21" s="73" t="s">
        <v>406</v>
      </c>
    </row>
    <row r="22" spans="1:11" x14ac:dyDescent="0.25">
      <c r="B22" s="2" t="s">
        <v>407</v>
      </c>
      <c r="C22" s="33">
        <f>IS_Sorted!L34</f>
        <v>5616</v>
      </c>
      <c r="E22" s="2"/>
    </row>
    <row r="23" spans="1:11" x14ac:dyDescent="0.25">
      <c r="B23" s="2" t="s">
        <v>408</v>
      </c>
      <c r="C23" s="128">
        <f>Inputs!B5</f>
        <v>29.48</v>
      </c>
      <c r="E23" s="24"/>
    </row>
    <row r="24" spans="1:11" x14ac:dyDescent="0.25">
      <c r="B24" s="1" t="s">
        <v>409</v>
      </c>
      <c r="C24" s="129">
        <f>C22*C23</f>
        <v>165559.67999999999</v>
      </c>
      <c r="E24" s="2"/>
      <c r="F24" s="131">
        <f>C24/$C$33</f>
        <v>0.6919695274455625</v>
      </c>
    </row>
    <row r="25" spans="1:11" x14ac:dyDescent="0.25">
      <c r="E25" s="2"/>
    </row>
    <row r="26" spans="1:11" x14ac:dyDescent="0.25">
      <c r="A26" s="1" t="s">
        <v>410</v>
      </c>
      <c r="E26" s="2"/>
      <c r="K26" s="3"/>
    </row>
    <row r="27" spans="1:11" x14ac:dyDescent="0.25">
      <c r="B27" s="2" t="s">
        <v>411</v>
      </c>
      <c r="C27" s="33">
        <f>BS_Sorted!M29</f>
        <v>7981.724899015655</v>
      </c>
      <c r="E27" s="2"/>
    </row>
    <row r="28" spans="1:11" x14ac:dyDescent="0.25">
      <c r="B28" s="2" t="s">
        <v>412</v>
      </c>
      <c r="C28" s="2">
        <v>2550</v>
      </c>
      <c r="D28" s="2" t="s">
        <v>618</v>
      </c>
      <c r="E28" s="2"/>
    </row>
    <row r="29" spans="1:11" x14ac:dyDescent="0.25">
      <c r="B29" s="2" t="s">
        <v>413</v>
      </c>
      <c r="C29" s="33">
        <f>BS_Sorted!M38</f>
        <v>63014.22345586466</v>
      </c>
      <c r="E29" s="2"/>
    </row>
    <row r="30" spans="1:11" x14ac:dyDescent="0.25">
      <c r="B30" s="2" t="s">
        <v>414</v>
      </c>
      <c r="C30" s="36">
        <v>153</v>
      </c>
      <c r="E30" s="2"/>
    </row>
    <row r="31" spans="1:11" x14ac:dyDescent="0.25">
      <c r="B31" s="1" t="s">
        <v>415</v>
      </c>
      <c r="C31" s="129">
        <f>SUM(C27:C30)</f>
        <v>73698.948354880311</v>
      </c>
      <c r="E31" s="2"/>
      <c r="F31" s="131">
        <f>C31/$C$33</f>
        <v>0.30803047255443744</v>
      </c>
    </row>
    <row r="33" spans="1:9" x14ac:dyDescent="0.25">
      <c r="A33" s="1" t="s">
        <v>416</v>
      </c>
      <c r="B33" s="1"/>
      <c r="C33" s="130">
        <f>C24+C31</f>
        <v>239258.62835488032</v>
      </c>
      <c r="F33" s="120">
        <f>F31+F24</f>
        <v>1</v>
      </c>
    </row>
    <row r="34" spans="1:9" x14ac:dyDescent="0.25">
      <c r="A34" s="36"/>
      <c r="B34" s="36"/>
      <c r="C34" s="36"/>
      <c r="D34" s="36"/>
      <c r="E34" s="127"/>
      <c r="F34" s="36"/>
      <c r="G34" s="36"/>
      <c r="H34" s="36"/>
      <c r="I34" s="36"/>
    </row>
    <row r="35" spans="1:9" ht="15.75" thickBot="1" x14ac:dyDescent="0.3"/>
    <row r="36" spans="1:9" ht="15.75" thickBot="1" x14ac:dyDescent="0.3">
      <c r="C36" s="1" t="s">
        <v>417</v>
      </c>
      <c r="D36" s="1"/>
      <c r="E36" s="42"/>
      <c r="F36" s="132">
        <f>(C10*F24)+(C17*F31)</f>
        <v>6.6833095489353081E-2</v>
      </c>
    </row>
  </sheetData>
  <phoneticPr fontId="0" type="noConversion"/>
  <pageMargins left="0.75" right="0.75" top="1" bottom="1" header="0.5" footer="0.5"/>
  <pageSetup scale="86" orientation="landscape" r:id="rId1"/>
  <headerFooter alignWithMargins="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AB1107"/>
  <sheetViews>
    <sheetView workbookViewId="0"/>
  </sheetViews>
  <sheetFormatPr defaultColWidth="9.140625" defaultRowHeight="15" x14ac:dyDescent="0.25"/>
  <cols>
    <col min="1" max="1" width="29.7109375" style="6" customWidth="1"/>
    <col min="2" max="2" width="10.7109375" style="7" bestFit="1" customWidth="1"/>
    <col min="3" max="28" width="9.140625" style="7"/>
    <col min="29" max="16384" width="9.140625" style="2"/>
  </cols>
  <sheetData>
    <row r="1" spans="1:28" x14ac:dyDescent="0.25">
      <c r="A1" s="4" t="str">
        <f>Inputs!A1</f>
        <v>Pfizer</v>
      </c>
      <c r="B1" s="2"/>
      <c r="C1" s="2"/>
      <c r="D1" s="2"/>
      <c r="E1" s="2"/>
      <c r="F1" s="2"/>
      <c r="G1" s="2"/>
      <c r="H1" s="2"/>
      <c r="I1" s="2"/>
      <c r="J1" s="2"/>
      <c r="K1" s="2"/>
      <c r="L1" s="2"/>
      <c r="M1" s="2"/>
      <c r="N1" s="2"/>
      <c r="O1" s="2"/>
      <c r="P1" s="2"/>
      <c r="Q1" s="2"/>
      <c r="R1" s="2"/>
      <c r="S1" s="2"/>
      <c r="T1" s="2"/>
      <c r="U1" s="2"/>
      <c r="V1" s="2"/>
      <c r="W1" s="2"/>
      <c r="X1" s="2"/>
      <c r="Y1" s="2"/>
      <c r="Z1" s="2"/>
      <c r="AA1" s="2"/>
      <c r="AB1" s="2"/>
    </row>
    <row r="2" spans="1:28" x14ac:dyDescent="0.25">
      <c r="A2" s="5" t="s">
        <v>418</v>
      </c>
      <c r="B2" s="2"/>
      <c r="C2" s="2"/>
      <c r="D2" s="2"/>
      <c r="E2" s="2"/>
      <c r="F2" s="2"/>
      <c r="G2" s="2"/>
      <c r="H2" s="2"/>
      <c r="I2" s="2"/>
      <c r="J2" s="2"/>
      <c r="K2" s="2"/>
      <c r="L2" s="2"/>
      <c r="M2" s="2"/>
      <c r="N2" s="2"/>
      <c r="O2" s="2"/>
      <c r="P2" s="2"/>
      <c r="Q2" s="2"/>
      <c r="R2" s="2"/>
      <c r="S2" s="2"/>
      <c r="T2" s="2"/>
      <c r="U2" s="2"/>
      <c r="V2" s="2"/>
      <c r="W2" s="2"/>
      <c r="X2" s="2"/>
      <c r="Y2" s="2"/>
      <c r="Z2" s="2"/>
      <c r="AA2" s="2"/>
      <c r="AB2" s="2"/>
    </row>
    <row r="3" spans="1:28" x14ac:dyDescent="0.25">
      <c r="A3" s="5"/>
      <c r="B3" s="2"/>
      <c r="C3" s="2"/>
      <c r="D3" s="2"/>
      <c r="E3" s="2"/>
      <c r="F3" s="2"/>
      <c r="G3" s="2"/>
      <c r="H3" s="2"/>
      <c r="I3" s="2"/>
      <c r="J3" s="2"/>
      <c r="K3" s="2"/>
      <c r="L3" s="2"/>
      <c r="M3" s="2"/>
      <c r="N3" s="2"/>
      <c r="O3" s="2"/>
      <c r="P3" s="2"/>
      <c r="Q3" s="2"/>
      <c r="R3" s="2"/>
      <c r="S3" s="2"/>
      <c r="T3" s="2"/>
      <c r="U3" s="2"/>
      <c r="V3" s="2"/>
      <c r="W3" s="2"/>
      <c r="X3" s="2"/>
      <c r="Y3" s="2"/>
      <c r="Z3" s="2"/>
      <c r="AA3" s="2"/>
      <c r="AB3" s="2"/>
    </row>
    <row r="4" spans="1:28" x14ac:dyDescent="0.25">
      <c r="A4" s="6" t="s">
        <v>419</v>
      </c>
      <c r="B4" s="2"/>
      <c r="C4" s="2"/>
      <c r="D4" s="2"/>
      <c r="E4" s="2"/>
      <c r="F4" s="2"/>
      <c r="G4" s="2"/>
      <c r="H4" s="2"/>
      <c r="I4" s="2"/>
      <c r="J4" s="2"/>
      <c r="K4" s="2"/>
      <c r="L4" s="2"/>
      <c r="M4" s="2"/>
      <c r="N4" s="2"/>
      <c r="O4" s="2"/>
      <c r="P4" s="2"/>
      <c r="Q4" s="2"/>
      <c r="R4" s="2"/>
      <c r="S4" s="2"/>
      <c r="T4" s="2"/>
      <c r="U4" s="2"/>
      <c r="V4" s="2"/>
      <c r="W4" s="2"/>
      <c r="X4" s="2"/>
      <c r="Y4" s="2"/>
      <c r="Z4" s="2"/>
      <c r="AA4" s="2"/>
      <c r="AB4" s="2"/>
    </row>
    <row r="5" spans="1:28" x14ac:dyDescent="0.25">
      <c r="A5" s="6" t="s">
        <v>420</v>
      </c>
      <c r="B5" s="83">
        <f>Inputs!B14</f>
        <v>2.5000000000000001E-2</v>
      </c>
      <c r="C5" s="2"/>
      <c r="D5" s="2"/>
      <c r="E5" s="2"/>
      <c r="F5" s="2"/>
      <c r="G5" s="2"/>
      <c r="H5" s="2"/>
      <c r="I5" s="2"/>
      <c r="J5" s="2"/>
      <c r="K5" s="2"/>
      <c r="L5" s="2"/>
      <c r="M5" s="2"/>
      <c r="N5" s="2"/>
      <c r="O5" s="2"/>
      <c r="P5" s="2"/>
      <c r="Q5" s="2"/>
      <c r="R5" s="2"/>
      <c r="S5" s="2"/>
      <c r="T5" s="2"/>
      <c r="U5" s="2"/>
      <c r="V5" s="2"/>
      <c r="W5" s="2"/>
      <c r="X5" s="2"/>
      <c r="Y5" s="2"/>
      <c r="Z5" s="2"/>
      <c r="AA5" s="2"/>
      <c r="AB5" s="2"/>
    </row>
    <row r="6" spans="1:28" x14ac:dyDescent="0.25">
      <c r="A6" s="6" t="s">
        <v>421</v>
      </c>
      <c r="B6" s="83">
        <f>Drivers!T48</f>
        <v>0.19353625964273957</v>
      </c>
      <c r="C6" s="2"/>
      <c r="D6" s="2"/>
      <c r="E6" s="2"/>
      <c r="F6" s="2"/>
      <c r="G6" s="2"/>
      <c r="H6" s="2"/>
      <c r="I6" s="2"/>
      <c r="J6" s="2"/>
      <c r="K6" s="2"/>
      <c r="L6" s="2"/>
      <c r="M6" s="2"/>
      <c r="N6" s="2"/>
      <c r="O6" s="2"/>
      <c r="P6" s="2"/>
      <c r="Q6" s="2"/>
      <c r="R6" s="2"/>
      <c r="S6" s="2"/>
      <c r="T6" s="2"/>
      <c r="U6" s="2"/>
      <c r="V6" s="2"/>
      <c r="W6" s="2"/>
      <c r="X6" s="2"/>
      <c r="Y6" s="2"/>
      <c r="Z6" s="2"/>
      <c r="AA6" s="2"/>
      <c r="AB6" s="2"/>
    </row>
    <row r="7" spans="1:28" x14ac:dyDescent="0.25">
      <c r="A7" s="6" t="s">
        <v>422</v>
      </c>
      <c r="B7" s="83">
        <f>Inputs!B20</f>
        <v>6.6833095489353081E-2</v>
      </c>
      <c r="C7" s="2"/>
      <c r="D7" s="2"/>
      <c r="E7" s="2"/>
      <c r="F7" s="2"/>
      <c r="G7" s="2"/>
      <c r="H7" s="2"/>
      <c r="I7" s="2"/>
      <c r="J7" s="2"/>
      <c r="K7" s="2"/>
      <c r="L7" s="2"/>
      <c r="M7" s="2"/>
      <c r="N7" s="2"/>
      <c r="O7" s="2"/>
      <c r="P7" s="2"/>
      <c r="Q7" s="2"/>
      <c r="R7" s="2"/>
      <c r="S7" s="2"/>
      <c r="T7" s="2"/>
      <c r="U7" s="2"/>
      <c r="V7" s="2"/>
      <c r="W7" s="2"/>
      <c r="X7" s="2"/>
      <c r="Y7" s="2"/>
      <c r="Z7" s="2"/>
      <c r="AA7" s="2"/>
      <c r="AB7" s="2"/>
    </row>
    <row r="8" spans="1:28" x14ac:dyDescent="0.25">
      <c r="A8" s="6" t="s">
        <v>423</v>
      </c>
      <c r="B8" s="83">
        <f>Inputs!B19</f>
        <v>7.5855000000000006E-2</v>
      </c>
    </row>
    <row r="9" spans="1:28" x14ac:dyDescent="0.25">
      <c r="A9" s="5"/>
    </row>
    <row r="10" spans="1:28" s="561" customFormat="1" ht="15.75" thickBot="1" x14ac:dyDescent="0.3">
      <c r="A10" s="80" t="str">
        <f>CONCATENATE("Fiscal Years Ending ",Inputs!B7)</f>
        <v>Fiscal Years Ending Dec. 31</v>
      </c>
      <c r="B10" s="81" t="s">
        <v>28</v>
      </c>
      <c r="C10" s="81" t="s">
        <v>29</v>
      </c>
      <c r="D10" s="81" t="s">
        <v>30</v>
      </c>
      <c r="E10" s="81" t="s">
        <v>31</v>
      </c>
      <c r="F10" s="81" t="s">
        <v>32</v>
      </c>
      <c r="G10" s="81" t="s">
        <v>33</v>
      </c>
      <c r="H10" s="81" t="s">
        <v>34</v>
      </c>
      <c r="I10" s="81" t="s">
        <v>35</v>
      </c>
      <c r="J10" s="81"/>
      <c r="K10" s="81"/>
    </row>
    <row r="11" spans="1:28" s="9" customFormat="1" x14ac:dyDescent="0.25">
      <c r="A11" s="8"/>
    </row>
    <row r="12" spans="1:28" s="9" customFormat="1" x14ac:dyDescent="0.25">
      <c r="A12" s="1" t="s">
        <v>424</v>
      </c>
    </row>
    <row r="13" spans="1:28" s="9" customFormat="1" x14ac:dyDescent="0.25">
      <c r="A13" s="88" t="s">
        <v>425</v>
      </c>
      <c r="B13" s="90">
        <f>Drivers!M44</f>
        <v>25372.745206166717</v>
      </c>
      <c r="C13" s="90">
        <f>Drivers!N44</f>
        <v>15236.515783026041</v>
      </c>
      <c r="D13" s="90">
        <f>Drivers!O44</f>
        <v>16943.236872579924</v>
      </c>
      <c r="E13" s="90">
        <f>Drivers!P44</f>
        <v>16840.326581927067</v>
      </c>
      <c r="F13" s="90">
        <f>Drivers!Q44</f>
        <v>16522.870806150346</v>
      </c>
      <c r="G13" s="90">
        <f>Drivers!R44</f>
        <v>15218.515782860228</v>
      </c>
      <c r="H13" s="90">
        <f>Drivers!S44</f>
        <v>15649.728888402926</v>
      </c>
      <c r="I13" s="93"/>
      <c r="J13" s="93"/>
      <c r="K13" s="93"/>
    </row>
    <row r="14" spans="1:28" s="9" customFormat="1" x14ac:dyDescent="0.25">
      <c r="A14" s="88" t="s">
        <v>426</v>
      </c>
      <c r="B14" s="91"/>
      <c r="C14" s="91"/>
      <c r="D14" s="91"/>
      <c r="E14" s="91"/>
      <c r="F14" s="91"/>
      <c r="G14" s="91"/>
      <c r="H14" s="91"/>
      <c r="I14" s="92">
        <f>Drivers!T23*(1-(B5/B6))/(B7-B5)</f>
        <v>211382.85556520213</v>
      </c>
      <c r="J14" s="93"/>
      <c r="K14" s="93"/>
      <c r="M14" s="6"/>
    </row>
    <row r="15" spans="1:28" s="9" customFormat="1" x14ac:dyDescent="0.25">
      <c r="A15" s="88" t="s">
        <v>427</v>
      </c>
      <c r="B15" s="90">
        <f t="shared" ref="B15:H15" si="0">B13/(1+$B$7)^B51</f>
        <v>23783.23780303077</v>
      </c>
      <c r="C15" s="90">
        <f t="shared" si="0"/>
        <v>13387.291065723566</v>
      </c>
      <c r="D15" s="90">
        <f t="shared" si="0"/>
        <v>13954.264237604293</v>
      </c>
      <c r="E15" s="90">
        <f t="shared" si="0"/>
        <v>13000.63572125184</v>
      </c>
      <c r="F15" s="90">
        <f t="shared" si="0"/>
        <v>11956.473541656118</v>
      </c>
      <c r="G15" s="90">
        <f t="shared" si="0"/>
        <v>10322.70268862378</v>
      </c>
      <c r="H15" s="90">
        <f t="shared" si="0"/>
        <v>9950.1919405914687</v>
      </c>
      <c r="I15" s="90">
        <f>I14/(1+$B$7)^H51</f>
        <v>134398.49347056192</v>
      </c>
      <c r="J15" s="93"/>
      <c r="K15" s="93"/>
    </row>
    <row r="16" spans="1:28" s="9" customFormat="1" x14ac:dyDescent="0.25">
      <c r="A16" s="88"/>
      <c r="B16" s="93"/>
      <c r="C16" s="93"/>
      <c r="D16" s="93"/>
      <c r="E16" s="93"/>
      <c r="F16" s="93"/>
      <c r="G16" s="93"/>
      <c r="H16" s="93"/>
      <c r="I16" s="93"/>
      <c r="J16" s="93"/>
      <c r="K16" s="93"/>
    </row>
    <row r="17" spans="1:28" x14ac:dyDescent="0.25">
      <c r="A17" s="88" t="s">
        <v>428</v>
      </c>
      <c r="B17" s="94">
        <f>SUM(B15:I15)</f>
        <v>230753.29046904377</v>
      </c>
      <c r="C17" s="38"/>
      <c r="D17" s="38"/>
      <c r="E17" s="38"/>
      <c r="F17" s="38"/>
      <c r="G17" s="38"/>
      <c r="H17" s="38"/>
      <c r="I17" s="38"/>
      <c r="J17" s="38"/>
      <c r="K17" s="38"/>
      <c r="L17" s="2"/>
      <c r="M17" s="2"/>
      <c r="N17" s="2"/>
      <c r="O17" s="2"/>
      <c r="P17" s="2"/>
      <c r="Q17" s="2"/>
      <c r="R17" s="2"/>
      <c r="S17" s="2"/>
      <c r="T17" s="2"/>
      <c r="U17" s="2"/>
      <c r="V17" s="2"/>
      <c r="W17" s="2"/>
      <c r="X17" s="2"/>
      <c r="Y17" s="2"/>
      <c r="Z17" s="2"/>
      <c r="AA17" s="2"/>
      <c r="AB17" s="2"/>
    </row>
    <row r="18" spans="1:28" x14ac:dyDescent="0.25">
      <c r="A18" s="88" t="s">
        <v>429</v>
      </c>
      <c r="B18" s="94" cm="1">
        <f t="array" ref="B18">SUM(B19:B21,-B22:B25)</f>
        <v>-46252.051723576871</v>
      </c>
      <c r="C18" s="38"/>
      <c r="D18" s="38"/>
      <c r="E18" s="38"/>
      <c r="F18" s="38"/>
      <c r="G18" s="38"/>
      <c r="H18" s="38"/>
      <c r="I18" s="38"/>
      <c r="J18" s="38"/>
      <c r="K18" s="38"/>
      <c r="L18" s="2"/>
      <c r="M18" s="2"/>
      <c r="N18" s="2"/>
      <c r="O18" s="2"/>
      <c r="P18" s="2"/>
      <c r="Q18" s="2"/>
      <c r="R18" s="2"/>
      <c r="S18" s="2"/>
      <c r="T18" s="2"/>
      <c r="U18" s="2"/>
      <c r="V18" s="2"/>
      <c r="W18" s="2"/>
      <c r="X18" s="2"/>
      <c r="Y18" s="2"/>
      <c r="Z18" s="2"/>
      <c r="AA18" s="2"/>
      <c r="AB18" s="2"/>
    </row>
    <row r="19" spans="1:28" x14ac:dyDescent="0.25">
      <c r="A19" s="88" t="s">
        <v>644</v>
      </c>
      <c r="B19" s="94">
        <f>BS_Sorted!L7</f>
        <v>22316</v>
      </c>
      <c r="C19" s="38"/>
      <c r="D19" s="38"/>
      <c r="E19" s="38"/>
      <c r="F19" s="38"/>
      <c r="G19" s="38"/>
      <c r="H19" s="38"/>
      <c r="I19" s="38"/>
      <c r="J19" s="38"/>
      <c r="K19" s="38"/>
      <c r="L19" s="2"/>
      <c r="M19" s="2"/>
      <c r="N19" s="2"/>
      <c r="O19" s="2"/>
      <c r="P19" s="2"/>
      <c r="Q19" s="2"/>
      <c r="R19" s="2"/>
      <c r="S19" s="2"/>
      <c r="T19" s="2"/>
      <c r="U19" s="2"/>
      <c r="V19" s="2"/>
      <c r="W19" s="2"/>
      <c r="X19" s="2"/>
      <c r="Y19" s="2"/>
      <c r="Z19" s="2"/>
      <c r="AA19" s="2"/>
      <c r="AB19" s="2"/>
    </row>
    <row r="20" spans="1:28" x14ac:dyDescent="0.25">
      <c r="A20" s="88" t="s">
        <v>645</v>
      </c>
      <c r="B20" s="94">
        <f>BS_Sorted!L18</f>
        <v>4036</v>
      </c>
      <c r="C20" s="38"/>
      <c r="D20" s="38"/>
      <c r="E20" s="38"/>
      <c r="F20" s="38"/>
      <c r="G20" s="38"/>
      <c r="H20" s="38"/>
      <c r="I20" s="38"/>
      <c r="J20" s="38"/>
      <c r="K20" s="38"/>
      <c r="L20" s="2"/>
      <c r="M20" s="2"/>
      <c r="N20" s="2"/>
      <c r="O20" s="2"/>
      <c r="P20" s="2"/>
      <c r="Q20" s="2"/>
      <c r="R20" s="2"/>
      <c r="S20" s="2"/>
      <c r="T20" s="2"/>
      <c r="U20" s="2"/>
      <c r="V20" s="2"/>
      <c r="W20" s="2"/>
      <c r="X20" s="2"/>
      <c r="Y20" s="2"/>
      <c r="Z20" s="2"/>
      <c r="AA20" s="2"/>
      <c r="AB20" s="2"/>
    </row>
    <row r="21" spans="1:28" x14ac:dyDescent="0.25">
      <c r="A21" s="88" t="s">
        <v>707</v>
      </c>
      <c r="B21" s="94">
        <f>BS_Sorted!L17</f>
        <v>11033</v>
      </c>
      <c r="C21" s="38"/>
      <c r="D21" s="38"/>
      <c r="E21" s="38"/>
      <c r="F21" s="38"/>
      <c r="G21" s="38"/>
      <c r="H21" s="38"/>
      <c r="I21" s="38"/>
      <c r="J21" s="38"/>
      <c r="K21" s="38"/>
      <c r="L21" s="2"/>
      <c r="M21" s="2"/>
      <c r="N21" s="2"/>
      <c r="O21" s="2"/>
      <c r="P21" s="2"/>
      <c r="Q21" s="2"/>
      <c r="R21" s="2"/>
      <c r="S21" s="2"/>
      <c r="T21" s="2"/>
      <c r="U21" s="2"/>
      <c r="V21" s="2"/>
      <c r="W21" s="2"/>
      <c r="X21" s="2"/>
      <c r="Y21" s="2"/>
      <c r="Z21" s="2"/>
      <c r="AA21" s="2"/>
      <c r="AB21" s="2"/>
    </row>
    <row r="22" spans="1:28" x14ac:dyDescent="0.25">
      <c r="A22" s="88" t="s">
        <v>646</v>
      </c>
      <c r="B22" s="94">
        <f>ESOP!F22/1000000</f>
        <v>127.10336869656301</v>
      </c>
      <c r="C22" s="38"/>
      <c r="D22" s="38"/>
      <c r="E22" s="38"/>
      <c r="F22" s="38"/>
      <c r="G22" s="38"/>
      <c r="H22" s="38"/>
      <c r="I22" s="38"/>
      <c r="J22" s="38"/>
      <c r="K22" s="38"/>
      <c r="L22" s="2"/>
      <c r="M22" s="2"/>
      <c r="N22" s="2"/>
      <c r="O22" s="2"/>
      <c r="P22" s="2"/>
      <c r="Q22" s="2"/>
      <c r="R22" s="2"/>
      <c r="S22" s="2"/>
      <c r="T22" s="2"/>
      <c r="U22" s="2"/>
      <c r="V22" s="2"/>
      <c r="W22" s="2"/>
      <c r="X22" s="2"/>
      <c r="Y22" s="2"/>
      <c r="Z22" s="2"/>
      <c r="AA22" s="2"/>
      <c r="AB22" s="2"/>
    </row>
    <row r="23" spans="1:28" s="1" customFormat="1" x14ac:dyDescent="0.25">
      <c r="A23" s="88" t="s">
        <v>648</v>
      </c>
      <c r="B23" s="94">
        <f>BS_Sorted!L30</f>
        <v>6809</v>
      </c>
      <c r="C23" s="95"/>
      <c r="D23" s="95"/>
      <c r="E23" s="95"/>
      <c r="F23" s="95"/>
      <c r="G23" s="95"/>
      <c r="H23" s="95"/>
      <c r="I23" s="95"/>
      <c r="J23" s="95"/>
      <c r="K23" s="95"/>
    </row>
    <row r="24" spans="1:28" s="1" customFormat="1" x14ac:dyDescent="0.25">
      <c r="A24" s="88" t="s">
        <v>706</v>
      </c>
      <c r="B24" s="94">
        <f>WACC!C31</f>
        <v>73698.948354880311</v>
      </c>
      <c r="C24" s="95"/>
      <c r="D24" s="95"/>
      <c r="E24" s="95"/>
      <c r="F24" s="95"/>
      <c r="G24" s="95"/>
      <c r="H24" s="95"/>
      <c r="I24" s="95"/>
      <c r="J24" s="95"/>
      <c r="K24" s="95"/>
    </row>
    <row r="25" spans="1:28" s="1" customFormat="1" x14ac:dyDescent="0.25">
      <c r="A25" s="88" t="s">
        <v>647</v>
      </c>
      <c r="B25" s="97">
        <f>BS_Sorted!L26</f>
        <v>3002</v>
      </c>
      <c r="C25" s="95"/>
      <c r="D25" s="95"/>
      <c r="E25" s="95"/>
      <c r="F25" s="95"/>
      <c r="G25" s="95"/>
      <c r="H25" s="95"/>
      <c r="I25" s="95"/>
      <c r="J25" s="95"/>
      <c r="K25" s="95"/>
    </row>
    <row r="26" spans="1:28" s="1" customFormat="1" x14ac:dyDescent="0.25">
      <c r="A26" s="88" t="s">
        <v>430</v>
      </c>
      <c r="B26" s="96">
        <f>B17+B18</f>
        <v>184501.23874546689</v>
      </c>
      <c r="C26" s="95"/>
      <c r="D26" s="95"/>
      <c r="E26" s="95"/>
      <c r="F26" s="95"/>
      <c r="G26" s="95"/>
      <c r="H26" s="95"/>
      <c r="I26" s="95"/>
      <c r="J26" s="95"/>
      <c r="K26" s="95"/>
    </row>
    <row r="27" spans="1:28" s="1" customFormat="1" x14ac:dyDescent="0.25">
      <c r="A27" s="88" t="s">
        <v>431</v>
      </c>
      <c r="B27" s="97">
        <f>IS_Sorted!L34</f>
        <v>5616</v>
      </c>
    </row>
    <row r="28" spans="1:28" s="1" customFormat="1" ht="15.75" thickBot="1" x14ac:dyDescent="0.3">
      <c r="A28" s="88" t="s">
        <v>432</v>
      </c>
      <c r="B28" s="85">
        <f>B26/B27</f>
        <v>32.852784676899375</v>
      </c>
    </row>
    <row r="29" spans="1:28" ht="15.75" thickBot="1" x14ac:dyDescent="0.3">
      <c r="A29" s="89" t="s">
        <v>433</v>
      </c>
      <c r="B29" s="98">
        <f>B28*(1+$B$8-$B$59)^$B$58</f>
        <v>33.424435599581571</v>
      </c>
      <c r="C29" s="2"/>
      <c r="D29" s="2"/>
      <c r="E29" s="2"/>
      <c r="F29" s="2"/>
      <c r="G29" s="2"/>
      <c r="H29" s="2"/>
      <c r="I29" s="2"/>
      <c r="J29" s="2"/>
      <c r="K29" s="2"/>
      <c r="L29" s="2"/>
      <c r="M29" s="2"/>
      <c r="N29" s="2"/>
      <c r="O29" s="2"/>
      <c r="P29" s="2"/>
      <c r="Q29" s="2"/>
      <c r="R29" s="2"/>
      <c r="S29" s="2"/>
      <c r="T29" s="2"/>
      <c r="U29" s="2"/>
      <c r="V29" s="2"/>
      <c r="W29" s="2"/>
      <c r="X29" s="2"/>
      <c r="Y29" s="2"/>
      <c r="Z29" s="2"/>
      <c r="AA29" s="2"/>
      <c r="AB29" s="2"/>
    </row>
    <row r="30" spans="1:28" x14ac:dyDescent="0.25">
      <c r="A30" s="89"/>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spans="1:28" s="1" customFormat="1" x14ac:dyDescent="0.25">
      <c r="A31" s="1" t="s">
        <v>434</v>
      </c>
    </row>
    <row r="32" spans="1:28" s="9" customFormat="1" x14ac:dyDescent="0.25">
      <c r="A32" s="88" t="s">
        <v>435</v>
      </c>
      <c r="B32" s="90">
        <f>Drivers!M52</f>
        <v>1234.5933217884099</v>
      </c>
      <c r="C32" s="90">
        <f>Drivers!N52</f>
        <v>5016.4261931003566</v>
      </c>
      <c r="D32" s="90">
        <f>Drivers!O52</f>
        <v>6686.4331203732363</v>
      </c>
      <c r="E32" s="90">
        <f>Drivers!P52</f>
        <v>7808.4085911924485</v>
      </c>
      <c r="F32" s="90">
        <f>Drivers!Q52</f>
        <v>8453.3965751615269</v>
      </c>
      <c r="G32" s="90">
        <f>Drivers!R52</f>
        <v>7907.7336424995819</v>
      </c>
      <c r="H32" s="90">
        <f>Drivers!S52</f>
        <v>6577.0016166512232</v>
      </c>
      <c r="I32" s="90">
        <f>Drivers!T52</f>
        <v>6647.8907189808897</v>
      </c>
      <c r="J32" s="93"/>
      <c r="K32" s="93"/>
    </row>
    <row r="33" spans="1:28" s="9" customFormat="1" x14ac:dyDescent="0.25">
      <c r="A33" s="88" t="s">
        <v>426</v>
      </c>
      <c r="B33" s="91"/>
      <c r="C33" s="91"/>
      <c r="D33" s="91"/>
      <c r="E33" s="91"/>
      <c r="F33" s="91"/>
      <c r="G33" s="91"/>
      <c r="H33" s="91"/>
      <c r="I33" s="92">
        <f>(I32/B7)+(Drivers!T23*(B5/B6)*(B6-B7))/(B7*(B7-B5))</f>
        <v>158914.62587732339</v>
      </c>
      <c r="J33" s="93"/>
      <c r="K33" s="93"/>
      <c r="M33" s="6"/>
    </row>
    <row r="34" spans="1:28" s="9" customFormat="1" x14ac:dyDescent="0.25">
      <c r="A34" s="88" t="s">
        <v>436</v>
      </c>
      <c r="B34" s="90">
        <f>B32/(1+$B$7)^B51</f>
        <v>1157.2506768006722</v>
      </c>
      <c r="C34" s="90">
        <f t="shared" ref="C34:H34" si="1">C32/(1+$B$7)^C51</f>
        <v>4407.5928193221434</v>
      </c>
      <c r="D34" s="90">
        <f t="shared" si="1"/>
        <v>5506.8730532685886</v>
      </c>
      <c r="E34" s="90">
        <f t="shared" si="1"/>
        <v>6028.0467343032869</v>
      </c>
      <c r="F34" s="90">
        <f t="shared" si="1"/>
        <v>6117.1459653623069</v>
      </c>
      <c r="G34" s="90">
        <f t="shared" si="1"/>
        <v>5363.8071213413323</v>
      </c>
      <c r="H34" s="90">
        <f t="shared" si="1"/>
        <v>4181.6972642737292</v>
      </c>
      <c r="I34" s="90">
        <f>I33/(1+$B$7)^H51</f>
        <v>101038.87683437168</v>
      </c>
      <c r="J34" s="93"/>
      <c r="K34" s="93"/>
    </row>
    <row r="35" spans="1:28" s="9" customFormat="1" x14ac:dyDescent="0.25">
      <c r="A35" s="88"/>
      <c r="B35" s="93"/>
      <c r="C35" s="93"/>
      <c r="D35" s="93"/>
      <c r="E35" s="93"/>
      <c r="F35" s="93"/>
      <c r="G35" s="93"/>
      <c r="H35" s="93"/>
      <c r="I35" s="93"/>
      <c r="J35" s="93"/>
      <c r="K35" s="93"/>
    </row>
    <row r="36" spans="1:28" s="9" customFormat="1" x14ac:dyDescent="0.25">
      <c r="A36" s="88" t="s">
        <v>437</v>
      </c>
      <c r="B36" s="90">
        <f>SUM(B34:I34)</f>
        <v>133801.29046904374</v>
      </c>
      <c r="C36" s="93"/>
      <c r="D36" s="93"/>
      <c r="E36" s="93"/>
      <c r="F36" s="93"/>
      <c r="G36" s="93"/>
      <c r="H36" s="93"/>
      <c r="I36" s="93"/>
      <c r="J36" s="93"/>
      <c r="K36" s="93"/>
    </row>
    <row r="37" spans="1:28" s="9" customFormat="1" x14ac:dyDescent="0.25">
      <c r="A37" s="88" t="s">
        <v>438</v>
      </c>
      <c r="B37" s="92">
        <f>Drivers!M47</f>
        <v>96952</v>
      </c>
      <c r="C37" s="93"/>
      <c r="D37" s="93"/>
      <c r="E37" s="93"/>
      <c r="F37" s="93"/>
      <c r="G37" s="93"/>
      <c r="H37" s="93"/>
      <c r="I37" s="93"/>
      <c r="J37" s="93"/>
      <c r="K37" s="93"/>
    </row>
    <row r="38" spans="1:28" x14ac:dyDescent="0.25">
      <c r="A38" s="88" t="s">
        <v>428</v>
      </c>
      <c r="B38" s="94">
        <f>B36+B37</f>
        <v>230753.29046904374</v>
      </c>
      <c r="C38" s="38"/>
      <c r="D38" s="38"/>
      <c r="E38" s="38"/>
      <c r="F38" s="38"/>
      <c r="G38" s="38"/>
      <c r="H38" s="38"/>
      <c r="I38" s="38"/>
      <c r="J38" s="38"/>
      <c r="K38" s="38"/>
      <c r="L38" s="2"/>
      <c r="M38" s="2"/>
      <c r="N38" s="2"/>
      <c r="O38" s="2"/>
      <c r="P38" s="2"/>
      <c r="Q38" s="2"/>
      <c r="R38" s="2"/>
      <c r="S38" s="2"/>
      <c r="T38" s="2"/>
      <c r="U38" s="2"/>
      <c r="V38" s="2"/>
      <c r="W38" s="2"/>
      <c r="X38" s="2"/>
      <c r="Y38" s="2"/>
      <c r="Z38" s="2"/>
      <c r="AA38" s="2"/>
      <c r="AB38" s="2"/>
    </row>
    <row r="39" spans="1:28" x14ac:dyDescent="0.25">
      <c r="A39" s="88" t="s">
        <v>429</v>
      </c>
      <c r="B39" s="94">
        <f>B18</f>
        <v>-46252.051723576871</v>
      </c>
      <c r="C39" s="38"/>
      <c r="D39" s="38"/>
      <c r="E39" s="38"/>
      <c r="F39" s="38"/>
      <c r="G39" s="38"/>
      <c r="H39" s="38"/>
      <c r="I39" s="38"/>
      <c r="J39" s="38"/>
      <c r="K39" s="38"/>
      <c r="L39" s="2"/>
      <c r="M39" s="2"/>
      <c r="N39" s="2"/>
      <c r="O39" s="2"/>
      <c r="P39" s="2"/>
      <c r="Q39" s="2"/>
      <c r="R39" s="2"/>
      <c r="S39" s="2"/>
      <c r="T39" s="2"/>
      <c r="U39" s="2"/>
      <c r="V39" s="2"/>
      <c r="W39" s="2"/>
      <c r="X39" s="2"/>
      <c r="Y39" s="2"/>
      <c r="Z39" s="2"/>
      <c r="AA39" s="2"/>
      <c r="AB39" s="2"/>
    </row>
    <row r="40" spans="1:28" s="1" customFormat="1" x14ac:dyDescent="0.25">
      <c r="A40" s="270" t="s">
        <v>430</v>
      </c>
      <c r="B40" s="271">
        <f>SUM(B38:B39)</f>
        <v>184501.23874546686</v>
      </c>
      <c r="C40" s="95"/>
      <c r="D40" s="95"/>
      <c r="E40" s="95"/>
      <c r="F40" s="95"/>
      <c r="G40" s="95"/>
      <c r="H40" s="95"/>
      <c r="I40" s="95"/>
      <c r="J40" s="95"/>
      <c r="K40" s="95"/>
    </row>
    <row r="41" spans="1:28" s="1" customFormat="1" x14ac:dyDescent="0.25">
      <c r="A41" s="88" t="s">
        <v>431</v>
      </c>
      <c r="B41" s="97">
        <f>IS_Sorted!L34</f>
        <v>5616</v>
      </c>
    </row>
    <row r="42" spans="1:28" s="1" customFormat="1" ht="15.75" thickBot="1" x14ac:dyDescent="0.3">
      <c r="A42" s="88" t="s">
        <v>432</v>
      </c>
      <c r="B42" s="85">
        <f>B40/B41</f>
        <v>32.852784676899368</v>
      </c>
    </row>
    <row r="43" spans="1:28" ht="15.75" thickBot="1" x14ac:dyDescent="0.3">
      <c r="A43" s="89" t="s">
        <v>433</v>
      </c>
      <c r="B43" s="98">
        <f>B42*(1+$B$8-$B$59)^$B$58</f>
        <v>33.424435599581564</v>
      </c>
      <c r="C43" s="2"/>
      <c r="D43" s="2"/>
      <c r="E43" s="2"/>
      <c r="F43" s="2"/>
      <c r="G43" s="2"/>
      <c r="H43" s="2"/>
      <c r="I43" s="2"/>
      <c r="J43" s="2"/>
      <c r="K43" s="2"/>
      <c r="L43" s="2"/>
      <c r="M43" s="2"/>
      <c r="N43" s="2"/>
      <c r="O43" s="2"/>
      <c r="P43" s="2"/>
      <c r="Q43" s="2"/>
      <c r="R43" s="2"/>
      <c r="S43" s="2"/>
      <c r="T43" s="2"/>
      <c r="U43" s="2"/>
      <c r="V43" s="2"/>
      <c r="W43" s="2"/>
      <c r="X43" s="2"/>
      <c r="Y43" s="2"/>
      <c r="Z43" s="2"/>
      <c r="AA43" s="2"/>
      <c r="AB43" s="2"/>
    </row>
    <row r="44" spans="1:28" x14ac:dyDescent="0.25">
      <c r="A44" s="89"/>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spans="1:28" s="1" customFormat="1" x14ac:dyDescent="0.25">
      <c r="A45" s="4"/>
    </row>
    <row r="46" spans="1:28" x14ac:dyDescent="0.25">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x14ac:dyDescent="0.25">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s="1" customFormat="1" x14ac:dyDescent="0.25">
      <c r="B48" s="46"/>
    </row>
    <row r="49" spans="1:28" hidden="1" x14ac:dyDescent="0.25">
      <c r="A49" s="59" t="s">
        <v>439</v>
      </c>
      <c r="B49" s="86"/>
      <c r="C49" s="86"/>
      <c r="D49" s="2"/>
      <c r="E49" s="2"/>
      <c r="F49" s="2"/>
      <c r="G49" s="2"/>
      <c r="H49" s="2"/>
      <c r="I49" s="2"/>
      <c r="J49" s="2"/>
      <c r="K49" s="2"/>
      <c r="L49" s="2"/>
      <c r="M49" s="2"/>
      <c r="N49" s="2"/>
      <c r="O49" s="2"/>
      <c r="P49" s="2"/>
      <c r="Q49" s="2"/>
      <c r="R49" s="2"/>
      <c r="S49" s="2"/>
      <c r="T49" s="2"/>
      <c r="U49" s="2"/>
      <c r="V49" s="2"/>
      <c r="W49" s="2"/>
      <c r="X49" s="2"/>
      <c r="Y49" s="2"/>
      <c r="Z49" s="2"/>
      <c r="AA49" s="2"/>
      <c r="AB49" s="2"/>
    </row>
    <row r="50" spans="1:28" hidden="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spans="1:28" hidden="1" x14ac:dyDescent="0.25">
      <c r="A51" s="2" t="s">
        <v>440</v>
      </c>
      <c r="B51" s="2">
        <v>1</v>
      </c>
      <c r="C51" s="2">
        <v>2</v>
      </c>
      <c r="D51" s="2">
        <v>3</v>
      </c>
      <c r="E51" s="2">
        <v>4</v>
      </c>
      <c r="F51" s="2">
        <v>5</v>
      </c>
      <c r="G51" s="2">
        <v>6</v>
      </c>
      <c r="H51" s="2">
        <v>7</v>
      </c>
      <c r="I51" s="2">
        <v>8</v>
      </c>
      <c r="J51" s="2">
        <v>9</v>
      </c>
      <c r="K51" s="2">
        <v>9</v>
      </c>
      <c r="L51" s="2"/>
      <c r="M51" s="2"/>
      <c r="N51" s="2"/>
      <c r="O51" s="2"/>
      <c r="P51" s="2"/>
      <c r="Q51" s="2"/>
      <c r="R51" s="2"/>
      <c r="S51" s="2"/>
      <c r="T51" s="2"/>
      <c r="U51" s="2"/>
      <c r="V51" s="2"/>
      <c r="W51" s="2"/>
      <c r="X51" s="2"/>
      <c r="Y51" s="2"/>
      <c r="Z51" s="2"/>
      <c r="AA51" s="2"/>
      <c r="AB51" s="2"/>
    </row>
    <row r="52" spans="1:28" hidden="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spans="1:28" hidden="1" x14ac:dyDescent="0.25">
      <c r="A53" s="2" t="s">
        <v>441</v>
      </c>
      <c r="B53" s="24">
        <f>Inputs!B6</f>
        <v>45240</v>
      </c>
      <c r="C53" s="2"/>
      <c r="D53" s="2"/>
      <c r="E53" s="2"/>
      <c r="F53" s="2"/>
      <c r="G53" s="2"/>
      <c r="H53" s="2"/>
      <c r="I53" s="2"/>
      <c r="J53" s="2"/>
      <c r="K53" s="2"/>
      <c r="L53" s="2"/>
      <c r="M53" s="2"/>
      <c r="N53" s="2"/>
      <c r="O53" s="2"/>
      <c r="P53" s="2"/>
      <c r="Q53" s="2"/>
      <c r="R53" s="2"/>
      <c r="S53" s="2"/>
      <c r="T53" s="2"/>
      <c r="U53" s="2"/>
      <c r="V53" s="2"/>
      <c r="W53" s="2"/>
      <c r="X53" s="2"/>
      <c r="Y53" s="2"/>
      <c r="Z53" s="2"/>
      <c r="AA53" s="2"/>
      <c r="AB53" s="2"/>
    </row>
    <row r="54" spans="1:28" hidden="1" x14ac:dyDescent="0.25">
      <c r="A54" s="2" t="s">
        <v>442</v>
      </c>
      <c r="B54" s="24">
        <f>Inputs!B9</f>
        <v>45291</v>
      </c>
      <c r="C54" s="2"/>
      <c r="D54" s="2"/>
      <c r="E54" s="2"/>
      <c r="F54" s="2"/>
      <c r="G54" s="2"/>
      <c r="H54" s="2"/>
      <c r="I54" s="2"/>
      <c r="J54" s="2"/>
      <c r="K54" s="2"/>
      <c r="L54" s="2"/>
      <c r="M54" s="2"/>
      <c r="N54" s="2"/>
      <c r="O54" s="2"/>
      <c r="P54" s="2"/>
      <c r="Q54" s="2"/>
      <c r="R54" s="2"/>
      <c r="S54" s="2"/>
      <c r="T54" s="2"/>
      <c r="U54" s="2"/>
      <c r="V54" s="2"/>
      <c r="W54" s="2"/>
      <c r="X54" s="2"/>
      <c r="Y54" s="2"/>
      <c r="Z54" s="2"/>
      <c r="AA54" s="2"/>
      <c r="AB54" s="2"/>
    </row>
    <row r="55" spans="1:28" hidden="1" x14ac:dyDescent="0.25">
      <c r="A55" s="2" t="s">
        <v>443</v>
      </c>
      <c r="B55" s="24">
        <f>Inputs!B8</f>
        <v>44926</v>
      </c>
      <c r="C55" s="2"/>
      <c r="D55" s="2"/>
      <c r="E55" s="2"/>
      <c r="F55" s="2"/>
      <c r="G55" s="2"/>
      <c r="H55" s="2"/>
      <c r="I55" s="2"/>
      <c r="J55" s="2"/>
      <c r="K55" s="2"/>
      <c r="L55" s="2"/>
      <c r="M55" s="2"/>
      <c r="N55" s="2"/>
      <c r="O55" s="2"/>
      <c r="P55" s="2"/>
      <c r="Q55" s="2"/>
      <c r="R55" s="2"/>
      <c r="S55" s="2"/>
      <c r="T55" s="2"/>
      <c r="U55" s="2"/>
      <c r="V55" s="2"/>
      <c r="W55" s="2"/>
      <c r="X55" s="2"/>
      <c r="Y55" s="2"/>
      <c r="Z55" s="2"/>
      <c r="AA55" s="2"/>
      <c r="AB55" s="2"/>
    </row>
    <row r="56" spans="1:28" hidden="1" x14ac:dyDescent="0.25">
      <c r="A56" s="2" t="s">
        <v>444</v>
      </c>
      <c r="B56" s="25">
        <f>B54-B55</f>
        <v>365</v>
      </c>
      <c r="C56" s="2"/>
      <c r="D56" s="2"/>
      <c r="E56" s="2"/>
      <c r="F56" s="2"/>
      <c r="G56" s="2"/>
      <c r="H56" s="2"/>
      <c r="I56" s="2"/>
      <c r="J56" s="2"/>
      <c r="K56" s="2"/>
      <c r="L56" s="2"/>
      <c r="M56" s="2"/>
      <c r="N56" s="2"/>
      <c r="O56" s="2"/>
      <c r="P56" s="2"/>
      <c r="Q56" s="2"/>
      <c r="R56" s="2"/>
      <c r="S56" s="2"/>
      <c r="T56" s="2"/>
      <c r="U56" s="2"/>
      <c r="V56" s="2"/>
      <c r="W56" s="2"/>
      <c r="X56" s="2"/>
      <c r="Y56" s="2"/>
      <c r="Z56" s="2"/>
      <c r="AA56" s="2"/>
      <c r="AB56" s="2"/>
    </row>
    <row r="57" spans="1:28" hidden="1" x14ac:dyDescent="0.25">
      <c r="A57" s="2" t="s">
        <v>445</v>
      </c>
      <c r="B57" s="25">
        <f>B53-B55</f>
        <v>314</v>
      </c>
      <c r="C57" s="2"/>
      <c r="D57" s="2"/>
      <c r="E57" s="2"/>
      <c r="F57" s="2"/>
      <c r="G57" s="2"/>
      <c r="H57" s="2"/>
      <c r="I57" s="2"/>
      <c r="J57" s="2"/>
      <c r="K57" s="2"/>
      <c r="L57" s="2"/>
      <c r="M57" s="2"/>
      <c r="N57" s="2"/>
      <c r="O57" s="2"/>
      <c r="P57" s="2"/>
      <c r="Q57" s="2"/>
      <c r="R57" s="2"/>
      <c r="S57" s="2"/>
      <c r="T57" s="2"/>
      <c r="U57" s="2"/>
      <c r="V57" s="2"/>
      <c r="W57" s="2"/>
      <c r="X57" s="2"/>
      <c r="Y57" s="2"/>
      <c r="Z57" s="2"/>
      <c r="AA57" s="2"/>
      <c r="AB57" s="2"/>
    </row>
    <row r="58" spans="1:28" hidden="1" x14ac:dyDescent="0.25">
      <c r="A58" s="2" t="s">
        <v>446</v>
      </c>
      <c r="B58" s="26">
        <f>B57/B56</f>
        <v>0.86027397260273974</v>
      </c>
      <c r="C58" s="2"/>
      <c r="D58" s="2"/>
      <c r="E58" s="2"/>
      <c r="F58" s="2"/>
      <c r="G58" s="2"/>
      <c r="H58" s="2"/>
      <c r="I58" s="2"/>
      <c r="J58" s="2"/>
      <c r="K58" s="2"/>
      <c r="L58" s="2"/>
      <c r="M58" s="2"/>
      <c r="N58" s="2"/>
      <c r="O58" s="2"/>
      <c r="P58" s="2"/>
      <c r="Q58" s="2"/>
      <c r="R58" s="2"/>
      <c r="S58" s="2"/>
      <c r="T58" s="2"/>
      <c r="U58" s="2"/>
      <c r="V58" s="2"/>
      <c r="W58" s="2"/>
      <c r="X58" s="2"/>
      <c r="Y58" s="2"/>
      <c r="Z58" s="2"/>
      <c r="AA58" s="2"/>
      <c r="AB58" s="2"/>
    </row>
    <row r="59" spans="1:28" hidden="1" x14ac:dyDescent="0.25">
      <c r="A59" s="2" t="s">
        <v>447</v>
      </c>
      <c r="B59" s="43">
        <f>Inputs!B16</f>
        <v>5.5599999999999997E-2</v>
      </c>
      <c r="C59" s="2"/>
      <c r="D59" s="2"/>
      <c r="E59" s="2"/>
      <c r="F59" s="2"/>
      <c r="G59" s="2"/>
      <c r="H59" s="2"/>
      <c r="I59" s="2"/>
      <c r="J59" s="2"/>
      <c r="K59" s="2"/>
      <c r="L59" s="2"/>
      <c r="M59" s="2"/>
      <c r="N59" s="2"/>
      <c r="O59" s="2"/>
      <c r="P59" s="2"/>
      <c r="Q59" s="2"/>
      <c r="R59" s="2"/>
      <c r="S59" s="2"/>
      <c r="T59" s="2"/>
      <c r="U59" s="2"/>
      <c r="V59" s="2"/>
      <c r="W59" s="2"/>
      <c r="X59" s="2"/>
      <c r="Y59" s="2"/>
      <c r="Z59" s="2"/>
      <c r="AA59" s="2"/>
      <c r="AB59" s="2"/>
    </row>
    <row r="60" spans="1:28"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spans="1:28" x14ac:dyDescent="0.25">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spans="1:28" x14ac:dyDescent="0.25">
      <c r="B62" s="2"/>
      <c r="C62" s="2"/>
      <c r="D62" s="2"/>
      <c r="E62" s="2" t="s">
        <v>650</v>
      </c>
      <c r="F62" s="2"/>
      <c r="G62" s="2"/>
      <c r="H62" s="2"/>
      <c r="I62" s="2"/>
      <c r="J62" s="2"/>
      <c r="K62" s="2"/>
      <c r="L62" s="2"/>
      <c r="M62" s="2"/>
      <c r="N62" s="2"/>
      <c r="O62" s="2"/>
      <c r="P62" s="2"/>
      <c r="Q62" s="2"/>
      <c r="R62" s="2"/>
      <c r="S62" s="2"/>
      <c r="T62" s="2"/>
      <c r="U62" s="2"/>
      <c r="V62" s="2"/>
      <c r="W62" s="2"/>
      <c r="X62" s="2"/>
      <c r="Y62" s="2"/>
      <c r="Z62" s="2"/>
      <c r="AA62" s="2"/>
      <c r="AB62" s="2"/>
    </row>
    <row r="63" spans="1:28" x14ac:dyDescent="0.25">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spans="1:28" x14ac:dyDescent="0.25">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spans="2:28" x14ac:dyDescent="0.25">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spans="2:28" x14ac:dyDescent="0.25">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spans="2:28" x14ac:dyDescent="0.25">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spans="2:28" x14ac:dyDescent="0.25">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spans="2:28" x14ac:dyDescent="0.25">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spans="2:28" x14ac:dyDescent="0.25">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spans="2:28" x14ac:dyDescent="0.25">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spans="2:28" x14ac:dyDescent="0.25">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spans="2:28" x14ac:dyDescent="0.25">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spans="2:28" x14ac:dyDescent="0.25">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spans="2:28" x14ac:dyDescent="0.25">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spans="2:28" x14ac:dyDescent="0.25">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spans="2:28" x14ac:dyDescent="0.25">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spans="2:28" x14ac:dyDescent="0.25">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spans="2:28" x14ac:dyDescent="0.25">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spans="2:28" x14ac:dyDescent="0.25">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spans="2:28" x14ac:dyDescent="0.25">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spans="2:28" x14ac:dyDescent="0.25">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spans="2:28" x14ac:dyDescent="0.25">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spans="2:28" x14ac:dyDescent="0.25">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spans="2:28" x14ac:dyDescent="0.25">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spans="2:28" x14ac:dyDescent="0.25">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spans="2:28" x14ac:dyDescent="0.25">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spans="2:28" x14ac:dyDescent="0.25">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spans="2:28" x14ac:dyDescent="0.25">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spans="2:28" x14ac:dyDescent="0.25">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spans="2:28" x14ac:dyDescent="0.25">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spans="2:28" x14ac:dyDescent="0.25">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spans="2:28" x14ac:dyDescent="0.25">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spans="2:28" x14ac:dyDescent="0.25">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spans="2:28" x14ac:dyDescent="0.25">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spans="2:28" x14ac:dyDescent="0.25">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spans="2:28" x14ac:dyDescent="0.25">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spans="2:28" x14ac:dyDescent="0.25">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spans="2:28" x14ac:dyDescent="0.25">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spans="2:28" x14ac:dyDescent="0.25">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spans="2:28" x14ac:dyDescent="0.25">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spans="2:28" x14ac:dyDescent="0.25">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spans="2:28" x14ac:dyDescent="0.25">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spans="2:28" x14ac:dyDescent="0.25">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spans="2:28" x14ac:dyDescent="0.25">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spans="2:28" x14ac:dyDescent="0.25">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spans="2:28" x14ac:dyDescent="0.25">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spans="2:28" x14ac:dyDescent="0.25">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spans="2:28" x14ac:dyDescent="0.25">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spans="2:28" x14ac:dyDescent="0.25">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spans="2:28" x14ac:dyDescent="0.25">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spans="2:28" x14ac:dyDescent="0.25">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spans="2:28" x14ac:dyDescent="0.25">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spans="2:28" x14ac:dyDescent="0.25">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spans="2:28" x14ac:dyDescent="0.25">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spans="2:28" x14ac:dyDescent="0.25">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spans="2:28" x14ac:dyDescent="0.25">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spans="2:28" x14ac:dyDescent="0.25">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spans="2:28" x14ac:dyDescent="0.25">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spans="2:28" x14ac:dyDescent="0.25">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spans="2:28" x14ac:dyDescent="0.25">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spans="2:28" x14ac:dyDescent="0.25">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spans="2:28" x14ac:dyDescent="0.25">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spans="2:28" x14ac:dyDescent="0.25">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spans="2:28" x14ac:dyDescent="0.25">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spans="2:28" x14ac:dyDescent="0.25">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spans="2:28" x14ac:dyDescent="0.25">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spans="2:28" x14ac:dyDescent="0.25">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spans="2:28" x14ac:dyDescent="0.25">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spans="2:28" x14ac:dyDescent="0.25">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spans="2:28" x14ac:dyDescent="0.25">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spans="2:28" x14ac:dyDescent="0.25">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spans="2:28" x14ac:dyDescent="0.25">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spans="2:28" x14ac:dyDescent="0.25">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spans="2:28" x14ac:dyDescent="0.25">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spans="2:28" x14ac:dyDescent="0.25">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spans="2:28" x14ac:dyDescent="0.25">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spans="2:28" x14ac:dyDescent="0.25">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spans="2:28" x14ac:dyDescent="0.25">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spans="2:28" x14ac:dyDescent="0.25">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spans="2:28" x14ac:dyDescent="0.25">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spans="2:28" x14ac:dyDescent="0.25">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spans="2:28" x14ac:dyDescent="0.25">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spans="2:28" x14ac:dyDescent="0.25">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spans="2:28" x14ac:dyDescent="0.25">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spans="2:28" x14ac:dyDescent="0.25">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spans="2:28" x14ac:dyDescent="0.25">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spans="2:28" x14ac:dyDescent="0.25">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spans="2:28" x14ac:dyDescent="0.25">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spans="2:28" x14ac:dyDescent="0.25">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spans="2:28" x14ac:dyDescent="0.25">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spans="2:28" x14ac:dyDescent="0.25">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spans="2:28" x14ac:dyDescent="0.25">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spans="2:28" x14ac:dyDescent="0.25">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spans="2:28" x14ac:dyDescent="0.25">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spans="2:28" x14ac:dyDescent="0.25">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spans="2:28" x14ac:dyDescent="0.25">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spans="2:28" x14ac:dyDescent="0.25">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spans="2:28" x14ac:dyDescent="0.25">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spans="2:28" x14ac:dyDescent="0.25">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spans="2:28" x14ac:dyDescent="0.25">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spans="2:28" x14ac:dyDescent="0.25">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spans="2:28" x14ac:dyDescent="0.25">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spans="2:28" x14ac:dyDescent="0.25">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spans="2:28" x14ac:dyDescent="0.25">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spans="2:28" x14ac:dyDescent="0.25">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spans="2:28" x14ac:dyDescent="0.25">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spans="2:28" x14ac:dyDescent="0.25">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spans="2:28" x14ac:dyDescent="0.25">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spans="2:28" x14ac:dyDescent="0.25">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spans="2:28" x14ac:dyDescent="0.25">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spans="2:28" x14ac:dyDescent="0.25">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spans="2:28" x14ac:dyDescent="0.25">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spans="2:28" x14ac:dyDescent="0.25">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spans="2:28" x14ac:dyDescent="0.25">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spans="2:28" x14ac:dyDescent="0.25">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spans="2:28" x14ac:dyDescent="0.25">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spans="2:28" x14ac:dyDescent="0.25">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spans="2:28" x14ac:dyDescent="0.25">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spans="2:28" x14ac:dyDescent="0.25">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spans="2:28" x14ac:dyDescent="0.25">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spans="2:28" x14ac:dyDescent="0.25">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spans="2:28" x14ac:dyDescent="0.25">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spans="2:28" x14ac:dyDescent="0.25">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spans="2:28" x14ac:dyDescent="0.25">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spans="2:28" x14ac:dyDescent="0.25">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spans="2:28" x14ac:dyDescent="0.25">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spans="2:28" x14ac:dyDescent="0.25">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spans="2:28" x14ac:dyDescent="0.25">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spans="2:28" x14ac:dyDescent="0.25">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spans="2:28" x14ac:dyDescent="0.25">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spans="2:28" x14ac:dyDescent="0.25">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spans="2:28" x14ac:dyDescent="0.25">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spans="2:28" x14ac:dyDescent="0.25">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spans="2:28" x14ac:dyDescent="0.25">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spans="2:28" x14ac:dyDescent="0.25">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spans="2:28" x14ac:dyDescent="0.25">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spans="2:28" x14ac:dyDescent="0.25">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spans="2:28" x14ac:dyDescent="0.25">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spans="2:28" x14ac:dyDescent="0.25">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spans="2:28" x14ac:dyDescent="0.25">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spans="2:28" x14ac:dyDescent="0.25">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spans="2:28" x14ac:dyDescent="0.25">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spans="2:28" x14ac:dyDescent="0.25">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spans="2:28" x14ac:dyDescent="0.25">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spans="2:28" x14ac:dyDescent="0.25">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spans="2:28" x14ac:dyDescent="0.25">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spans="2:28" x14ac:dyDescent="0.25">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spans="2:28" x14ac:dyDescent="0.25">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spans="2:28" x14ac:dyDescent="0.25">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spans="2:28" x14ac:dyDescent="0.25">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spans="2:28" x14ac:dyDescent="0.25">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spans="2:28" x14ac:dyDescent="0.25">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spans="2:28" x14ac:dyDescent="0.25">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spans="2:28" x14ac:dyDescent="0.25">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spans="2:28" x14ac:dyDescent="0.25">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spans="2:28" x14ac:dyDescent="0.25">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spans="2:28" x14ac:dyDescent="0.25">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spans="2:28" x14ac:dyDescent="0.25">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spans="2:28" x14ac:dyDescent="0.25">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spans="2:28" x14ac:dyDescent="0.25">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spans="2:28" x14ac:dyDescent="0.25">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spans="2:28" x14ac:dyDescent="0.25">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spans="2:28" x14ac:dyDescent="0.25">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spans="2:28" x14ac:dyDescent="0.25">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spans="2:28" x14ac:dyDescent="0.25">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spans="2:28" x14ac:dyDescent="0.25">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spans="2:28" x14ac:dyDescent="0.25">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spans="2:28" x14ac:dyDescent="0.25">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spans="2:28" x14ac:dyDescent="0.25">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spans="2:28" x14ac:dyDescent="0.25">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spans="2:28" x14ac:dyDescent="0.25">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spans="2:28" x14ac:dyDescent="0.25">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spans="2:28" x14ac:dyDescent="0.25">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spans="2:28" x14ac:dyDescent="0.25">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spans="2:28" x14ac:dyDescent="0.25">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spans="2:28" x14ac:dyDescent="0.25">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spans="2:28" x14ac:dyDescent="0.25">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spans="2:28" x14ac:dyDescent="0.25">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spans="2:28" x14ac:dyDescent="0.25">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spans="2:28" x14ac:dyDescent="0.25">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spans="2:28" x14ac:dyDescent="0.25">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spans="2:28" x14ac:dyDescent="0.25">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spans="2:28" x14ac:dyDescent="0.25">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spans="2:28" x14ac:dyDescent="0.25">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spans="2:28" x14ac:dyDescent="0.25">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spans="2:28" x14ac:dyDescent="0.25">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spans="2:28" x14ac:dyDescent="0.25">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spans="2:28" x14ac:dyDescent="0.25">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spans="2:28" x14ac:dyDescent="0.25">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spans="2:28" x14ac:dyDescent="0.25">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spans="2:28" x14ac:dyDescent="0.25">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spans="2:28" x14ac:dyDescent="0.25">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spans="2:28" x14ac:dyDescent="0.25">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spans="2:28" x14ac:dyDescent="0.25">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spans="2:28" x14ac:dyDescent="0.25">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spans="2:28" x14ac:dyDescent="0.25">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spans="2:28" x14ac:dyDescent="0.25">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spans="2:28" x14ac:dyDescent="0.25">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spans="2:28" x14ac:dyDescent="0.25">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spans="2:28" x14ac:dyDescent="0.25">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spans="2:28" x14ac:dyDescent="0.25">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spans="2:28" x14ac:dyDescent="0.25">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spans="2:28" x14ac:dyDescent="0.25">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spans="2:28" x14ac:dyDescent="0.25">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spans="2:28" x14ac:dyDescent="0.25">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spans="2:28" x14ac:dyDescent="0.25">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spans="2:28" x14ac:dyDescent="0.25">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spans="2:28" x14ac:dyDescent="0.25">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spans="2:28" x14ac:dyDescent="0.25">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spans="2:28" x14ac:dyDescent="0.25">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spans="2:28" x14ac:dyDescent="0.25">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spans="2:28" x14ac:dyDescent="0.25">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spans="2:28" x14ac:dyDescent="0.25">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spans="2:28" x14ac:dyDescent="0.25">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spans="2:28" x14ac:dyDescent="0.25">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spans="2:28" x14ac:dyDescent="0.25">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spans="2:28" x14ac:dyDescent="0.25">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spans="2:28" x14ac:dyDescent="0.25">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spans="2:28" x14ac:dyDescent="0.25">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spans="2:28" x14ac:dyDescent="0.25">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spans="2:28" x14ac:dyDescent="0.25">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spans="2:28" x14ac:dyDescent="0.25">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spans="2:28" x14ac:dyDescent="0.25">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spans="2:28" x14ac:dyDescent="0.25">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spans="2:28" x14ac:dyDescent="0.25">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spans="2:28" x14ac:dyDescent="0.25">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spans="2:28" x14ac:dyDescent="0.25">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spans="2:28" x14ac:dyDescent="0.25">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spans="2:28" x14ac:dyDescent="0.25">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spans="2:28" x14ac:dyDescent="0.25">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spans="2:28" x14ac:dyDescent="0.25">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spans="2:28" x14ac:dyDescent="0.25">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spans="2:28" x14ac:dyDescent="0.25">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spans="2:28" x14ac:dyDescent="0.25">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spans="2:28" x14ac:dyDescent="0.25">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spans="2:28" x14ac:dyDescent="0.25">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spans="2:28" x14ac:dyDescent="0.25">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spans="2:28" x14ac:dyDescent="0.25">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spans="2:28" x14ac:dyDescent="0.25">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spans="2:28" x14ac:dyDescent="0.25">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spans="2:28" x14ac:dyDescent="0.25">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spans="2:28" x14ac:dyDescent="0.25">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spans="2:28" x14ac:dyDescent="0.25">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spans="2:28" x14ac:dyDescent="0.25">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spans="2:28" x14ac:dyDescent="0.25">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spans="2:28" x14ac:dyDescent="0.25">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spans="2:28" x14ac:dyDescent="0.25">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spans="2:28" x14ac:dyDescent="0.25">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spans="2:28" x14ac:dyDescent="0.25">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spans="2:28" x14ac:dyDescent="0.25">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spans="2:28" x14ac:dyDescent="0.25">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spans="2:28" x14ac:dyDescent="0.25">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spans="2:28" x14ac:dyDescent="0.25">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spans="2:28" x14ac:dyDescent="0.25">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spans="2:28" x14ac:dyDescent="0.25">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spans="2:28" x14ac:dyDescent="0.25">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spans="2:28" x14ac:dyDescent="0.25">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spans="2:28" x14ac:dyDescent="0.25">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spans="2:28" x14ac:dyDescent="0.25">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spans="2:28" x14ac:dyDescent="0.25">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spans="2:28" x14ac:dyDescent="0.25">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spans="2:28" x14ac:dyDescent="0.25">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spans="2:28" x14ac:dyDescent="0.25">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spans="2:28" x14ac:dyDescent="0.25">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spans="2:28" x14ac:dyDescent="0.25">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spans="2:28" x14ac:dyDescent="0.25">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spans="2:28" x14ac:dyDescent="0.25">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spans="2:28" x14ac:dyDescent="0.25">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spans="2:28" x14ac:dyDescent="0.25">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spans="2:28" x14ac:dyDescent="0.25">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spans="2:28" x14ac:dyDescent="0.25">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spans="2:28" x14ac:dyDescent="0.25">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spans="2:28" x14ac:dyDescent="0.25">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spans="2:28" x14ac:dyDescent="0.25">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spans="2:28" x14ac:dyDescent="0.25">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spans="2:28" x14ac:dyDescent="0.25">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spans="2:28" x14ac:dyDescent="0.25">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spans="2:28" x14ac:dyDescent="0.25">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spans="2:28" x14ac:dyDescent="0.25">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spans="2:28" x14ac:dyDescent="0.25">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spans="2:28" x14ac:dyDescent="0.25">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spans="2:28" x14ac:dyDescent="0.25">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spans="2:28" x14ac:dyDescent="0.25">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spans="2:28" x14ac:dyDescent="0.25">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spans="2:28" x14ac:dyDescent="0.25">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spans="2:28" x14ac:dyDescent="0.25">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spans="2:28" x14ac:dyDescent="0.25">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spans="2:28" x14ac:dyDescent="0.25">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spans="2:28" x14ac:dyDescent="0.25">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spans="2:28" x14ac:dyDescent="0.25">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spans="2:28" x14ac:dyDescent="0.25">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spans="2:28" x14ac:dyDescent="0.25">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spans="2:28" x14ac:dyDescent="0.25">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spans="2:28" x14ac:dyDescent="0.25">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spans="2:28" x14ac:dyDescent="0.25">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spans="2:28" x14ac:dyDescent="0.25">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spans="2:28" x14ac:dyDescent="0.25">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spans="2:28" x14ac:dyDescent="0.25">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spans="2:28" x14ac:dyDescent="0.25">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spans="2:28" x14ac:dyDescent="0.25">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spans="2:28" x14ac:dyDescent="0.25">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spans="2:28" x14ac:dyDescent="0.25">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spans="2:28" x14ac:dyDescent="0.25">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spans="2:28" x14ac:dyDescent="0.25">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spans="2:28" x14ac:dyDescent="0.25">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spans="2:28" x14ac:dyDescent="0.25">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spans="2:28" x14ac:dyDescent="0.25">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spans="2:28" x14ac:dyDescent="0.25">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spans="2:28" x14ac:dyDescent="0.25">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spans="2:28" x14ac:dyDescent="0.25">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spans="2:28" x14ac:dyDescent="0.25">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spans="2:28" x14ac:dyDescent="0.25">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spans="2:28" x14ac:dyDescent="0.25">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spans="2:28" x14ac:dyDescent="0.25">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spans="2:28" x14ac:dyDescent="0.25">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spans="2:28" x14ac:dyDescent="0.25">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spans="2:28" x14ac:dyDescent="0.25">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spans="2:28" x14ac:dyDescent="0.25">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spans="2:28" x14ac:dyDescent="0.25">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spans="2:28" x14ac:dyDescent="0.25">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spans="2:28" x14ac:dyDescent="0.25">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spans="2:28" x14ac:dyDescent="0.25">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spans="2:28" x14ac:dyDescent="0.25">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spans="2:28" x14ac:dyDescent="0.25">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spans="2:28" x14ac:dyDescent="0.25">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spans="2:28" x14ac:dyDescent="0.25">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spans="2:28" x14ac:dyDescent="0.25">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spans="2:28" x14ac:dyDescent="0.25">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spans="2:28" x14ac:dyDescent="0.25">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spans="2:28" x14ac:dyDescent="0.25">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spans="2:28" x14ac:dyDescent="0.25">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spans="2:28" x14ac:dyDescent="0.25">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spans="2:28" x14ac:dyDescent="0.25">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spans="2:28" x14ac:dyDescent="0.25">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spans="2:28" x14ac:dyDescent="0.25">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spans="2:28" x14ac:dyDescent="0.25">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spans="2:28" x14ac:dyDescent="0.25">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spans="2:28" x14ac:dyDescent="0.25">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spans="2:28" x14ac:dyDescent="0.25">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spans="2:28" x14ac:dyDescent="0.25">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spans="2:28" x14ac:dyDescent="0.25">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spans="2:28" x14ac:dyDescent="0.25">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spans="2:28" x14ac:dyDescent="0.25">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spans="2:28" x14ac:dyDescent="0.25">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spans="2:28" x14ac:dyDescent="0.25">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spans="2:28" x14ac:dyDescent="0.25">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spans="2:28" x14ac:dyDescent="0.25">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spans="2:28" x14ac:dyDescent="0.25">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spans="2:28" x14ac:dyDescent="0.25">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spans="2:28" x14ac:dyDescent="0.25">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spans="2:28" x14ac:dyDescent="0.25">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spans="2:28" x14ac:dyDescent="0.25">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spans="2:28" x14ac:dyDescent="0.25">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spans="2:28" x14ac:dyDescent="0.25">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spans="2:28" x14ac:dyDescent="0.25">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spans="2:28" x14ac:dyDescent="0.25">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spans="2:28" x14ac:dyDescent="0.25">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spans="2:28" x14ac:dyDescent="0.25">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spans="2:28" x14ac:dyDescent="0.25">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spans="2:28" x14ac:dyDescent="0.25">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spans="2:28" x14ac:dyDescent="0.25">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spans="2:28" x14ac:dyDescent="0.25">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spans="2:28" x14ac:dyDescent="0.25">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spans="2:28" x14ac:dyDescent="0.25">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spans="2:28" x14ac:dyDescent="0.25">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spans="2:28" x14ac:dyDescent="0.25">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spans="2:28" x14ac:dyDescent="0.25">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spans="2:28" x14ac:dyDescent="0.25">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spans="2:28" x14ac:dyDescent="0.25">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spans="2:28" x14ac:dyDescent="0.25">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spans="2:28" x14ac:dyDescent="0.25">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spans="2:28" x14ac:dyDescent="0.25">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spans="2:28" x14ac:dyDescent="0.25">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spans="2:28" x14ac:dyDescent="0.25">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spans="2:28" x14ac:dyDescent="0.25">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spans="2:28" x14ac:dyDescent="0.25">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spans="2:28" x14ac:dyDescent="0.25">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spans="2:28" x14ac:dyDescent="0.25">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spans="2:28" x14ac:dyDescent="0.25">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spans="2:28" x14ac:dyDescent="0.25">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spans="2:28" x14ac:dyDescent="0.25">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spans="2:28" x14ac:dyDescent="0.25">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spans="2:28" x14ac:dyDescent="0.25">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spans="2:28" x14ac:dyDescent="0.25">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spans="2:28" x14ac:dyDescent="0.25">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spans="2:28" x14ac:dyDescent="0.25">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spans="2:28" x14ac:dyDescent="0.25">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spans="2:28" x14ac:dyDescent="0.25">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spans="2:28" x14ac:dyDescent="0.25">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spans="2:28" x14ac:dyDescent="0.25">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spans="2:28" x14ac:dyDescent="0.25">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spans="2:28" x14ac:dyDescent="0.25">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spans="2:28" x14ac:dyDescent="0.25">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spans="2:28" x14ac:dyDescent="0.25">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spans="2:28" x14ac:dyDescent="0.25">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spans="2:28" x14ac:dyDescent="0.25">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spans="2:28" x14ac:dyDescent="0.25">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spans="2:28" x14ac:dyDescent="0.25">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spans="2:28" x14ac:dyDescent="0.25">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spans="2:28" x14ac:dyDescent="0.25">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spans="2:28" x14ac:dyDescent="0.25">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spans="2:28" x14ac:dyDescent="0.25">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spans="2:28" x14ac:dyDescent="0.25">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spans="2:28" x14ac:dyDescent="0.25">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spans="2:28" x14ac:dyDescent="0.25">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spans="2:28" x14ac:dyDescent="0.25">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spans="2:28" x14ac:dyDescent="0.25">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spans="2:28" x14ac:dyDescent="0.25">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spans="2:28" x14ac:dyDescent="0.25">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spans="2:28" x14ac:dyDescent="0.25">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spans="2:28" x14ac:dyDescent="0.25">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spans="2:28" x14ac:dyDescent="0.25">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spans="2:28" x14ac:dyDescent="0.25">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spans="2:28" x14ac:dyDescent="0.25">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spans="2:28" x14ac:dyDescent="0.25">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spans="2:28" x14ac:dyDescent="0.25">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spans="2:28" x14ac:dyDescent="0.25">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spans="2:28" x14ac:dyDescent="0.25">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spans="2:28" x14ac:dyDescent="0.25">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spans="2:28" x14ac:dyDescent="0.25">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spans="2:28" x14ac:dyDescent="0.25">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spans="2:28" x14ac:dyDescent="0.25">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spans="2:28" x14ac:dyDescent="0.25">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spans="2:28" x14ac:dyDescent="0.25">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spans="2:28" x14ac:dyDescent="0.25">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spans="2:28" x14ac:dyDescent="0.25">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spans="2:28" x14ac:dyDescent="0.25">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spans="2:28" x14ac:dyDescent="0.25">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spans="2:28" x14ac:dyDescent="0.25">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spans="2:28" x14ac:dyDescent="0.25">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spans="2:28" x14ac:dyDescent="0.25">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spans="2:28" x14ac:dyDescent="0.25">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spans="2:28" x14ac:dyDescent="0.25">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spans="2:28" x14ac:dyDescent="0.25">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spans="2:28" x14ac:dyDescent="0.25">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spans="2:28" x14ac:dyDescent="0.25">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spans="2:28" x14ac:dyDescent="0.25">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spans="2:28" x14ac:dyDescent="0.25">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spans="2:28" x14ac:dyDescent="0.25">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spans="2:28" x14ac:dyDescent="0.25">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spans="2:28" x14ac:dyDescent="0.25">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spans="2:28" x14ac:dyDescent="0.25">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spans="2:28" x14ac:dyDescent="0.25">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spans="2:28" x14ac:dyDescent="0.25">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spans="2:28" x14ac:dyDescent="0.25">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spans="2:28" x14ac:dyDescent="0.25">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spans="2:28" x14ac:dyDescent="0.25">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spans="2:28" x14ac:dyDescent="0.25">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spans="2:28" x14ac:dyDescent="0.25">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spans="2:28" x14ac:dyDescent="0.25">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spans="2:28" x14ac:dyDescent="0.25">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spans="2:28" x14ac:dyDescent="0.25">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spans="2:28" x14ac:dyDescent="0.25">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spans="2:28" x14ac:dyDescent="0.25">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spans="2:28" x14ac:dyDescent="0.25">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spans="2:28" x14ac:dyDescent="0.25">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spans="2:28" x14ac:dyDescent="0.25">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spans="2:28" x14ac:dyDescent="0.25">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spans="2:28" x14ac:dyDescent="0.25">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spans="2:28" x14ac:dyDescent="0.25">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spans="2:28" x14ac:dyDescent="0.25">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spans="2:28" x14ac:dyDescent="0.25">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spans="2:28" x14ac:dyDescent="0.25">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spans="2:28" x14ac:dyDescent="0.25">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spans="2:28" x14ac:dyDescent="0.25">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spans="2:28" x14ac:dyDescent="0.25">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spans="2:28" x14ac:dyDescent="0.25">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spans="2:28" x14ac:dyDescent="0.25">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spans="2:28" x14ac:dyDescent="0.25">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spans="2:28" x14ac:dyDescent="0.25">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spans="2:28" x14ac:dyDescent="0.25">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spans="2:28" x14ac:dyDescent="0.25">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spans="2:28" x14ac:dyDescent="0.25">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spans="2:28" x14ac:dyDescent="0.25">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spans="2:28" x14ac:dyDescent="0.25">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spans="2:28" x14ac:dyDescent="0.25">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spans="2:28" x14ac:dyDescent="0.25">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spans="2:28" x14ac:dyDescent="0.25">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spans="2:28" x14ac:dyDescent="0.25">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spans="2:28" x14ac:dyDescent="0.25">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spans="2:28" x14ac:dyDescent="0.25">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spans="2:28" x14ac:dyDescent="0.25">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spans="2:28" x14ac:dyDescent="0.25">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spans="2:28" x14ac:dyDescent="0.25">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spans="2:28" x14ac:dyDescent="0.25">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spans="2:28" x14ac:dyDescent="0.25">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spans="2:28" x14ac:dyDescent="0.25">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spans="2:28" x14ac:dyDescent="0.25">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spans="2:28" x14ac:dyDescent="0.25">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spans="2:28" x14ac:dyDescent="0.25">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spans="2:28" x14ac:dyDescent="0.25">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spans="2:28" x14ac:dyDescent="0.25">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spans="2:28" x14ac:dyDescent="0.25">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spans="2:28" x14ac:dyDescent="0.25">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spans="2:28" x14ac:dyDescent="0.25">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spans="2:28" x14ac:dyDescent="0.25">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spans="2:28" x14ac:dyDescent="0.25">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spans="2:28" x14ac:dyDescent="0.25">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spans="2:28" x14ac:dyDescent="0.25">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spans="2:28" x14ac:dyDescent="0.25">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spans="2:28" x14ac:dyDescent="0.25">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spans="2:28" x14ac:dyDescent="0.25">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spans="2:28" x14ac:dyDescent="0.25">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spans="2:28" x14ac:dyDescent="0.25">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spans="2:28" x14ac:dyDescent="0.25">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spans="2:28" x14ac:dyDescent="0.25">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spans="2:28" x14ac:dyDescent="0.25">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spans="2:28" x14ac:dyDescent="0.25">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spans="2:28" x14ac:dyDescent="0.25">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spans="2:28" x14ac:dyDescent="0.25">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spans="2:28" x14ac:dyDescent="0.25">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spans="2:28" x14ac:dyDescent="0.25">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spans="2:28" x14ac:dyDescent="0.25">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spans="2:28" x14ac:dyDescent="0.25">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spans="2:28" x14ac:dyDescent="0.25">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spans="2:28" x14ac:dyDescent="0.25">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spans="2:28" x14ac:dyDescent="0.25">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spans="2:28" x14ac:dyDescent="0.25">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spans="2:28" x14ac:dyDescent="0.25">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spans="2:28" x14ac:dyDescent="0.25">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spans="2:28" x14ac:dyDescent="0.25">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spans="2:28" x14ac:dyDescent="0.25">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spans="2:28" x14ac:dyDescent="0.25">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spans="2:28" x14ac:dyDescent="0.25">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spans="2:28" x14ac:dyDescent="0.25">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spans="2:28" x14ac:dyDescent="0.25">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spans="2:28" x14ac:dyDescent="0.25">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spans="2:28" x14ac:dyDescent="0.25">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spans="2:28" x14ac:dyDescent="0.25">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spans="2:28" x14ac:dyDescent="0.25">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spans="2:28" x14ac:dyDescent="0.25">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spans="2:28" x14ac:dyDescent="0.25">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spans="2:28" x14ac:dyDescent="0.25">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spans="2:28" x14ac:dyDescent="0.25">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spans="2:28" x14ac:dyDescent="0.25">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spans="2:28" x14ac:dyDescent="0.25">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spans="2:28" x14ac:dyDescent="0.25">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spans="2:28" x14ac:dyDescent="0.25">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spans="2:28" x14ac:dyDescent="0.25">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spans="2:28" x14ac:dyDescent="0.25">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spans="2:28" x14ac:dyDescent="0.25">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spans="2:28" x14ac:dyDescent="0.25">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spans="2:28" x14ac:dyDescent="0.25">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spans="2:28" x14ac:dyDescent="0.25">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spans="2:28" x14ac:dyDescent="0.25">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spans="2:28" x14ac:dyDescent="0.25">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spans="2:28" x14ac:dyDescent="0.25">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spans="2:28" x14ac:dyDescent="0.25">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spans="2:28" x14ac:dyDescent="0.25">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spans="2:28" x14ac:dyDescent="0.25">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spans="2:28" x14ac:dyDescent="0.25">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spans="2:28" x14ac:dyDescent="0.25">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spans="2:28" x14ac:dyDescent="0.25">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spans="2:28" x14ac:dyDescent="0.25">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spans="2:28" x14ac:dyDescent="0.25">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spans="2:28" x14ac:dyDescent="0.25">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spans="2:28" x14ac:dyDescent="0.25">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spans="2:28" x14ac:dyDescent="0.25">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spans="2:28" x14ac:dyDescent="0.25">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spans="2:28" x14ac:dyDescent="0.25">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spans="2:28" x14ac:dyDescent="0.25">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spans="2:28" x14ac:dyDescent="0.25">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spans="2:28" x14ac:dyDescent="0.25">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spans="2:28" x14ac:dyDescent="0.25">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spans="2:28" x14ac:dyDescent="0.25">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spans="2:28" x14ac:dyDescent="0.25">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spans="2:28" x14ac:dyDescent="0.25">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spans="2:28" x14ac:dyDescent="0.25">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spans="2:28" x14ac:dyDescent="0.25">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spans="2:28" x14ac:dyDescent="0.25">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spans="2:28" x14ac:dyDescent="0.25">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spans="2:28" x14ac:dyDescent="0.25">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spans="2:28" x14ac:dyDescent="0.25">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spans="2:28" x14ac:dyDescent="0.25">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spans="2:28" x14ac:dyDescent="0.25">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spans="2:28" x14ac:dyDescent="0.25">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spans="2:28" x14ac:dyDescent="0.25">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spans="2:28" x14ac:dyDescent="0.25">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spans="2:28" x14ac:dyDescent="0.25">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spans="2:28" x14ac:dyDescent="0.25">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spans="2:28" x14ac:dyDescent="0.25">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spans="2:28" x14ac:dyDescent="0.25">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spans="2:28" x14ac:dyDescent="0.25">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spans="2:28" x14ac:dyDescent="0.25">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spans="2:28" x14ac:dyDescent="0.25">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spans="2:28" x14ac:dyDescent="0.25">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spans="2:28" x14ac:dyDescent="0.25">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spans="2:28" x14ac:dyDescent="0.25">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spans="2:28" x14ac:dyDescent="0.25">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spans="2:28" x14ac:dyDescent="0.25">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spans="2:28" x14ac:dyDescent="0.25">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spans="2:28" x14ac:dyDescent="0.25">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spans="2:28" x14ac:dyDescent="0.25">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spans="2:28" x14ac:dyDescent="0.25">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spans="2:28" x14ac:dyDescent="0.25">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spans="2:28" x14ac:dyDescent="0.25">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spans="2:28" x14ac:dyDescent="0.25">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spans="2:28" x14ac:dyDescent="0.25">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spans="2:28" x14ac:dyDescent="0.25">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spans="2:28" x14ac:dyDescent="0.25">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spans="2:28" x14ac:dyDescent="0.25">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spans="2:28" x14ac:dyDescent="0.25">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spans="2:28" x14ac:dyDescent="0.25">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spans="2:28" x14ac:dyDescent="0.25">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spans="2:28" x14ac:dyDescent="0.25">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spans="2:28" x14ac:dyDescent="0.25">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spans="2:28" x14ac:dyDescent="0.25">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spans="2:28" x14ac:dyDescent="0.25">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spans="2:28" x14ac:dyDescent="0.25">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spans="2:28" x14ac:dyDescent="0.25">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spans="2:28" x14ac:dyDescent="0.25">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spans="2:28" x14ac:dyDescent="0.25">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spans="2:28" x14ac:dyDescent="0.25">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spans="2:28" x14ac:dyDescent="0.25">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spans="2:28" x14ac:dyDescent="0.25">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spans="2:28" x14ac:dyDescent="0.25">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spans="2:28" x14ac:dyDescent="0.25">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spans="2:28" x14ac:dyDescent="0.25">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spans="2:28" x14ac:dyDescent="0.25">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spans="2:28" x14ac:dyDescent="0.25">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spans="2:28" x14ac:dyDescent="0.25">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spans="2:28" x14ac:dyDescent="0.25">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spans="2:28" x14ac:dyDescent="0.25">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spans="2:28" x14ac:dyDescent="0.25">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spans="2:28" x14ac:dyDescent="0.25">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spans="2:28" x14ac:dyDescent="0.25">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spans="2:28" x14ac:dyDescent="0.25">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spans="2:28" x14ac:dyDescent="0.25">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spans="2:28" x14ac:dyDescent="0.25">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spans="2:28" x14ac:dyDescent="0.25">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spans="2:28" x14ac:dyDescent="0.25">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spans="2:28" x14ac:dyDescent="0.25">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spans="2:28" x14ac:dyDescent="0.25">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spans="2:28" x14ac:dyDescent="0.25">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spans="2:28" x14ac:dyDescent="0.25">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spans="2:28" x14ac:dyDescent="0.25">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spans="2:28" x14ac:dyDescent="0.25">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spans="2:28" x14ac:dyDescent="0.25">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spans="2:28" x14ac:dyDescent="0.25">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spans="2:28" x14ac:dyDescent="0.25">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spans="2:28" x14ac:dyDescent="0.25">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spans="2:28" x14ac:dyDescent="0.25">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spans="2:28" x14ac:dyDescent="0.25">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spans="2:28" x14ac:dyDescent="0.25">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spans="2:28" x14ac:dyDescent="0.25">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spans="2:28" x14ac:dyDescent="0.25">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spans="2:28" x14ac:dyDescent="0.25">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spans="2:28" x14ac:dyDescent="0.25">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spans="2:28" x14ac:dyDescent="0.25">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spans="2:28" x14ac:dyDescent="0.25">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spans="2:28" x14ac:dyDescent="0.25">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spans="2:28" x14ac:dyDescent="0.25">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spans="2:28" x14ac:dyDescent="0.25">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spans="2:28" x14ac:dyDescent="0.25">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spans="2:28" x14ac:dyDescent="0.25">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spans="2:28" x14ac:dyDescent="0.25">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spans="2:28" x14ac:dyDescent="0.25">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spans="2:28" x14ac:dyDescent="0.25">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spans="2:28" x14ac:dyDescent="0.25">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spans="2:28" x14ac:dyDescent="0.25">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spans="2:28" x14ac:dyDescent="0.25">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spans="2:28" x14ac:dyDescent="0.25">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spans="2:28" x14ac:dyDescent="0.25">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spans="2:28" x14ac:dyDescent="0.25">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spans="2:28" x14ac:dyDescent="0.25">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spans="2:28" x14ac:dyDescent="0.25">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spans="2:28" x14ac:dyDescent="0.25">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spans="2:28" x14ac:dyDescent="0.25">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spans="2:28" x14ac:dyDescent="0.25">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spans="2:28" x14ac:dyDescent="0.25">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spans="2:28" x14ac:dyDescent="0.25">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spans="2:28" x14ac:dyDescent="0.25">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spans="2:28" x14ac:dyDescent="0.25">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spans="2:28" x14ac:dyDescent="0.25">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spans="2:28" x14ac:dyDescent="0.25">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spans="2:28" x14ac:dyDescent="0.25">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spans="2:28" x14ac:dyDescent="0.25">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spans="2:28" x14ac:dyDescent="0.25">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spans="2:28" x14ac:dyDescent="0.25">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spans="2:28" x14ac:dyDescent="0.25">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spans="2:28" x14ac:dyDescent="0.25">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spans="2:28" x14ac:dyDescent="0.25">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spans="2:28" x14ac:dyDescent="0.25">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spans="2:28" x14ac:dyDescent="0.25">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spans="2:28" x14ac:dyDescent="0.25">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spans="2:28" x14ac:dyDescent="0.25">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spans="2:28" x14ac:dyDescent="0.25">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spans="2:28" x14ac:dyDescent="0.25">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spans="2:28" x14ac:dyDescent="0.25">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spans="2:28" x14ac:dyDescent="0.25">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spans="2:28" x14ac:dyDescent="0.25">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spans="2:28" x14ac:dyDescent="0.25">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spans="2:28" x14ac:dyDescent="0.25">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spans="2:28" x14ac:dyDescent="0.25">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spans="2:28" x14ac:dyDescent="0.25">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spans="2:28" x14ac:dyDescent="0.25">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spans="2:28" x14ac:dyDescent="0.25">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spans="2:28" x14ac:dyDescent="0.25">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spans="2:28" x14ac:dyDescent="0.25">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spans="2:28" x14ac:dyDescent="0.25">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spans="2:28" x14ac:dyDescent="0.25">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spans="2:28" x14ac:dyDescent="0.25">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spans="2:28" x14ac:dyDescent="0.25">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spans="2:28" x14ac:dyDescent="0.25">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spans="2:28" x14ac:dyDescent="0.25">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spans="2:28" x14ac:dyDescent="0.25">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spans="2:28" x14ac:dyDescent="0.25">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spans="2:28" x14ac:dyDescent="0.25">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spans="2:28" x14ac:dyDescent="0.25">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spans="2:28" x14ac:dyDescent="0.25">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spans="2:28" x14ac:dyDescent="0.25">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spans="2:28" x14ac:dyDescent="0.25">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spans="2:28" x14ac:dyDescent="0.25">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spans="2:28" x14ac:dyDescent="0.25">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spans="2:28" x14ac:dyDescent="0.25">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spans="2:28" x14ac:dyDescent="0.25">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spans="2:28" x14ac:dyDescent="0.25">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spans="2:28" x14ac:dyDescent="0.25">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spans="2:28" x14ac:dyDescent="0.25">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spans="2:28" x14ac:dyDescent="0.25">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spans="2:28" x14ac:dyDescent="0.25">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spans="2:28" x14ac:dyDescent="0.25">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spans="2:28" x14ac:dyDescent="0.25">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spans="2:28" x14ac:dyDescent="0.25">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spans="2:28" x14ac:dyDescent="0.25">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spans="2:28" x14ac:dyDescent="0.25">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spans="2:28" x14ac:dyDescent="0.25">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spans="2:28" x14ac:dyDescent="0.25">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spans="2:28" x14ac:dyDescent="0.25">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spans="2:28" x14ac:dyDescent="0.25">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spans="2:28" x14ac:dyDescent="0.25">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spans="2:28" x14ac:dyDescent="0.25">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spans="2:28" x14ac:dyDescent="0.25">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spans="2:28" x14ac:dyDescent="0.25">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spans="2:28" x14ac:dyDescent="0.25">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spans="2:28" x14ac:dyDescent="0.25">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spans="2:28" x14ac:dyDescent="0.25">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spans="2:28" x14ac:dyDescent="0.25">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spans="2:28" x14ac:dyDescent="0.25">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spans="2:28" x14ac:dyDescent="0.25">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spans="2:28" x14ac:dyDescent="0.25">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spans="2:28" x14ac:dyDescent="0.25">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spans="2:28" x14ac:dyDescent="0.25">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spans="2:28" x14ac:dyDescent="0.25">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spans="2:28" x14ac:dyDescent="0.25">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spans="2:28" x14ac:dyDescent="0.25">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spans="2:28" x14ac:dyDescent="0.25">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spans="2:28" x14ac:dyDescent="0.25">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spans="2:28" x14ac:dyDescent="0.25">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spans="2:28" x14ac:dyDescent="0.25">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spans="2:28" x14ac:dyDescent="0.25">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spans="2:28" x14ac:dyDescent="0.25">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spans="2:28" x14ac:dyDescent="0.25">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spans="2:28" x14ac:dyDescent="0.25">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spans="2:28" x14ac:dyDescent="0.25">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spans="2:28" x14ac:dyDescent="0.25">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spans="2:28" x14ac:dyDescent="0.25">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spans="2:28" x14ac:dyDescent="0.25">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spans="2:28" x14ac:dyDescent="0.25">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spans="2:28" x14ac:dyDescent="0.25">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spans="2:28" x14ac:dyDescent="0.25">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spans="2:28" x14ac:dyDescent="0.25">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spans="2:28" x14ac:dyDescent="0.25">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spans="2:28" x14ac:dyDescent="0.25">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spans="2:28" x14ac:dyDescent="0.25">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spans="2:28" x14ac:dyDescent="0.25">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spans="2:28" x14ac:dyDescent="0.25">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spans="2:28" x14ac:dyDescent="0.25">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spans="2:28" x14ac:dyDescent="0.25">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spans="2:28" x14ac:dyDescent="0.25">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spans="2:28" x14ac:dyDescent="0.25">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spans="2:28" x14ac:dyDescent="0.25">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spans="2:28" x14ac:dyDescent="0.25">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spans="2:28" x14ac:dyDescent="0.25">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spans="2:28" x14ac:dyDescent="0.25">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spans="2:28" x14ac:dyDescent="0.25">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spans="2:28" x14ac:dyDescent="0.25">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spans="2:28" x14ac:dyDescent="0.25">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spans="2:28" x14ac:dyDescent="0.25">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spans="2:28" x14ac:dyDescent="0.25">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spans="2:28" x14ac:dyDescent="0.25">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spans="2:28" x14ac:dyDescent="0.25">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spans="2:28" x14ac:dyDescent="0.25">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spans="2:28" x14ac:dyDescent="0.25">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spans="2:28" x14ac:dyDescent="0.25">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spans="2:28" x14ac:dyDescent="0.25">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spans="2:28" x14ac:dyDescent="0.25">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spans="2:28" x14ac:dyDescent="0.25">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spans="2:28" x14ac:dyDescent="0.25">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spans="2:28" x14ac:dyDescent="0.25">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spans="2:28" x14ac:dyDescent="0.25">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spans="2:28" x14ac:dyDescent="0.25">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spans="2:28" x14ac:dyDescent="0.25">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spans="2:28" x14ac:dyDescent="0.25">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spans="2:28" x14ac:dyDescent="0.25">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spans="2:28" x14ac:dyDescent="0.25">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spans="2:28" x14ac:dyDescent="0.25">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spans="2:28" x14ac:dyDescent="0.25">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spans="2:28" x14ac:dyDescent="0.25">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spans="2:28" x14ac:dyDescent="0.25">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spans="2:28" x14ac:dyDescent="0.25">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spans="2:28" x14ac:dyDescent="0.25">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spans="2:28" x14ac:dyDescent="0.25">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spans="2:28" x14ac:dyDescent="0.25">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spans="2:28" x14ac:dyDescent="0.25">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spans="2:28" x14ac:dyDescent="0.25">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spans="2:28" x14ac:dyDescent="0.25">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spans="2:28" x14ac:dyDescent="0.25">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spans="2:28" x14ac:dyDescent="0.25">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spans="2:28" x14ac:dyDescent="0.25">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spans="2:28" x14ac:dyDescent="0.25">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spans="2:28" x14ac:dyDescent="0.25">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spans="2:28" x14ac:dyDescent="0.25">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spans="2:28" x14ac:dyDescent="0.25">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spans="2:28" x14ac:dyDescent="0.25">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spans="2:28" x14ac:dyDescent="0.25">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spans="2:28" x14ac:dyDescent="0.25">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spans="2:28" x14ac:dyDescent="0.25">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spans="2:28" x14ac:dyDescent="0.25">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spans="2:28" x14ac:dyDescent="0.25">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spans="2:28" x14ac:dyDescent="0.25">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spans="2:28" x14ac:dyDescent="0.25">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spans="2:28" x14ac:dyDescent="0.25">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spans="2:28" x14ac:dyDescent="0.25">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spans="2:28" x14ac:dyDescent="0.25">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spans="2:28" x14ac:dyDescent="0.25">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spans="2:28" x14ac:dyDescent="0.25">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spans="2:28" x14ac:dyDescent="0.25">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spans="2:28" x14ac:dyDescent="0.25">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spans="2:28" x14ac:dyDescent="0.25">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spans="2:28" x14ac:dyDescent="0.25">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spans="2:28" x14ac:dyDescent="0.25">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spans="2:28" x14ac:dyDescent="0.25">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spans="2:28" x14ac:dyDescent="0.25">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spans="2:28" x14ac:dyDescent="0.25">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spans="2:28" x14ac:dyDescent="0.25">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spans="2:28" x14ac:dyDescent="0.25">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spans="2:28" x14ac:dyDescent="0.25">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spans="2:28" x14ac:dyDescent="0.25">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spans="2:28" x14ac:dyDescent="0.25">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spans="2:28" x14ac:dyDescent="0.25">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spans="2:28" x14ac:dyDescent="0.25">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spans="2:28" x14ac:dyDescent="0.25">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spans="2:28" x14ac:dyDescent="0.25">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spans="2:28" x14ac:dyDescent="0.25">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spans="2:28" x14ac:dyDescent="0.25">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spans="2:28" x14ac:dyDescent="0.25">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spans="2:28" x14ac:dyDescent="0.25">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spans="2:28" x14ac:dyDescent="0.25">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spans="2:28" x14ac:dyDescent="0.25">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spans="2:28" x14ac:dyDescent="0.25">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spans="2:28" x14ac:dyDescent="0.25">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spans="2:28" x14ac:dyDescent="0.25">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spans="2:28" x14ac:dyDescent="0.25">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spans="2:28" x14ac:dyDescent="0.25">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spans="2:28" x14ac:dyDescent="0.25">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spans="2:28" x14ac:dyDescent="0.25">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spans="2:28" x14ac:dyDescent="0.25">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spans="2:28" x14ac:dyDescent="0.25">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spans="2:28" x14ac:dyDescent="0.25">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spans="2:28" x14ac:dyDescent="0.25">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spans="2:28" x14ac:dyDescent="0.25">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spans="2:28" x14ac:dyDescent="0.25">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spans="2:28" x14ac:dyDescent="0.25">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spans="2:28" x14ac:dyDescent="0.25">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spans="2:28" x14ac:dyDescent="0.25">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spans="2:28" x14ac:dyDescent="0.25">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spans="2:28" x14ac:dyDescent="0.25">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spans="2:28" x14ac:dyDescent="0.25">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spans="2:28" x14ac:dyDescent="0.25">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spans="2:28" x14ac:dyDescent="0.25">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spans="2:28" x14ac:dyDescent="0.25">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spans="2:28" x14ac:dyDescent="0.25">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spans="2:28" x14ac:dyDescent="0.25">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spans="2:28" x14ac:dyDescent="0.25">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spans="2:28" x14ac:dyDescent="0.25">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spans="2:28" x14ac:dyDescent="0.25">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spans="2:28" x14ac:dyDescent="0.25">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spans="2:28" x14ac:dyDescent="0.25">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spans="2:28" x14ac:dyDescent="0.25">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spans="2:28" x14ac:dyDescent="0.25">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spans="2:28" x14ac:dyDescent="0.25">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spans="2:28" x14ac:dyDescent="0.25">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spans="2:28" x14ac:dyDescent="0.25">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spans="2:28" x14ac:dyDescent="0.25">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spans="2:28" x14ac:dyDescent="0.25">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spans="2:28" x14ac:dyDescent="0.25">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spans="2:28" x14ac:dyDescent="0.25">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spans="2:28" x14ac:dyDescent="0.25">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spans="2:28" x14ac:dyDescent="0.25">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spans="2:28" x14ac:dyDescent="0.25">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spans="2:28" x14ac:dyDescent="0.25">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spans="2:28" x14ac:dyDescent="0.25">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spans="2:28" x14ac:dyDescent="0.25">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spans="2:28" x14ac:dyDescent="0.25">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spans="2:28" x14ac:dyDescent="0.25">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spans="2:28" x14ac:dyDescent="0.25">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spans="2:28" x14ac:dyDescent="0.25">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spans="2:28" x14ac:dyDescent="0.25">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spans="2:28" x14ac:dyDescent="0.25">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spans="2:28" x14ac:dyDescent="0.25">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spans="2:28" x14ac:dyDescent="0.25">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spans="2:28" x14ac:dyDescent="0.25">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spans="2:28" x14ac:dyDescent="0.25">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spans="2:28" x14ac:dyDescent="0.25">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spans="2:28" x14ac:dyDescent="0.25">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spans="2:28" x14ac:dyDescent="0.25">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spans="2:28" x14ac:dyDescent="0.25">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spans="2:28" x14ac:dyDescent="0.25">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spans="2:28" x14ac:dyDescent="0.25">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spans="2:28" x14ac:dyDescent="0.25">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spans="2:28" x14ac:dyDescent="0.25">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spans="2:28" x14ac:dyDescent="0.25">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spans="2:28" x14ac:dyDescent="0.25">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spans="2:28" x14ac:dyDescent="0.25">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spans="2:28" x14ac:dyDescent="0.25">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spans="2:28" x14ac:dyDescent="0.25">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spans="2:28" x14ac:dyDescent="0.25">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spans="2:28" x14ac:dyDescent="0.25">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spans="2:28" x14ac:dyDescent="0.25">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spans="2:28" x14ac:dyDescent="0.25">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spans="2:28" x14ac:dyDescent="0.25">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spans="2:28" x14ac:dyDescent="0.25">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spans="2:28" x14ac:dyDescent="0.25">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spans="2:28" x14ac:dyDescent="0.25">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spans="2:28" x14ac:dyDescent="0.25">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spans="2:28" x14ac:dyDescent="0.25">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spans="2:28" x14ac:dyDescent="0.25">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spans="2:28" x14ac:dyDescent="0.25">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spans="2:28" x14ac:dyDescent="0.25">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spans="2:28" x14ac:dyDescent="0.25">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spans="2:28" x14ac:dyDescent="0.25">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spans="2:28" x14ac:dyDescent="0.25">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spans="2:28" x14ac:dyDescent="0.25">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spans="2:28" x14ac:dyDescent="0.25">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spans="2:28" x14ac:dyDescent="0.25">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spans="2:28" x14ac:dyDescent="0.25">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spans="2:28" x14ac:dyDescent="0.25">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spans="2:28" x14ac:dyDescent="0.25">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row r="1001" spans="2:28" x14ac:dyDescent="0.25">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row>
    <row r="1002" spans="2:28" x14ac:dyDescent="0.25">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row>
    <row r="1003" spans="2:28" x14ac:dyDescent="0.25">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row>
    <row r="1004" spans="2:28" x14ac:dyDescent="0.25">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row>
    <row r="1005" spans="2:28" x14ac:dyDescent="0.25">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row>
    <row r="1006" spans="2:28" x14ac:dyDescent="0.25">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row>
    <row r="1007" spans="2:28" x14ac:dyDescent="0.25">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row>
    <row r="1008" spans="2:28" x14ac:dyDescent="0.25">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row>
    <row r="1009" spans="2:28" x14ac:dyDescent="0.25">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row>
    <row r="1010" spans="2:28" x14ac:dyDescent="0.25">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row>
    <row r="1011" spans="2:28" x14ac:dyDescent="0.25">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row>
    <row r="1012" spans="2:28" x14ac:dyDescent="0.25">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row>
    <row r="1013" spans="2:28" x14ac:dyDescent="0.25">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row>
    <row r="1014" spans="2:28" x14ac:dyDescent="0.25">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row>
    <row r="1015" spans="2:28" x14ac:dyDescent="0.25">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row>
    <row r="1016" spans="2:28" x14ac:dyDescent="0.25">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row>
    <row r="1017" spans="2:28" x14ac:dyDescent="0.25">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row>
    <row r="1018" spans="2:28" x14ac:dyDescent="0.25">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row>
    <row r="1019" spans="2:28" x14ac:dyDescent="0.25">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row>
    <row r="1020" spans="2:28" x14ac:dyDescent="0.25">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row>
    <row r="1021" spans="2:28" x14ac:dyDescent="0.25">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row>
    <row r="1022" spans="2:28" x14ac:dyDescent="0.25">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row>
    <row r="1023" spans="2:28" x14ac:dyDescent="0.25">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row>
    <row r="1024" spans="2:28" x14ac:dyDescent="0.25">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row>
    <row r="1025" spans="2:28" x14ac:dyDescent="0.25">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row>
    <row r="1026" spans="2:28" x14ac:dyDescent="0.25">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row>
    <row r="1027" spans="2:28" x14ac:dyDescent="0.25">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row>
    <row r="1028" spans="2:28" x14ac:dyDescent="0.25">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row>
    <row r="1029" spans="2:28" x14ac:dyDescent="0.25">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2"/>
      <c r="AB1029" s="2"/>
    </row>
    <row r="1030" spans="2:28" x14ac:dyDescent="0.25">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c r="AA1030" s="2"/>
      <c r="AB1030" s="2"/>
    </row>
    <row r="1031" spans="2:28" x14ac:dyDescent="0.25">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c r="AA1031" s="2"/>
      <c r="AB1031" s="2"/>
    </row>
    <row r="1032" spans="2:28" x14ac:dyDescent="0.25">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c r="AA1032" s="2"/>
      <c r="AB1032" s="2"/>
    </row>
    <row r="1033" spans="2:28" x14ac:dyDescent="0.25">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c r="AA1033" s="2"/>
      <c r="AB1033" s="2"/>
    </row>
    <row r="1034" spans="2:28" x14ac:dyDescent="0.25">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c r="AA1034" s="2"/>
      <c r="AB1034" s="2"/>
    </row>
    <row r="1035" spans="2:28" x14ac:dyDescent="0.25">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2"/>
      <c r="AB1035" s="2"/>
    </row>
    <row r="1036" spans="2:28" x14ac:dyDescent="0.25">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c r="AA1036" s="2"/>
      <c r="AB1036" s="2"/>
    </row>
    <row r="1037" spans="2:28" x14ac:dyDescent="0.25">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c r="AA1037" s="2"/>
      <c r="AB1037" s="2"/>
    </row>
    <row r="1038" spans="2:28" x14ac:dyDescent="0.25">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2"/>
      <c r="AB1038" s="2"/>
    </row>
    <row r="1039" spans="2:28" x14ac:dyDescent="0.25">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c r="AA1039" s="2"/>
      <c r="AB1039" s="2"/>
    </row>
    <row r="1040" spans="2:28" x14ac:dyDescent="0.25">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c r="AA1040" s="2"/>
      <c r="AB1040" s="2"/>
    </row>
    <row r="1041" spans="2:28" x14ac:dyDescent="0.25">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c r="AA1041" s="2"/>
      <c r="AB1041" s="2"/>
    </row>
    <row r="1042" spans="2:28" x14ac:dyDescent="0.25">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c r="AA1042" s="2"/>
      <c r="AB1042" s="2"/>
    </row>
    <row r="1043" spans="2:28" x14ac:dyDescent="0.25">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2"/>
      <c r="AB1043" s="2"/>
    </row>
    <row r="1044" spans="2:28" x14ac:dyDescent="0.25">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c r="AA1044" s="2"/>
      <c r="AB1044" s="2"/>
    </row>
    <row r="1045" spans="2:28" x14ac:dyDescent="0.25">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c r="AA1045" s="2"/>
      <c r="AB1045" s="2"/>
    </row>
    <row r="1046" spans="2:28" x14ac:dyDescent="0.25">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2"/>
      <c r="AB1046" s="2"/>
    </row>
    <row r="1047" spans="2:28" x14ac:dyDescent="0.25">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c r="AA1047" s="2"/>
      <c r="AB1047" s="2"/>
    </row>
    <row r="1048" spans="2:28" x14ac:dyDescent="0.25">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c r="AA1048" s="2"/>
      <c r="AB1048" s="2"/>
    </row>
    <row r="1049" spans="2:28" x14ac:dyDescent="0.25">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2"/>
      <c r="AB1049" s="2"/>
    </row>
    <row r="1050" spans="2:28" x14ac:dyDescent="0.25">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2"/>
      <c r="AB1050" s="2"/>
    </row>
    <row r="1051" spans="2:28" x14ac:dyDescent="0.25">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2"/>
      <c r="AB1051" s="2"/>
    </row>
    <row r="1052" spans="2:28" x14ac:dyDescent="0.25">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2"/>
      <c r="AB1052" s="2"/>
    </row>
    <row r="1053" spans="2:28" x14ac:dyDescent="0.25">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2"/>
      <c r="AB1053" s="2"/>
    </row>
    <row r="1054" spans="2:28" x14ac:dyDescent="0.25">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2"/>
      <c r="AB1054" s="2"/>
    </row>
    <row r="1055" spans="2:28" x14ac:dyDescent="0.25">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2"/>
      <c r="AB1055" s="2"/>
    </row>
    <row r="1056" spans="2:28" x14ac:dyDescent="0.25">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2"/>
      <c r="AB1056" s="2"/>
    </row>
    <row r="1057" spans="2:28" x14ac:dyDescent="0.25">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c r="AA1057" s="2"/>
      <c r="AB1057" s="2"/>
    </row>
    <row r="1058" spans="2:28" x14ac:dyDescent="0.25">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2"/>
      <c r="AB1058" s="2"/>
    </row>
    <row r="1059" spans="2:28" x14ac:dyDescent="0.25">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2"/>
      <c r="AB1059" s="2"/>
    </row>
    <row r="1060" spans="2:28" x14ac:dyDescent="0.25">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2"/>
      <c r="AB1060" s="2"/>
    </row>
    <row r="1061" spans="2:28" x14ac:dyDescent="0.25">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2"/>
      <c r="AB1061" s="2"/>
    </row>
    <row r="1062" spans="2:28" x14ac:dyDescent="0.25">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2"/>
      <c r="AB1062" s="2"/>
    </row>
    <row r="1063" spans="2:28" x14ac:dyDescent="0.25">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c r="AA1063" s="2"/>
      <c r="AB1063" s="2"/>
    </row>
    <row r="1064" spans="2:28" x14ac:dyDescent="0.25">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2"/>
      <c r="AB1064" s="2"/>
    </row>
    <row r="1065" spans="2:28" x14ac:dyDescent="0.25">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c r="AA1065" s="2"/>
      <c r="AB1065" s="2"/>
    </row>
    <row r="1066" spans="2:28" x14ac:dyDescent="0.25">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2"/>
      <c r="AB1066" s="2"/>
    </row>
    <row r="1067" spans="2:28" x14ac:dyDescent="0.25">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c r="AA1067" s="2"/>
      <c r="AB1067" s="2"/>
    </row>
    <row r="1068" spans="2:28" x14ac:dyDescent="0.25">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c r="AA1068" s="2"/>
      <c r="AB1068" s="2"/>
    </row>
    <row r="1069" spans="2:28" x14ac:dyDescent="0.25">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c r="AA1069" s="2"/>
      <c r="AB1069" s="2"/>
    </row>
    <row r="1070" spans="2:28" x14ac:dyDescent="0.25">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c r="AA1070" s="2"/>
      <c r="AB1070" s="2"/>
    </row>
    <row r="1071" spans="2:28" x14ac:dyDescent="0.25">
      <c r="B1071" s="2"/>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c r="AA1071" s="2"/>
      <c r="AB1071" s="2"/>
    </row>
    <row r="1072" spans="2:28" x14ac:dyDescent="0.25">
      <c r="B1072" s="2"/>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c r="AA1072" s="2"/>
      <c r="AB1072" s="2"/>
    </row>
    <row r="1073" spans="2:28" x14ac:dyDescent="0.25">
      <c r="B1073" s="2"/>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c r="AA1073" s="2"/>
      <c r="AB1073" s="2"/>
    </row>
    <row r="1074" spans="2:28" x14ac:dyDescent="0.25">
      <c r="B1074" s="2"/>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c r="AA1074" s="2"/>
      <c r="AB1074" s="2"/>
    </row>
    <row r="1075" spans="2:28" x14ac:dyDescent="0.25">
      <c r="B1075" s="2"/>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c r="AA1075" s="2"/>
      <c r="AB1075" s="2"/>
    </row>
    <row r="1076" spans="2:28" x14ac:dyDescent="0.25">
      <c r="B1076" s="2"/>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c r="AA1076" s="2"/>
      <c r="AB1076" s="2"/>
    </row>
    <row r="1077" spans="2:28" x14ac:dyDescent="0.25">
      <c r="B1077" s="2"/>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c r="AA1077" s="2"/>
      <c r="AB1077" s="2"/>
    </row>
    <row r="1078" spans="2:28" x14ac:dyDescent="0.25">
      <c r="B1078" s="2"/>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c r="AA1078" s="2"/>
      <c r="AB1078" s="2"/>
    </row>
    <row r="1079" spans="2:28" x14ac:dyDescent="0.25">
      <c r="B1079" s="2"/>
      <c r="C1079" s="2"/>
      <c r="D1079" s="2"/>
      <c r="E1079" s="2"/>
      <c r="F1079" s="2"/>
      <c r="G1079" s="2"/>
      <c r="H1079" s="2"/>
      <c r="I1079" s="2"/>
      <c r="J1079" s="2"/>
      <c r="K1079" s="2"/>
      <c r="L1079" s="2"/>
      <c r="M1079" s="2"/>
      <c r="N1079" s="2"/>
      <c r="O1079" s="2"/>
      <c r="P1079" s="2"/>
      <c r="Q1079" s="2"/>
      <c r="R1079" s="2"/>
      <c r="S1079" s="2"/>
      <c r="T1079" s="2"/>
      <c r="U1079" s="2"/>
      <c r="V1079" s="2"/>
      <c r="W1079" s="2"/>
      <c r="X1079" s="2"/>
      <c r="Y1079" s="2"/>
      <c r="Z1079" s="2"/>
      <c r="AA1079" s="2"/>
      <c r="AB1079" s="2"/>
    </row>
    <row r="1080" spans="2:28" x14ac:dyDescent="0.25">
      <c r="B1080" s="2"/>
      <c r="C1080" s="2"/>
      <c r="D1080" s="2"/>
      <c r="E1080" s="2"/>
      <c r="F1080" s="2"/>
      <c r="G1080" s="2"/>
      <c r="H1080" s="2"/>
      <c r="I1080" s="2"/>
      <c r="J1080" s="2"/>
      <c r="K1080" s="2"/>
      <c r="L1080" s="2"/>
      <c r="M1080" s="2"/>
      <c r="N1080" s="2"/>
      <c r="O1080" s="2"/>
      <c r="P1080" s="2"/>
      <c r="Q1080" s="2"/>
      <c r="R1080" s="2"/>
      <c r="S1080" s="2"/>
      <c r="T1080" s="2"/>
      <c r="U1080" s="2"/>
      <c r="V1080" s="2"/>
      <c r="W1080" s="2"/>
      <c r="X1080" s="2"/>
      <c r="Y1080" s="2"/>
      <c r="Z1080" s="2"/>
      <c r="AA1080" s="2"/>
      <c r="AB1080" s="2"/>
    </row>
    <row r="1081" spans="2:28" x14ac:dyDescent="0.25">
      <c r="B1081" s="2"/>
      <c r="C1081" s="2"/>
      <c r="D1081" s="2"/>
      <c r="E1081" s="2"/>
      <c r="F1081" s="2"/>
      <c r="G1081" s="2"/>
      <c r="H1081" s="2"/>
      <c r="I1081" s="2"/>
      <c r="J1081" s="2"/>
      <c r="K1081" s="2"/>
      <c r="L1081" s="2"/>
      <c r="M1081" s="2"/>
      <c r="N1081" s="2"/>
      <c r="O1081" s="2"/>
      <c r="P1081" s="2"/>
      <c r="Q1081" s="2"/>
      <c r="R1081" s="2"/>
      <c r="S1081" s="2"/>
      <c r="T1081" s="2"/>
      <c r="U1081" s="2"/>
      <c r="V1081" s="2"/>
      <c r="W1081" s="2"/>
      <c r="X1081" s="2"/>
      <c r="Y1081" s="2"/>
      <c r="Z1081" s="2"/>
      <c r="AA1081" s="2"/>
      <c r="AB1081" s="2"/>
    </row>
    <row r="1082" spans="2:28" x14ac:dyDescent="0.25">
      <c r="B1082" s="2"/>
      <c r="C1082" s="2"/>
      <c r="D1082" s="2"/>
      <c r="E1082" s="2"/>
      <c r="F1082" s="2"/>
      <c r="G1082" s="2"/>
      <c r="H1082" s="2"/>
      <c r="I1082" s="2"/>
      <c r="J1082" s="2"/>
      <c r="K1082" s="2"/>
      <c r="L1082" s="2"/>
      <c r="M1082" s="2"/>
      <c r="N1082" s="2"/>
      <c r="O1082" s="2"/>
      <c r="P1082" s="2"/>
      <c r="Q1082" s="2"/>
      <c r="R1082" s="2"/>
      <c r="S1082" s="2"/>
      <c r="T1082" s="2"/>
      <c r="U1082" s="2"/>
      <c r="V1082" s="2"/>
      <c r="W1082" s="2"/>
      <c r="X1082" s="2"/>
      <c r="Y1082" s="2"/>
      <c r="Z1082" s="2"/>
      <c r="AA1082" s="2"/>
      <c r="AB1082" s="2"/>
    </row>
    <row r="1083" spans="2:28" x14ac:dyDescent="0.25">
      <c r="B1083" s="2"/>
      <c r="C1083" s="2"/>
      <c r="D1083" s="2"/>
      <c r="E1083" s="2"/>
      <c r="F1083" s="2"/>
      <c r="G1083" s="2"/>
      <c r="H1083" s="2"/>
      <c r="I1083" s="2"/>
      <c r="J1083" s="2"/>
      <c r="K1083" s="2"/>
      <c r="L1083" s="2"/>
      <c r="M1083" s="2"/>
      <c r="N1083" s="2"/>
      <c r="O1083" s="2"/>
      <c r="P1083" s="2"/>
      <c r="Q1083" s="2"/>
      <c r="R1083" s="2"/>
      <c r="S1083" s="2"/>
      <c r="T1083" s="2"/>
      <c r="U1083" s="2"/>
      <c r="V1083" s="2"/>
      <c r="W1083" s="2"/>
      <c r="X1083" s="2"/>
      <c r="Y1083" s="2"/>
      <c r="Z1083" s="2"/>
      <c r="AA1083" s="2"/>
      <c r="AB1083" s="2"/>
    </row>
    <row r="1084" spans="2:28" x14ac:dyDescent="0.25">
      <c r="B1084" s="2"/>
      <c r="C1084" s="2"/>
      <c r="D1084" s="2"/>
      <c r="E1084" s="2"/>
      <c r="F1084" s="2"/>
      <c r="G1084" s="2"/>
      <c r="H1084" s="2"/>
      <c r="I1084" s="2"/>
      <c r="J1084" s="2"/>
      <c r="K1084" s="2"/>
      <c r="L1084" s="2"/>
      <c r="M1084" s="2"/>
      <c r="N1084" s="2"/>
      <c r="O1084" s="2"/>
      <c r="P1084" s="2"/>
      <c r="Q1084" s="2"/>
      <c r="R1084" s="2"/>
      <c r="S1084" s="2"/>
      <c r="T1084" s="2"/>
      <c r="U1084" s="2"/>
      <c r="V1084" s="2"/>
      <c r="W1084" s="2"/>
      <c r="X1084" s="2"/>
      <c r="Y1084" s="2"/>
      <c r="Z1084" s="2"/>
      <c r="AA1084" s="2"/>
      <c r="AB1084" s="2"/>
    </row>
    <row r="1085" spans="2:28" x14ac:dyDescent="0.25">
      <c r="B1085" s="2"/>
      <c r="C1085" s="2"/>
      <c r="D1085" s="2"/>
      <c r="E1085" s="2"/>
      <c r="F1085" s="2"/>
      <c r="G1085" s="2"/>
      <c r="H1085" s="2"/>
      <c r="I1085" s="2"/>
      <c r="J1085" s="2"/>
      <c r="K1085" s="2"/>
      <c r="L1085" s="2"/>
      <c r="M1085" s="2"/>
      <c r="N1085" s="2"/>
      <c r="O1085" s="2"/>
      <c r="P1085" s="2"/>
      <c r="Q1085" s="2"/>
      <c r="R1085" s="2"/>
      <c r="S1085" s="2"/>
      <c r="T1085" s="2"/>
      <c r="U1085" s="2"/>
      <c r="V1085" s="2"/>
      <c r="W1085" s="2"/>
      <c r="X1085" s="2"/>
      <c r="Y1085" s="2"/>
      <c r="Z1085" s="2"/>
      <c r="AA1085" s="2"/>
      <c r="AB1085" s="2"/>
    </row>
    <row r="1086" spans="2:28" x14ac:dyDescent="0.25">
      <c r="B1086" s="2"/>
      <c r="C1086" s="2"/>
      <c r="D1086" s="2"/>
      <c r="E1086" s="2"/>
      <c r="F1086" s="2"/>
      <c r="G1086" s="2"/>
      <c r="H1086" s="2"/>
      <c r="I1086" s="2"/>
      <c r="J1086" s="2"/>
      <c r="K1086" s="2"/>
      <c r="L1086" s="2"/>
      <c r="M1086" s="2"/>
      <c r="N1086" s="2"/>
      <c r="O1086" s="2"/>
      <c r="P1086" s="2"/>
      <c r="Q1086" s="2"/>
      <c r="R1086" s="2"/>
      <c r="S1086" s="2"/>
      <c r="T1086" s="2"/>
      <c r="U1086" s="2"/>
      <c r="V1086" s="2"/>
      <c r="W1086" s="2"/>
      <c r="X1086" s="2"/>
      <c r="Y1086" s="2"/>
      <c r="Z1086" s="2"/>
      <c r="AA1086" s="2"/>
      <c r="AB1086" s="2"/>
    </row>
    <row r="1087" spans="2:28" x14ac:dyDescent="0.25">
      <c r="B1087" s="2"/>
      <c r="C1087" s="2"/>
      <c r="D1087" s="2"/>
      <c r="E1087" s="2"/>
      <c r="F1087" s="2"/>
      <c r="G1087" s="2"/>
      <c r="H1087" s="2"/>
      <c r="I1087" s="2"/>
      <c r="J1087" s="2"/>
      <c r="K1087" s="2"/>
      <c r="L1087" s="2"/>
      <c r="M1087" s="2"/>
      <c r="N1087" s="2"/>
      <c r="O1087" s="2"/>
      <c r="P1087" s="2"/>
      <c r="Q1087" s="2"/>
      <c r="R1087" s="2"/>
      <c r="S1087" s="2"/>
      <c r="T1087" s="2"/>
      <c r="U1087" s="2"/>
      <c r="V1087" s="2"/>
      <c r="W1087" s="2"/>
      <c r="X1087" s="2"/>
      <c r="Y1087" s="2"/>
      <c r="Z1087" s="2"/>
      <c r="AA1087" s="2"/>
      <c r="AB1087" s="2"/>
    </row>
    <row r="1088" spans="2:28" x14ac:dyDescent="0.25">
      <c r="B1088" s="2"/>
      <c r="C1088" s="2"/>
      <c r="D1088" s="2"/>
      <c r="E1088" s="2"/>
      <c r="F1088" s="2"/>
      <c r="G1088" s="2"/>
      <c r="H1088" s="2"/>
      <c r="I1088" s="2"/>
      <c r="J1088" s="2"/>
      <c r="K1088" s="2"/>
      <c r="L1088" s="2"/>
      <c r="M1088" s="2"/>
      <c r="N1088" s="2"/>
      <c r="O1088" s="2"/>
      <c r="P1088" s="2"/>
      <c r="Q1088" s="2"/>
      <c r="R1088" s="2"/>
      <c r="S1088" s="2"/>
      <c r="T1088" s="2"/>
      <c r="U1088" s="2"/>
      <c r="V1088" s="2"/>
      <c r="W1088" s="2"/>
      <c r="X1088" s="2"/>
      <c r="Y1088" s="2"/>
      <c r="Z1088" s="2"/>
      <c r="AA1088" s="2"/>
      <c r="AB1088" s="2"/>
    </row>
    <row r="1089" spans="2:28" x14ac:dyDescent="0.25">
      <c r="B1089" s="2"/>
      <c r="C1089" s="2"/>
      <c r="D1089" s="2"/>
      <c r="E1089" s="2"/>
      <c r="F1089" s="2"/>
      <c r="G1089" s="2"/>
      <c r="H1089" s="2"/>
      <c r="I1089" s="2"/>
      <c r="J1089" s="2"/>
      <c r="K1089" s="2"/>
      <c r="L1089" s="2"/>
      <c r="M1089" s="2"/>
      <c r="N1089" s="2"/>
      <c r="O1089" s="2"/>
      <c r="P1089" s="2"/>
      <c r="Q1089" s="2"/>
      <c r="R1089" s="2"/>
      <c r="S1089" s="2"/>
      <c r="T1089" s="2"/>
      <c r="U1089" s="2"/>
      <c r="V1089" s="2"/>
      <c r="W1089" s="2"/>
      <c r="X1089" s="2"/>
      <c r="Y1089" s="2"/>
      <c r="Z1089" s="2"/>
      <c r="AA1089" s="2"/>
      <c r="AB1089" s="2"/>
    </row>
    <row r="1090" spans="2:28" x14ac:dyDescent="0.25">
      <c r="B1090" s="2"/>
      <c r="C1090" s="2"/>
      <c r="D1090" s="2"/>
      <c r="E1090" s="2"/>
      <c r="F1090" s="2"/>
      <c r="G1090" s="2"/>
      <c r="H1090" s="2"/>
      <c r="I1090" s="2"/>
      <c r="J1090" s="2"/>
      <c r="K1090" s="2"/>
      <c r="L1090" s="2"/>
      <c r="M1090" s="2"/>
      <c r="N1090" s="2"/>
      <c r="O1090" s="2"/>
      <c r="P1090" s="2"/>
      <c r="Q1090" s="2"/>
      <c r="R1090" s="2"/>
      <c r="S1090" s="2"/>
      <c r="T1090" s="2"/>
      <c r="U1090" s="2"/>
      <c r="V1090" s="2"/>
      <c r="W1090" s="2"/>
      <c r="X1090" s="2"/>
      <c r="Y1090" s="2"/>
      <c r="Z1090" s="2"/>
      <c r="AA1090" s="2"/>
      <c r="AB1090" s="2"/>
    </row>
    <row r="1091" spans="2:28" x14ac:dyDescent="0.25">
      <c r="B1091" s="2"/>
      <c r="C1091" s="2"/>
      <c r="D1091" s="2"/>
      <c r="E1091" s="2"/>
      <c r="F1091" s="2"/>
      <c r="G1091" s="2"/>
      <c r="H1091" s="2"/>
      <c r="I1091" s="2"/>
      <c r="J1091" s="2"/>
      <c r="K1091" s="2"/>
      <c r="L1091" s="2"/>
      <c r="M1091" s="2"/>
      <c r="N1091" s="2"/>
      <c r="O1091" s="2"/>
      <c r="P1091" s="2"/>
      <c r="Q1091" s="2"/>
      <c r="R1091" s="2"/>
      <c r="S1091" s="2"/>
      <c r="T1091" s="2"/>
      <c r="U1091" s="2"/>
      <c r="V1091" s="2"/>
      <c r="W1091" s="2"/>
      <c r="X1091" s="2"/>
      <c r="Y1091" s="2"/>
      <c r="Z1091" s="2"/>
      <c r="AA1091" s="2"/>
      <c r="AB1091" s="2"/>
    </row>
    <row r="1092" spans="2:28" x14ac:dyDescent="0.25">
      <c r="B1092" s="2"/>
      <c r="C1092" s="2"/>
      <c r="D1092" s="2"/>
      <c r="E1092" s="2"/>
      <c r="F1092" s="2"/>
      <c r="G1092" s="2"/>
      <c r="H1092" s="2"/>
      <c r="I1092" s="2"/>
      <c r="J1092" s="2"/>
      <c r="K1092" s="2"/>
      <c r="L1092" s="2"/>
      <c r="M1092" s="2"/>
      <c r="N1092" s="2"/>
      <c r="O1092" s="2"/>
      <c r="P1092" s="2"/>
      <c r="Q1092" s="2"/>
      <c r="R1092" s="2"/>
      <c r="S1092" s="2"/>
      <c r="T1092" s="2"/>
      <c r="U1092" s="2"/>
      <c r="V1092" s="2"/>
      <c r="W1092" s="2"/>
      <c r="X1092" s="2"/>
      <c r="Y1092" s="2"/>
      <c r="Z1092" s="2"/>
      <c r="AA1092" s="2"/>
      <c r="AB1092" s="2"/>
    </row>
    <row r="1093" spans="2:28" x14ac:dyDescent="0.25">
      <c r="B1093" s="2"/>
      <c r="C1093" s="2"/>
      <c r="D1093" s="2"/>
      <c r="E1093" s="2"/>
      <c r="F1093" s="2"/>
      <c r="G1093" s="2"/>
      <c r="H1093" s="2"/>
      <c r="I1093" s="2"/>
      <c r="J1093" s="2"/>
      <c r="K1093" s="2"/>
      <c r="L1093" s="2"/>
      <c r="M1093" s="2"/>
      <c r="N1093" s="2"/>
      <c r="O1093" s="2"/>
      <c r="P1093" s="2"/>
      <c r="Q1093" s="2"/>
      <c r="R1093" s="2"/>
      <c r="S1093" s="2"/>
      <c r="T1093" s="2"/>
      <c r="U1093" s="2"/>
      <c r="V1093" s="2"/>
      <c r="W1093" s="2"/>
      <c r="X1093" s="2"/>
      <c r="Y1093" s="2"/>
      <c r="Z1093" s="2"/>
      <c r="AA1093" s="2"/>
      <c r="AB1093" s="2"/>
    </row>
    <row r="1094" spans="2:28" x14ac:dyDescent="0.25">
      <c r="B1094" s="2"/>
      <c r="C1094" s="2"/>
      <c r="D1094" s="2"/>
      <c r="E1094" s="2"/>
      <c r="F1094" s="2"/>
      <c r="G1094" s="2"/>
      <c r="H1094" s="2"/>
      <c r="I1094" s="2"/>
      <c r="J1094" s="2"/>
      <c r="K1094" s="2"/>
      <c r="L1094" s="2"/>
      <c r="M1094" s="2"/>
      <c r="N1094" s="2"/>
      <c r="O1094" s="2"/>
      <c r="P1094" s="2"/>
      <c r="Q1094" s="2"/>
      <c r="R1094" s="2"/>
      <c r="S1094" s="2"/>
      <c r="T1094" s="2"/>
      <c r="U1094" s="2"/>
      <c r="V1094" s="2"/>
      <c r="W1094" s="2"/>
      <c r="X1094" s="2"/>
      <c r="Y1094" s="2"/>
      <c r="Z1094" s="2"/>
      <c r="AA1094" s="2"/>
      <c r="AB1094" s="2"/>
    </row>
    <row r="1095" spans="2:28" x14ac:dyDescent="0.25">
      <c r="B1095" s="2"/>
      <c r="C1095" s="2"/>
      <c r="D1095" s="2"/>
      <c r="E1095" s="2"/>
      <c r="F1095" s="2"/>
      <c r="G1095" s="2"/>
      <c r="H1095" s="2"/>
      <c r="I1095" s="2"/>
      <c r="J1095" s="2"/>
      <c r="K1095" s="2"/>
      <c r="L1095" s="2"/>
      <c r="M1095" s="2"/>
      <c r="N1095" s="2"/>
      <c r="O1095" s="2"/>
      <c r="P1095" s="2"/>
      <c r="Q1095" s="2"/>
      <c r="R1095" s="2"/>
      <c r="S1095" s="2"/>
      <c r="T1095" s="2"/>
      <c r="U1095" s="2"/>
      <c r="V1095" s="2"/>
      <c r="W1095" s="2"/>
      <c r="X1095" s="2"/>
      <c r="Y1095" s="2"/>
      <c r="Z1095" s="2"/>
      <c r="AA1095" s="2"/>
      <c r="AB1095" s="2"/>
    </row>
    <row r="1096" spans="2:28" x14ac:dyDescent="0.25">
      <c r="B1096" s="2"/>
      <c r="C1096" s="2"/>
      <c r="D1096" s="2"/>
      <c r="E1096" s="2"/>
      <c r="F1096" s="2"/>
      <c r="G1096" s="2"/>
      <c r="H1096" s="2"/>
      <c r="I1096" s="2"/>
      <c r="J1096" s="2"/>
      <c r="K1096" s="2"/>
      <c r="L1096" s="2"/>
      <c r="M1096" s="2"/>
      <c r="N1096" s="2"/>
      <c r="O1096" s="2"/>
      <c r="P1096" s="2"/>
      <c r="Q1096" s="2"/>
      <c r="R1096" s="2"/>
      <c r="S1096" s="2"/>
      <c r="T1096" s="2"/>
      <c r="U1096" s="2"/>
      <c r="V1096" s="2"/>
      <c r="W1096" s="2"/>
      <c r="X1096" s="2"/>
      <c r="Y1096" s="2"/>
      <c r="Z1096" s="2"/>
      <c r="AA1096" s="2"/>
      <c r="AB1096" s="2"/>
    </row>
    <row r="1097" spans="2:28" x14ac:dyDescent="0.25">
      <c r="B1097" s="2"/>
      <c r="C1097" s="2"/>
      <c r="D1097" s="2"/>
      <c r="E1097" s="2"/>
      <c r="F1097" s="2"/>
      <c r="G1097" s="2"/>
      <c r="H1097" s="2"/>
      <c r="I1097" s="2"/>
      <c r="J1097" s="2"/>
      <c r="K1097" s="2"/>
      <c r="L1097" s="2"/>
      <c r="M1097" s="2"/>
      <c r="N1097" s="2"/>
      <c r="O1097" s="2"/>
      <c r="P1097" s="2"/>
      <c r="Q1097" s="2"/>
      <c r="R1097" s="2"/>
      <c r="S1097" s="2"/>
      <c r="T1097" s="2"/>
      <c r="U1097" s="2"/>
      <c r="V1097" s="2"/>
      <c r="W1097" s="2"/>
      <c r="X1097" s="2"/>
      <c r="Y1097" s="2"/>
      <c r="Z1097" s="2"/>
      <c r="AA1097" s="2"/>
      <c r="AB1097" s="2"/>
    </row>
    <row r="1098" spans="2:28" x14ac:dyDescent="0.25">
      <c r="B1098" s="2"/>
      <c r="C1098" s="2"/>
      <c r="D1098" s="2"/>
      <c r="E1098" s="2"/>
      <c r="F1098" s="2"/>
      <c r="G1098" s="2"/>
      <c r="H1098" s="2"/>
      <c r="I1098" s="2"/>
      <c r="J1098" s="2"/>
      <c r="K1098" s="2"/>
      <c r="L1098" s="2"/>
      <c r="M1098" s="2"/>
      <c r="N1098" s="2"/>
      <c r="O1098" s="2"/>
      <c r="P1098" s="2"/>
      <c r="Q1098" s="2"/>
      <c r="R1098" s="2"/>
      <c r="S1098" s="2"/>
      <c r="T1098" s="2"/>
      <c r="U1098" s="2"/>
      <c r="V1098" s="2"/>
      <c r="W1098" s="2"/>
      <c r="X1098" s="2"/>
      <c r="Y1098" s="2"/>
      <c r="Z1098" s="2"/>
      <c r="AA1098" s="2"/>
      <c r="AB1098" s="2"/>
    </row>
    <row r="1099" spans="2:28" x14ac:dyDescent="0.25">
      <c r="B1099" s="2"/>
      <c r="C1099" s="2"/>
      <c r="D1099" s="2"/>
      <c r="E1099" s="2"/>
      <c r="F1099" s="2"/>
      <c r="G1099" s="2"/>
      <c r="H1099" s="2"/>
      <c r="I1099" s="2"/>
      <c r="J1099" s="2"/>
      <c r="K1099" s="2"/>
      <c r="L1099" s="2"/>
      <c r="M1099" s="2"/>
      <c r="N1099" s="2"/>
      <c r="O1099" s="2"/>
      <c r="P1099" s="2"/>
      <c r="Q1099" s="2"/>
      <c r="R1099" s="2"/>
      <c r="S1099" s="2"/>
      <c r="T1099" s="2"/>
      <c r="U1099" s="2"/>
      <c r="V1099" s="2"/>
      <c r="W1099" s="2"/>
      <c r="X1099" s="2"/>
      <c r="Y1099" s="2"/>
      <c r="Z1099" s="2"/>
      <c r="AA1099" s="2"/>
      <c r="AB1099" s="2"/>
    </row>
    <row r="1100" spans="2:28" x14ac:dyDescent="0.25">
      <c r="B1100" s="2"/>
      <c r="C1100" s="2"/>
      <c r="D1100" s="2"/>
      <c r="E1100" s="2"/>
      <c r="F1100" s="2"/>
      <c r="G1100" s="2"/>
      <c r="H1100" s="2"/>
      <c r="I1100" s="2"/>
      <c r="J1100" s="2"/>
      <c r="K1100" s="2"/>
      <c r="L1100" s="2"/>
      <c r="M1100" s="2"/>
      <c r="N1100" s="2"/>
      <c r="O1100" s="2"/>
      <c r="P1100" s="2"/>
      <c r="Q1100" s="2"/>
      <c r="R1100" s="2"/>
      <c r="S1100" s="2"/>
      <c r="T1100" s="2"/>
      <c r="U1100" s="2"/>
      <c r="V1100" s="2"/>
      <c r="W1100" s="2"/>
      <c r="X1100" s="2"/>
      <c r="Y1100" s="2"/>
      <c r="Z1100" s="2"/>
      <c r="AA1100" s="2"/>
      <c r="AB1100" s="2"/>
    </row>
    <row r="1101" spans="2:28" x14ac:dyDescent="0.25">
      <c r="B1101" s="2"/>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c r="AA1101" s="2"/>
      <c r="AB1101" s="2"/>
    </row>
    <row r="1102" spans="2:28" x14ac:dyDescent="0.25">
      <c r="B1102" s="2"/>
      <c r="C1102" s="2"/>
      <c r="D1102" s="2"/>
      <c r="E1102" s="2"/>
      <c r="F1102" s="2"/>
      <c r="G1102" s="2"/>
      <c r="H1102" s="2"/>
      <c r="I1102" s="2"/>
      <c r="J1102" s="2"/>
      <c r="K1102" s="2"/>
      <c r="L1102" s="2"/>
      <c r="M1102" s="2"/>
      <c r="N1102" s="2"/>
      <c r="O1102" s="2"/>
      <c r="P1102" s="2"/>
      <c r="Q1102" s="2"/>
      <c r="R1102" s="2"/>
      <c r="S1102" s="2"/>
      <c r="T1102" s="2"/>
      <c r="U1102" s="2"/>
      <c r="V1102" s="2"/>
      <c r="W1102" s="2"/>
      <c r="X1102" s="2"/>
      <c r="Y1102" s="2"/>
      <c r="Z1102" s="2"/>
      <c r="AA1102" s="2"/>
      <c r="AB1102" s="2"/>
    </row>
    <row r="1103" spans="2:28" x14ac:dyDescent="0.25">
      <c r="B1103" s="2"/>
      <c r="C1103" s="2"/>
      <c r="D1103" s="2"/>
      <c r="E1103" s="2"/>
      <c r="F1103" s="2"/>
      <c r="G1103" s="2"/>
      <c r="H1103" s="2"/>
      <c r="I1103" s="2"/>
      <c r="J1103" s="2"/>
      <c r="K1103" s="2"/>
      <c r="L1103" s="2"/>
      <c r="M1103" s="2"/>
      <c r="N1103" s="2"/>
      <c r="O1103" s="2"/>
      <c r="P1103" s="2"/>
      <c r="Q1103" s="2"/>
      <c r="R1103" s="2"/>
      <c r="S1103" s="2"/>
      <c r="T1103" s="2"/>
      <c r="U1103" s="2"/>
      <c r="V1103" s="2"/>
      <c r="W1103" s="2"/>
      <c r="X1103" s="2"/>
      <c r="Y1103" s="2"/>
      <c r="Z1103" s="2"/>
      <c r="AA1103" s="2"/>
      <c r="AB1103" s="2"/>
    </row>
    <row r="1104" spans="2:28" x14ac:dyDescent="0.25">
      <c r="B1104" s="2"/>
      <c r="C1104" s="2"/>
      <c r="D1104" s="2"/>
      <c r="E1104" s="2"/>
      <c r="F1104" s="2"/>
      <c r="G1104" s="2"/>
      <c r="H1104" s="2"/>
      <c r="I1104" s="2"/>
      <c r="J1104" s="2"/>
      <c r="K1104" s="2"/>
      <c r="L1104" s="2"/>
      <c r="M1104" s="2"/>
      <c r="N1104" s="2"/>
      <c r="O1104" s="2"/>
      <c r="P1104" s="2"/>
      <c r="Q1104" s="2"/>
      <c r="R1104" s="2"/>
      <c r="S1104" s="2"/>
      <c r="T1104" s="2"/>
      <c r="U1104" s="2"/>
      <c r="V1104" s="2"/>
      <c r="W1104" s="2"/>
      <c r="X1104" s="2"/>
      <c r="Y1104" s="2"/>
      <c r="Z1104" s="2"/>
      <c r="AA1104" s="2"/>
      <c r="AB1104" s="2"/>
    </row>
    <row r="1105" spans="2:28" x14ac:dyDescent="0.25">
      <c r="B1105" s="2"/>
      <c r="C1105" s="2"/>
      <c r="D1105" s="2"/>
      <c r="E1105" s="2"/>
      <c r="F1105" s="2"/>
      <c r="G1105" s="2"/>
      <c r="H1105" s="2"/>
      <c r="I1105" s="2"/>
      <c r="J1105" s="2"/>
      <c r="K1105" s="2"/>
      <c r="L1105" s="2"/>
      <c r="M1105" s="2"/>
      <c r="N1105" s="2"/>
      <c r="O1105" s="2"/>
      <c r="P1105" s="2"/>
      <c r="Q1105" s="2"/>
      <c r="R1105" s="2"/>
      <c r="S1105" s="2"/>
      <c r="T1105" s="2"/>
      <c r="U1105" s="2"/>
      <c r="V1105" s="2"/>
      <c r="W1105" s="2"/>
      <c r="X1105" s="2"/>
      <c r="Y1105" s="2"/>
      <c r="Z1105" s="2"/>
      <c r="AA1105" s="2"/>
      <c r="AB1105" s="2"/>
    </row>
    <row r="1106" spans="2:28" x14ac:dyDescent="0.25">
      <c r="B1106" s="2"/>
      <c r="C1106" s="2"/>
      <c r="D1106" s="2"/>
      <c r="E1106" s="2"/>
      <c r="F1106" s="2"/>
      <c r="G1106" s="2"/>
      <c r="H1106" s="2"/>
      <c r="I1106" s="2"/>
      <c r="J1106" s="2"/>
      <c r="K1106" s="2"/>
      <c r="L1106" s="2"/>
      <c r="M1106" s="2"/>
      <c r="N1106" s="2"/>
      <c r="O1106" s="2"/>
      <c r="P1106" s="2"/>
      <c r="Q1106" s="2"/>
      <c r="R1106" s="2"/>
      <c r="S1106" s="2"/>
      <c r="T1106" s="2"/>
      <c r="U1106" s="2"/>
      <c r="V1106" s="2"/>
      <c r="W1106" s="2"/>
      <c r="X1106" s="2"/>
      <c r="Y1106" s="2"/>
      <c r="Z1106" s="2"/>
      <c r="AA1106" s="2"/>
      <c r="AB1106" s="2"/>
    </row>
    <row r="1107" spans="2:28" x14ac:dyDescent="0.25">
      <c r="B1107" s="2"/>
      <c r="C1107" s="2"/>
      <c r="D1107" s="2"/>
      <c r="E1107" s="2"/>
      <c r="F1107" s="2"/>
      <c r="G1107" s="2"/>
      <c r="H1107" s="2"/>
      <c r="I1107" s="2"/>
      <c r="J1107" s="2"/>
      <c r="K1107" s="2"/>
      <c r="L1107" s="2"/>
      <c r="M1107" s="2"/>
      <c r="N1107" s="2"/>
      <c r="O1107" s="2"/>
      <c r="P1107" s="2"/>
      <c r="Q1107" s="2"/>
      <c r="R1107" s="2"/>
      <c r="S1107" s="2"/>
      <c r="T1107" s="2"/>
      <c r="U1107" s="2"/>
      <c r="V1107" s="2"/>
      <c r="W1107" s="2"/>
      <c r="X1107" s="2"/>
      <c r="Y1107" s="2"/>
      <c r="Z1107" s="2"/>
      <c r="AA1107" s="2"/>
      <c r="AB1107" s="2"/>
    </row>
  </sheetData>
  <pageMargins left="0.7" right="0.7" top="0.75" bottom="0.75" header="0.3" footer="0.3"/>
  <pageSetup scale="79" orientation="landscape"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J35"/>
  <sheetViews>
    <sheetView workbookViewId="0"/>
  </sheetViews>
  <sheetFormatPr defaultColWidth="9.140625" defaultRowHeight="15" customHeight="1" x14ac:dyDescent="0.25"/>
  <cols>
    <col min="1" max="1" width="7.28515625" style="2" customWidth="1"/>
    <col min="2" max="2" width="19.7109375" style="2" customWidth="1"/>
    <col min="3" max="8" width="9.140625" style="2"/>
    <col min="9" max="9" width="9.7109375" style="2" customWidth="1"/>
    <col min="10" max="16381" width="9.140625" style="2"/>
    <col min="16382" max="16384" width="9.140625" style="2" bestFit="1"/>
  </cols>
  <sheetData>
    <row r="1" spans="1:10" ht="15" customHeight="1" x14ac:dyDescent="0.25">
      <c r="A1" s="1" t="str">
        <f>Inputs!A1</f>
        <v>Pfizer</v>
      </c>
      <c r="B1" s="1"/>
      <c r="C1" s="1"/>
    </row>
    <row r="2" spans="1:10" ht="15" customHeight="1" x14ac:dyDescent="0.25">
      <c r="A2" s="3" t="s">
        <v>461</v>
      </c>
    </row>
    <row r="3" spans="1:10" ht="15" customHeight="1" thickBot="1" x14ac:dyDescent="0.3">
      <c r="A3" s="3"/>
    </row>
    <row r="4" spans="1:10" s="31" customFormat="1" ht="15" customHeight="1" x14ac:dyDescent="0.25">
      <c r="A4" s="99"/>
      <c r="B4" s="100"/>
      <c r="C4" s="100"/>
      <c r="D4" s="100" t="s">
        <v>26</v>
      </c>
      <c r="E4" s="100" t="s">
        <v>26</v>
      </c>
      <c r="F4" s="100"/>
      <c r="G4" s="100"/>
      <c r="H4" s="100"/>
      <c r="I4" s="100"/>
    </row>
    <row r="5" spans="1:10" ht="15" customHeight="1" thickBot="1" x14ac:dyDescent="0.3">
      <c r="A5" s="101" t="s">
        <v>462</v>
      </c>
      <c r="B5" s="102" t="s">
        <v>463</v>
      </c>
      <c r="C5" s="103" t="s">
        <v>464</v>
      </c>
      <c r="D5" s="103" t="s">
        <v>28</v>
      </c>
      <c r="E5" s="103" t="s">
        <v>29</v>
      </c>
      <c r="F5" s="103" t="s">
        <v>465</v>
      </c>
      <c r="G5" s="103" t="s">
        <v>466</v>
      </c>
      <c r="H5" s="106" t="s">
        <v>656</v>
      </c>
      <c r="I5" s="106" t="s">
        <v>660</v>
      </c>
    </row>
    <row r="6" spans="1:10" ht="15" customHeight="1" x14ac:dyDescent="0.25">
      <c r="A6" s="47" t="s">
        <v>636</v>
      </c>
      <c r="B6" s="2" t="s">
        <v>630</v>
      </c>
      <c r="C6" s="60">
        <v>145.6</v>
      </c>
      <c r="D6" s="60">
        <v>6.41</v>
      </c>
      <c r="E6" s="60">
        <v>8.2200000000000006</v>
      </c>
      <c r="F6" s="65">
        <f t="shared" ref="F6:F11" si="0">C6/D6</f>
        <v>22.714508580343214</v>
      </c>
      <c r="G6" s="65">
        <f t="shared" ref="G6:G11" si="1">C6/E6</f>
        <v>17.712895377128952</v>
      </c>
      <c r="H6" s="327">
        <v>5</v>
      </c>
      <c r="I6" s="328">
        <v>4.5</v>
      </c>
    </row>
    <row r="7" spans="1:10" ht="15" customHeight="1" x14ac:dyDescent="0.25">
      <c r="A7" s="47" t="s">
        <v>637</v>
      </c>
      <c r="B7" s="2" t="s">
        <v>631</v>
      </c>
      <c r="C7" s="60">
        <v>102.8</v>
      </c>
      <c r="D7" s="60">
        <v>2.0499999999999998</v>
      </c>
      <c r="E7" s="60">
        <v>7.82</v>
      </c>
      <c r="F7" s="65">
        <f t="shared" si="0"/>
        <v>50.146341463414636</v>
      </c>
      <c r="G7" s="65">
        <f t="shared" si="1"/>
        <v>13.145780051150894</v>
      </c>
      <c r="H7" s="329">
        <v>4.8</v>
      </c>
      <c r="I7" s="323">
        <v>4.4000000000000004</v>
      </c>
    </row>
    <row r="8" spans="1:10" ht="15" customHeight="1" x14ac:dyDescent="0.25">
      <c r="A8" s="47" t="s">
        <v>638</v>
      </c>
      <c r="B8" s="2" t="s">
        <v>632</v>
      </c>
      <c r="C8" s="60">
        <v>138.9</v>
      </c>
      <c r="D8" s="60">
        <v>5.72</v>
      </c>
      <c r="E8" s="60">
        <v>6.65</v>
      </c>
      <c r="F8" s="65">
        <f t="shared" si="0"/>
        <v>24.283216783216787</v>
      </c>
      <c r="G8" s="65">
        <f t="shared" si="1"/>
        <v>20.887218045112782</v>
      </c>
      <c r="H8" s="329">
        <v>4.9000000000000004</v>
      </c>
      <c r="I8" s="323">
        <v>4.67</v>
      </c>
    </row>
    <row r="9" spans="1:10" ht="15" customHeight="1" x14ac:dyDescent="0.25">
      <c r="A9" s="47" t="s">
        <v>639</v>
      </c>
      <c r="B9" s="2" t="s">
        <v>633</v>
      </c>
      <c r="C9" s="60">
        <v>261.60000000000002</v>
      </c>
      <c r="D9" s="60">
        <v>15.35</v>
      </c>
      <c r="E9" s="60">
        <v>15.22</v>
      </c>
      <c r="F9" s="65">
        <f t="shared" si="0"/>
        <v>17.042345276872965</v>
      </c>
      <c r="G9" s="65">
        <f t="shared" si="1"/>
        <v>17.187910643889619</v>
      </c>
      <c r="H9" s="329">
        <v>5.4</v>
      </c>
      <c r="I9" s="323">
        <v>5</v>
      </c>
    </row>
    <row r="10" spans="1:10" ht="15" customHeight="1" x14ac:dyDescent="0.25">
      <c r="A10" s="47" t="s">
        <v>640</v>
      </c>
      <c r="B10" s="2" t="s">
        <v>634</v>
      </c>
      <c r="C10" s="60">
        <v>51</v>
      </c>
      <c r="D10" s="60">
        <v>3.77</v>
      </c>
      <c r="E10" s="60">
        <v>5.58</v>
      </c>
      <c r="F10" s="65">
        <f t="shared" si="0"/>
        <v>13.527851458885941</v>
      </c>
      <c r="G10" s="65">
        <f t="shared" si="1"/>
        <v>9.1397849462365599</v>
      </c>
      <c r="H10" s="329">
        <v>3.3</v>
      </c>
      <c r="I10" s="323">
        <v>2.5</v>
      </c>
    </row>
    <row r="11" spans="1:10" ht="15" customHeight="1" x14ac:dyDescent="0.25">
      <c r="A11" s="47" t="s">
        <v>641</v>
      </c>
      <c r="B11" s="2" t="s">
        <v>635</v>
      </c>
      <c r="C11" s="60">
        <v>76.7</v>
      </c>
      <c r="D11" s="60">
        <v>4.5999999999999996</v>
      </c>
      <c r="E11" s="60">
        <v>5.39</v>
      </c>
      <c r="F11" s="65">
        <f t="shared" si="0"/>
        <v>16.673913043478262</v>
      </c>
      <c r="G11" s="65">
        <f t="shared" si="1"/>
        <v>14.230055658627089</v>
      </c>
      <c r="H11" s="329">
        <v>4</v>
      </c>
      <c r="I11" s="323">
        <v>3.7</v>
      </c>
    </row>
    <row r="12" spans="1:10" ht="15" customHeight="1" thickBot="1" x14ac:dyDescent="0.3">
      <c r="A12" s="58" t="s">
        <v>642</v>
      </c>
      <c r="B12" s="29" t="s">
        <v>643</v>
      </c>
      <c r="C12" s="61">
        <v>71.91</v>
      </c>
      <c r="D12" s="61">
        <v>-4.34</v>
      </c>
      <c r="E12" s="61">
        <v>-5.5</v>
      </c>
      <c r="F12" s="66">
        <v>0</v>
      </c>
      <c r="G12" s="66">
        <v>0</v>
      </c>
      <c r="H12" s="330">
        <v>3.9</v>
      </c>
      <c r="I12" s="324">
        <v>4.2</v>
      </c>
      <c r="J12" s="3"/>
    </row>
    <row r="13" spans="1:10" ht="15" customHeight="1" thickBot="1" x14ac:dyDescent="0.3">
      <c r="C13" s="32"/>
      <c r="E13" s="2" t="s">
        <v>50</v>
      </c>
      <c r="F13" s="331">
        <f>AVERAGE(F6:F11)</f>
        <v>24.064696101035299</v>
      </c>
      <c r="G13" s="332">
        <f>AVERAGE(G6:G11)</f>
        <v>15.383940787024317</v>
      </c>
      <c r="H13" s="326">
        <f>AVERAGE(H6:H12)</f>
        <v>4.4714285714285715</v>
      </c>
      <c r="I13" s="325">
        <f>AVERAGE(I6:I12)</f>
        <v>4.1385714285714288</v>
      </c>
    </row>
    <row r="14" spans="1:10" ht="15" customHeight="1" x14ac:dyDescent="0.25">
      <c r="C14" s="32"/>
      <c r="D14" s="67"/>
      <c r="E14" s="67"/>
    </row>
    <row r="15" spans="1:10" ht="15" customHeight="1" x14ac:dyDescent="0.25">
      <c r="A15" s="2" t="str">
        <f>Inputs!$B$4</f>
        <v>PFE</v>
      </c>
      <c r="B15" s="2" t="str">
        <f>Inputs!$A$1</f>
        <v>Pfizer</v>
      </c>
      <c r="C15" s="60">
        <f>Inputs!B5</f>
        <v>29.48</v>
      </c>
      <c r="D15" s="67">
        <f>IS_Sorted!M32</f>
        <v>1.4538475521344507</v>
      </c>
      <c r="E15" s="67">
        <f>IS_Sorted!N32</f>
        <v>2.2576910998141528</v>
      </c>
      <c r="F15" s="48">
        <f>C15/D15</f>
        <v>20.277229174901628</v>
      </c>
      <c r="G15" s="48">
        <f>C15/E15</f>
        <v>13.057587905815245</v>
      </c>
      <c r="H15" s="48">
        <v>2.9</v>
      </c>
      <c r="I15" s="38">
        <v>3</v>
      </c>
    </row>
    <row r="16" spans="1:10" s="6" customFormat="1" ht="15" customHeight="1" x14ac:dyDescent="0.25">
      <c r="A16" s="2"/>
      <c r="B16" s="2"/>
      <c r="D16" s="67"/>
      <c r="E16" s="67"/>
      <c r="F16" s="50"/>
      <c r="G16" s="50"/>
      <c r="H16" s="50"/>
    </row>
    <row r="17" spans="1:8" s="6" customFormat="1" ht="15" customHeight="1" x14ac:dyDescent="0.25">
      <c r="A17" s="4" t="s">
        <v>467</v>
      </c>
      <c r="D17" s="67"/>
      <c r="E17" s="67"/>
      <c r="F17" s="50"/>
      <c r="G17" s="50"/>
      <c r="H17" s="50"/>
    </row>
    <row r="18" spans="1:8" s="6" customFormat="1" ht="15" customHeight="1" x14ac:dyDescent="0.25">
      <c r="A18" s="4" t="s">
        <v>468</v>
      </c>
      <c r="D18" s="67">
        <f>F13*D15</f>
        <v>34.986399519349632</v>
      </c>
      <c r="E18" s="67"/>
      <c r="F18" s="50"/>
      <c r="G18" s="50"/>
      <c r="H18" s="50"/>
    </row>
    <row r="19" spans="1:8" s="6" customFormat="1" ht="15" customHeight="1" x14ac:dyDescent="0.25">
      <c r="A19" s="4" t="s">
        <v>469</v>
      </c>
      <c r="D19" s="67">
        <f>G13*E15</f>
        <v>34.732186194932737</v>
      </c>
      <c r="E19" s="67"/>
    </row>
    <row r="20" spans="1:8" s="6" customFormat="1" ht="15" customHeight="1" x14ac:dyDescent="0.25">
      <c r="A20" s="89" t="s">
        <v>719</v>
      </c>
      <c r="D20" s="67">
        <f>(IS_Sorted!M5/IS_Sorted!M34)*H13</f>
        <v>44.767471645667214</v>
      </c>
    </row>
    <row r="21" spans="1:8" s="6" customFormat="1" ht="15" customHeight="1" x14ac:dyDescent="0.25">
      <c r="A21" s="89" t="s">
        <v>720</v>
      </c>
      <c r="B21" s="2"/>
      <c r="C21" s="2"/>
      <c r="D21" s="540">
        <f>(IS_Sorted!N5/IS_Sorted!N34)*I13</f>
        <v>37.825535870485567</v>
      </c>
    </row>
    <row r="22" spans="1:8" s="6" customFormat="1" ht="15" customHeight="1" x14ac:dyDescent="0.25">
      <c r="A22" s="2"/>
      <c r="B22" s="2"/>
      <c r="C22" s="2"/>
      <c r="D22" s="2"/>
    </row>
    <row r="26" spans="1:8" ht="15" hidden="1" customHeight="1" x14ac:dyDescent="0.25">
      <c r="A26" s="147" t="s">
        <v>470</v>
      </c>
    </row>
    <row r="27" spans="1:8" ht="15" hidden="1" customHeight="1" x14ac:dyDescent="0.25">
      <c r="A27" s="2" t="s">
        <v>471</v>
      </c>
    </row>
    <row r="28" spans="1:8" ht="15" hidden="1" customHeight="1" x14ac:dyDescent="0.25">
      <c r="A28" s="2" t="s">
        <v>472</v>
      </c>
    </row>
    <row r="29" spans="1:8" ht="15" hidden="1" customHeight="1" x14ac:dyDescent="0.25">
      <c r="A29" s="2" t="s">
        <v>473</v>
      </c>
    </row>
    <row r="30" spans="1:8" ht="15" hidden="1" customHeight="1" x14ac:dyDescent="0.25">
      <c r="A30" s="2" t="s">
        <v>474</v>
      </c>
    </row>
    <row r="31" spans="1:8" ht="15" hidden="1" customHeight="1" x14ac:dyDescent="0.25">
      <c r="A31" s="2" t="s">
        <v>475</v>
      </c>
    </row>
    <row r="32" spans="1:8" ht="15" hidden="1" customHeight="1" x14ac:dyDescent="0.25">
      <c r="A32" s="2" t="s">
        <v>476</v>
      </c>
    </row>
    <row r="33" spans="1:1" ht="15" hidden="1" customHeight="1" x14ac:dyDescent="0.25">
      <c r="A33" s="2" t="s">
        <v>477</v>
      </c>
    </row>
    <row r="34" spans="1:1" ht="15" hidden="1" customHeight="1" x14ac:dyDescent="0.25">
      <c r="A34" s="2" t="s">
        <v>478</v>
      </c>
    </row>
    <row r="35" spans="1:1" ht="15" hidden="1" customHeight="1" x14ac:dyDescent="0.25">
      <c r="A35" s="2" t="s">
        <v>479</v>
      </c>
    </row>
  </sheetData>
  <phoneticPr fontId="0" type="noConversion"/>
  <pageMargins left="0.75" right="0.75" top="1" bottom="1" header="0.5" footer="0.5"/>
  <pageSetup orientation="landscape"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L48"/>
  <sheetViews>
    <sheetView workbookViewId="0"/>
  </sheetViews>
  <sheetFormatPr defaultColWidth="9.140625" defaultRowHeight="15" x14ac:dyDescent="0.25"/>
  <cols>
    <col min="1" max="1" width="27.28515625" style="2" customWidth="1"/>
    <col min="2" max="2" width="10.85546875" style="2" bestFit="1" customWidth="1"/>
    <col min="3" max="9" width="9.28515625" style="2" bestFit="1" customWidth="1"/>
    <col min="10" max="11" width="9.28515625" style="2" customWidth="1"/>
    <col min="12" max="16384" width="9.140625" style="2"/>
  </cols>
  <sheetData>
    <row r="1" spans="1:11" x14ac:dyDescent="0.25">
      <c r="A1" s="1" t="str">
        <f>Inputs!A1</f>
        <v>Pfizer</v>
      </c>
      <c r="B1" s="1"/>
      <c r="C1" s="1"/>
      <c r="D1" s="1"/>
      <c r="E1" s="1"/>
      <c r="F1" s="1"/>
      <c r="G1" s="1"/>
      <c r="H1" s="1"/>
      <c r="I1" s="1"/>
      <c r="J1" s="1"/>
      <c r="K1" s="1"/>
    </row>
    <row r="2" spans="1:11" x14ac:dyDescent="0.25">
      <c r="A2" s="3" t="s">
        <v>448</v>
      </c>
    </row>
    <row r="3" spans="1:11" x14ac:dyDescent="0.25">
      <c r="A3" s="5"/>
    </row>
    <row r="5" spans="1:11" s="75" customFormat="1" ht="15.75" thickBot="1" x14ac:dyDescent="0.3">
      <c r="A5" s="80" t="str">
        <f>CONCATENATE("Fiscal Years Ending ",Inputs!B7)</f>
        <v>Fiscal Years Ending Dec. 31</v>
      </c>
      <c r="B5" s="81" t="s">
        <v>28</v>
      </c>
      <c r="C5" s="81" t="s">
        <v>29</v>
      </c>
      <c r="D5" s="81" t="s">
        <v>30</v>
      </c>
      <c r="E5" s="81" t="s">
        <v>31</v>
      </c>
      <c r="F5" s="81" t="s">
        <v>32</v>
      </c>
      <c r="G5" s="81" t="s">
        <v>33</v>
      </c>
      <c r="H5" s="81" t="s">
        <v>34</v>
      </c>
      <c r="I5" s="81" t="s">
        <v>35</v>
      </c>
      <c r="J5" s="81"/>
      <c r="K5" s="81"/>
    </row>
    <row r="7" spans="1:11" x14ac:dyDescent="0.25">
      <c r="A7" s="2" t="s">
        <v>26</v>
      </c>
      <c r="B7" s="82">
        <f>IS_Sorted!M32</f>
        <v>1.4538475521344507</v>
      </c>
      <c r="C7" s="82">
        <f>IS_Sorted!N32</f>
        <v>2.2576910998141528</v>
      </c>
      <c r="D7" s="82">
        <f>IS_Sorted!O32</f>
        <v>2.096437786769906</v>
      </c>
      <c r="E7" s="82">
        <f>IS_Sorted!P32</f>
        <v>2.0244150144972615</v>
      </c>
      <c r="F7" s="82">
        <f>IS_Sorted!Q32</f>
        <v>2.0264395423869614</v>
      </c>
      <c r="G7" s="82">
        <f>IS_Sorted!R32</f>
        <v>2.0266428784886203</v>
      </c>
      <c r="H7" s="82">
        <f>IS_Sorted!S32</f>
        <v>1.9898533012312722</v>
      </c>
      <c r="I7" s="82">
        <f>IS_Sorted!T32</f>
        <v>2.0592031838932119</v>
      </c>
      <c r="J7" s="41"/>
      <c r="K7" s="41"/>
    </row>
    <row r="9" spans="1:11" x14ac:dyDescent="0.25">
      <c r="A9" s="42" t="s">
        <v>449</v>
      </c>
    </row>
    <row r="10" spans="1:11" x14ac:dyDescent="0.25">
      <c r="A10" s="2" t="s">
        <v>450</v>
      </c>
      <c r="B10" s="83">
        <f>Inputs!B15</f>
        <v>2.5000000000000001E-2</v>
      </c>
    </row>
    <row r="11" spans="1:11" x14ac:dyDescent="0.25">
      <c r="A11" s="2" t="s">
        <v>451</v>
      </c>
      <c r="B11" s="83">
        <f>Ratios!T25</f>
        <v>0.11005152495562695</v>
      </c>
    </row>
    <row r="12" spans="1:11" x14ac:dyDescent="0.25">
      <c r="A12" s="2" t="s">
        <v>452</v>
      </c>
      <c r="B12" s="84">
        <f>Inputs!B19</f>
        <v>7.5855000000000006E-2</v>
      </c>
    </row>
    <row r="14" spans="1:11" x14ac:dyDescent="0.25">
      <c r="A14" s="42" t="s">
        <v>453</v>
      </c>
    </row>
    <row r="15" spans="1:11" x14ac:dyDescent="0.25">
      <c r="A15" s="2" t="s">
        <v>454</v>
      </c>
      <c r="I15" s="273">
        <f>(1-($B$10/$B$11))/($B$12-$B$10)</f>
        <v>15.196808168426914</v>
      </c>
      <c r="J15" s="34"/>
    </row>
    <row r="16" spans="1:11" x14ac:dyDescent="0.25">
      <c r="A16" s="2" t="s">
        <v>455</v>
      </c>
      <c r="I16" s="137">
        <f>I7</f>
        <v>2.0592031838932119</v>
      </c>
    </row>
    <row r="17" spans="1:12" x14ac:dyDescent="0.25">
      <c r="A17" s="2" t="s">
        <v>456</v>
      </c>
      <c r="I17" s="82">
        <f>I15*I16</f>
        <v>31.293315765439072</v>
      </c>
      <c r="J17" s="41"/>
    </row>
    <row r="18" spans="1:12" x14ac:dyDescent="0.25">
      <c r="A18" s="2" t="s">
        <v>457</v>
      </c>
      <c r="B18" s="272">
        <f>IS_Sorted!M35</f>
        <v>1.64</v>
      </c>
      <c r="C18" s="272">
        <f>IS_Sorted!N35</f>
        <v>1.6727999999999998</v>
      </c>
      <c r="D18" s="272">
        <f>IS_Sorted!O35</f>
        <v>1.7062559999999998</v>
      </c>
      <c r="E18" s="272">
        <f>IS_Sorted!P35</f>
        <v>1.7403811199999999</v>
      </c>
      <c r="F18" s="272">
        <f>IS_Sorted!Q35</f>
        <v>1.7751887423999999</v>
      </c>
      <c r="G18" s="272">
        <f>IS_Sorted!R35</f>
        <v>1.810692517248</v>
      </c>
      <c r="H18" s="272">
        <f>IS_Sorted!S35</f>
        <v>1.84690636759296</v>
      </c>
      <c r="I18" s="275"/>
      <c r="J18" s="14"/>
      <c r="L18" s="44"/>
    </row>
    <row r="19" spans="1:12" x14ac:dyDescent="0.25">
      <c r="A19" s="2" t="s">
        <v>458</v>
      </c>
      <c r="B19" s="273">
        <f>B18/(1+$B$12)^B39</f>
        <v>1.5243689902449677</v>
      </c>
      <c r="C19" s="273">
        <f t="shared" ref="C19:H19" si="0">C18/(1+$B$12)^C39</f>
        <v>1.4452285577980928</v>
      </c>
      <c r="D19" s="273">
        <f t="shared" si="0"/>
        <v>1.3701968471160655</v>
      </c>
      <c r="E19" s="273">
        <f t="shared" si="0"/>
        <v>1.2990605463174747</v>
      </c>
      <c r="F19" s="273">
        <f t="shared" si="0"/>
        <v>1.2316174180013331</v>
      </c>
      <c r="G19" s="273">
        <f t="shared" si="0"/>
        <v>1.1676757242949651</v>
      </c>
      <c r="H19" s="273">
        <f t="shared" si="0"/>
        <v>1.1070536817515972</v>
      </c>
      <c r="I19" s="273">
        <f>I17/(1+$B$12)^H39</f>
        <v>18.757518540311668</v>
      </c>
      <c r="J19" s="274"/>
    </row>
    <row r="21" spans="1:12" ht="15.75" thickBot="1" x14ac:dyDescent="0.3">
      <c r="A21" s="2" t="s">
        <v>459</v>
      </c>
      <c r="B21" s="82">
        <f>SUM(B19:K19)</f>
        <v>27.902720305836166</v>
      </c>
    </row>
    <row r="22" spans="1:12" ht="15.75" thickBot="1" x14ac:dyDescent="0.3">
      <c r="A22" s="1" t="str">
        <f>CONCATENATE("Implied Price as of Today")</f>
        <v>Implied Price as of Today</v>
      </c>
      <c r="B22" s="87">
        <f>B21*(1+B12-B47)^B46</f>
        <v>28.388238229660452</v>
      </c>
    </row>
    <row r="24" spans="1:12" x14ac:dyDescent="0.25">
      <c r="B24" s="34"/>
    </row>
    <row r="25" spans="1:12" x14ac:dyDescent="0.25">
      <c r="B25" s="34"/>
    </row>
    <row r="26" spans="1:12" s="1" customFormat="1" x14ac:dyDescent="0.25">
      <c r="B26" s="46"/>
    </row>
    <row r="27" spans="1:12" s="1" customFormat="1" x14ac:dyDescent="0.25">
      <c r="B27" s="46"/>
    </row>
    <row r="28" spans="1:12" s="1" customFormat="1" x14ac:dyDescent="0.25">
      <c r="B28" s="46"/>
    </row>
    <row r="29" spans="1:12" s="1" customFormat="1" x14ac:dyDescent="0.25">
      <c r="B29" s="46"/>
    </row>
    <row r="30" spans="1:12" s="1" customFormat="1" x14ac:dyDescent="0.25">
      <c r="B30" s="46"/>
    </row>
    <row r="31" spans="1:12" s="1" customFormat="1" x14ac:dyDescent="0.25">
      <c r="B31" s="46"/>
    </row>
    <row r="32" spans="1:12" s="1" customFormat="1" x14ac:dyDescent="0.25">
      <c r="B32" s="46"/>
    </row>
    <row r="33" spans="1:11" s="1" customFormat="1" x14ac:dyDescent="0.25">
      <c r="B33" s="46"/>
    </row>
    <row r="34" spans="1:11" s="1" customFormat="1" x14ac:dyDescent="0.25">
      <c r="B34" s="46"/>
    </row>
    <row r="35" spans="1:11" s="1" customFormat="1" x14ac:dyDescent="0.25">
      <c r="B35" s="46"/>
    </row>
    <row r="36" spans="1:11" s="1" customFormat="1" x14ac:dyDescent="0.25">
      <c r="B36" s="46"/>
    </row>
    <row r="37" spans="1:11" hidden="1" x14ac:dyDescent="0.25">
      <c r="A37" s="59" t="s">
        <v>460</v>
      </c>
      <c r="B37" s="86"/>
      <c r="C37" s="86"/>
    </row>
    <row r="38" spans="1:11" hidden="1" x14ac:dyDescent="0.25"/>
    <row r="39" spans="1:11" hidden="1" x14ac:dyDescent="0.25">
      <c r="A39" s="2" t="s">
        <v>440</v>
      </c>
      <c r="B39" s="2">
        <v>1</v>
      </c>
      <c r="C39" s="2">
        <v>2</v>
      </c>
      <c r="D39" s="2">
        <v>3</v>
      </c>
      <c r="E39" s="2">
        <v>4</v>
      </c>
      <c r="F39" s="2">
        <v>5</v>
      </c>
      <c r="G39" s="2">
        <v>6</v>
      </c>
      <c r="H39" s="2">
        <v>7</v>
      </c>
      <c r="I39" s="2">
        <v>8</v>
      </c>
      <c r="J39" s="2">
        <v>9</v>
      </c>
      <c r="K39" s="2">
        <v>9</v>
      </c>
    </row>
    <row r="40" spans="1:11" hidden="1" x14ac:dyDescent="0.25"/>
    <row r="41" spans="1:11" hidden="1" x14ac:dyDescent="0.25">
      <c r="A41" s="2" t="s">
        <v>441</v>
      </c>
      <c r="B41" s="24">
        <f>Inputs!B6</f>
        <v>45240</v>
      </c>
    </row>
    <row r="42" spans="1:11" hidden="1" x14ac:dyDescent="0.25">
      <c r="A42" s="2" t="s">
        <v>442</v>
      </c>
      <c r="B42" s="24">
        <f>Inputs!B9</f>
        <v>45291</v>
      </c>
    </row>
    <row r="43" spans="1:11" hidden="1" x14ac:dyDescent="0.25">
      <c r="A43" s="2" t="s">
        <v>443</v>
      </c>
      <c r="B43" s="24">
        <f>Inputs!B8</f>
        <v>44926</v>
      </c>
    </row>
    <row r="44" spans="1:11" hidden="1" x14ac:dyDescent="0.25">
      <c r="A44" s="2" t="s">
        <v>444</v>
      </c>
      <c r="B44" s="25">
        <f>B42-B43</f>
        <v>365</v>
      </c>
    </row>
    <row r="45" spans="1:11" hidden="1" x14ac:dyDescent="0.25">
      <c r="A45" s="2" t="s">
        <v>445</v>
      </c>
      <c r="B45" s="25">
        <f>B41-B43</f>
        <v>314</v>
      </c>
    </row>
    <row r="46" spans="1:11" hidden="1" x14ac:dyDescent="0.25">
      <c r="A46" s="2" t="s">
        <v>446</v>
      </c>
      <c r="B46" s="26">
        <f>B45/B44</f>
        <v>0.86027397260273974</v>
      </c>
    </row>
    <row r="47" spans="1:11" hidden="1" x14ac:dyDescent="0.25">
      <c r="A47" s="2" t="s">
        <v>447</v>
      </c>
      <c r="B47" s="43">
        <f>Inputs!B16</f>
        <v>5.5599999999999997E-2</v>
      </c>
    </row>
    <row r="48" spans="1:11" hidden="1" x14ac:dyDescent="0.25"/>
  </sheetData>
  <phoneticPr fontId="0" type="noConversion"/>
  <pageMargins left="0.75" right="0.75" top="1" bottom="1" header="0.5" footer="0.5"/>
  <pageSetup orientation="landscape" r:id="rId1"/>
  <headerFooter alignWithMargins="0"/>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B0F0"/>
    <pageSetUpPr fitToPage="1"/>
  </sheetPr>
  <dimension ref="A1:V43"/>
  <sheetViews>
    <sheetView workbookViewId="0"/>
  </sheetViews>
  <sheetFormatPr defaultColWidth="9.140625" defaultRowHeight="15" x14ac:dyDescent="0.25"/>
  <cols>
    <col min="1" max="1" width="56.28515625" style="2" bestFit="1" customWidth="1"/>
    <col min="2" max="5" width="0" style="2" hidden="1" customWidth="1"/>
    <col min="6" max="20" width="9.28515625" style="2" bestFit="1" customWidth="1"/>
    <col min="21" max="16384" width="9.140625" style="2"/>
  </cols>
  <sheetData>
    <row r="1" spans="1:20" x14ac:dyDescent="0.25">
      <c r="A1" s="1" t="str">
        <f>Inputs!A1</f>
        <v>Pfizer</v>
      </c>
      <c r="B1" s="1"/>
      <c r="C1" s="1"/>
      <c r="D1" s="1"/>
      <c r="E1" s="1"/>
      <c r="F1" s="1"/>
      <c r="G1" s="1"/>
      <c r="H1" s="1"/>
      <c r="I1" s="1"/>
      <c r="J1" s="1"/>
      <c r="K1" s="1"/>
    </row>
    <row r="2" spans="1:20" x14ac:dyDescent="0.25">
      <c r="A2" s="3" t="s">
        <v>480</v>
      </c>
    </row>
    <row r="4" spans="1:20" s="81" customFormat="1" ht="15.75" thickBot="1" x14ac:dyDescent="0.3">
      <c r="A4" s="80" t="str">
        <f>CONCATENATE("Fiscal Years Ending ",Inputs!B7)</f>
        <v>Fiscal Years Ending Dec. 31</v>
      </c>
      <c r="B4" s="81">
        <v>2012</v>
      </c>
      <c r="C4" s="81">
        <v>2013</v>
      </c>
      <c r="D4" s="81">
        <v>2014</v>
      </c>
      <c r="E4" s="81">
        <v>2015</v>
      </c>
      <c r="F4" s="81">
        <v>2016</v>
      </c>
      <c r="G4" s="81">
        <v>2017</v>
      </c>
      <c r="H4" s="81">
        <v>2018</v>
      </c>
      <c r="I4" s="81">
        <v>2019</v>
      </c>
      <c r="J4" s="81">
        <v>2020</v>
      </c>
      <c r="K4" s="81">
        <v>2021</v>
      </c>
      <c r="L4" s="81">
        <v>2022</v>
      </c>
      <c r="M4" s="81" t="s">
        <v>28</v>
      </c>
      <c r="N4" s="81" t="s">
        <v>29</v>
      </c>
      <c r="O4" s="81" t="s">
        <v>30</v>
      </c>
      <c r="P4" s="81" t="s">
        <v>31</v>
      </c>
      <c r="Q4" s="81" t="s">
        <v>32</v>
      </c>
      <c r="R4" s="81" t="s">
        <v>33</v>
      </c>
      <c r="S4" s="81" t="s">
        <v>34</v>
      </c>
      <c r="T4" s="81" t="s">
        <v>35</v>
      </c>
    </row>
    <row r="6" spans="1:20" x14ac:dyDescent="0.25">
      <c r="A6" s="42" t="s">
        <v>481</v>
      </c>
      <c r="B6" s="41"/>
      <c r="C6" s="41"/>
      <c r="D6" s="41"/>
      <c r="E6" s="41"/>
      <c r="F6" s="41"/>
      <c r="G6" s="41"/>
      <c r="H6" s="41"/>
      <c r="I6" s="41"/>
      <c r="J6" s="41"/>
    </row>
    <row r="7" spans="1:20" x14ac:dyDescent="0.25">
      <c r="A7" s="2" t="s">
        <v>574</v>
      </c>
      <c r="B7" s="34"/>
      <c r="C7" s="34"/>
      <c r="D7" s="34"/>
      <c r="E7" s="34"/>
      <c r="F7" s="134">
        <f>(BS_Sorted!F6+BS_Sorted!F9)/BS_Sorted!F37</f>
        <v>0.3673147999357223</v>
      </c>
      <c r="G7" s="134">
        <f>(BS_Sorted!G6+BS_Sorted!G9)/BS_Sorted!G37</f>
        <v>0.33349766646946688</v>
      </c>
      <c r="H7" s="134">
        <f>(BS_Sorted!H6+BS_Sorted!H9)/BS_Sorted!H37</f>
        <v>0.30464262171579243</v>
      </c>
      <c r="I7" s="134">
        <f>(BS_Sorted!I6+BS_Sorted!I9)/BS_Sorted!I37</f>
        <v>0.28298750737225886</v>
      </c>
      <c r="J7" s="134">
        <f>(BS_Sorted!J6+BS_Sorted!J9)/BS_Sorted!J37</f>
        <v>0.39435206975039544</v>
      </c>
      <c r="K7" s="134">
        <f>(BS_Sorted!K6+BS_Sorted!K9)/BS_Sorted!K37</f>
        <v>0.32609205099362581</v>
      </c>
      <c r="L7" s="134">
        <f>(BS_Sorted!L6+BS_Sorted!L9)/BS_Sorted!L37</f>
        <v>0.28042905621870479</v>
      </c>
      <c r="M7" s="34">
        <f>(BS_Sorted!M6+BS_Sorted!M9)/BS_Sorted!M37</f>
        <v>0.49619572853834165</v>
      </c>
      <c r="N7" s="34">
        <f>(BS_Sorted!N6+BS_Sorted!N9)/BS_Sorted!N37</f>
        <v>0.40359831782263622</v>
      </c>
      <c r="O7" s="34">
        <f>(BS_Sorted!O6+BS_Sorted!O9)/BS_Sorted!O37</f>
        <v>0.43466858835869565</v>
      </c>
      <c r="P7" s="34">
        <f>(BS_Sorted!P6+BS_Sorted!P9)/BS_Sorted!P37</f>
        <v>0.4971385861837686</v>
      </c>
      <c r="Q7" s="34">
        <f>(BS_Sorted!Q6+BS_Sorted!Q9)/BS_Sorted!Q37</f>
        <v>0.55781744049934756</v>
      </c>
      <c r="R7" s="34">
        <f>(BS_Sorted!R6+BS_Sorted!R9)/BS_Sorted!R37</f>
        <v>0.54668520878184446</v>
      </c>
      <c r="S7" s="34">
        <f>(BS_Sorted!S6+BS_Sorted!S9)/BS_Sorted!S37</f>
        <v>0.46859452197462309</v>
      </c>
      <c r="T7" s="34">
        <f>(BS_Sorted!T6+BS_Sorted!T9)/BS_Sorted!T37</f>
        <v>0.36856671524712931</v>
      </c>
    </row>
    <row r="8" spans="1:20" x14ac:dyDescent="0.25">
      <c r="A8" s="88" t="s">
        <v>573</v>
      </c>
      <c r="B8" s="34"/>
      <c r="C8" s="34"/>
      <c r="D8" s="34"/>
      <c r="E8" s="34"/>
      <c r="F8" s="134">
        <f>BS_Sorted!F16/BS_Sorted!F37</f>
        <v>1.2517756708982806</v>
      </c>
      <c r="G8" s="134">
        <f>BS_Sorted!G16/BS_Sorted!G37</f>
        <v>1.3521987773614672</v>
      </c>
      <c r="H8" s="134">
        <f>BS_Sorted!H16/BS_Sorted!H37</f>
        <v>1.567190884264055</v>
      </c>
      <c r="I8" s="134">
        <f>BS_Sorted!I16/BS_Sorted!I37</f>
        <v>0.87936303683448613</v>
      </c>
      <c r="J8" s="134">
        <f>BS_Sorted!J16/BS_Sorted!J37</f>
        <v>1.3528027468076078</v>
      </c>
      <c r="K8" s="134">
        <f>BS_Sorted!K16/BS_Sorted!K37</f>
        <v>1.3988798275215597</v>
      </c>
      <c r="L8" s="134">
        <f>BS_Sorted!L16/BS_Sorted!L37</f>
        <v>1.2164265881962077</v>
      </c>
      <c r="M8" s="34">
        <f>BS_Sorted!M16/BS_Sorted!M37</f>
        <v>2.4117129420823833</v>
      </c>
      <c r="N8" s="34">
        <f>BS_Sorted!N16/BS_Sorted!N37</f>
        <v>2.6249757788869608</v>
      </c>
      <c r="O8" s="34">
        <f>BS_Sorted!O16/BS_Sorted!O37</f>
        <v>2.8502095000106435</v>
      </c>
      <c r="P8" s="34">
        <f>BS_Sorted!P16/BS_Sorted!P37</f>
        <v>3.0474735242842717</v>
      </c>
      <c r="Q8" s="34">
        <f>BS_Sorted!Q16/BS_Sorted!Q37</f>
        <v>3.2156896413856191</v>
      </c>
      <c r="R8" s="34">
        <f>BS_Sorted!R16/BS_Sorted!R37</f>
        <v>3.3832146700577086</v>
      </c>
      <c r="S8" s="34">
        <f>BS_Sorted!S16/BS_Sorted!S37</f>
        <v>3.4838882610407866</v>
      </c>
      <c r="T8" s="34">
        <f>BS_Sorted!T16/BS_Sorted!T37</f>
        <v>3.4891020670162294</v>
      </c>
    </row>
    <row r="9" spans="1:20" x14ac:dyDescent="0.25">
      <c r="A9" s="88" t="s">
        <v>575</v>
      </c>
      <c r="B9" s="34"/>
      <c r="C9" s="34"/>
      <c r="D9" s="34"/>
      <c r="E9" s="34"/>
      <c r="F9" s="134">
        <f>BS_Sorted!F6/BS_Sorted!F37</f>
        <v>8.3400289249558085E-2</v>
      </c>
      <c r="G9" s="134">
        <f>BS_Sorted!G6/BS_Sorted!G37</f>
        <v>4.4107013738250184E-2</v>
      </c>
      <c r="H9" s="134">
        <f>BS_Sorted!H6/BS_Sorted!H37</f>
        <v>3.5753523558401605E-2</v>
      </c>
      <c r="I9" s="134">
        <f>BS_Sorted!I6/BS_Sorted!I37</f>
        <v>3.4984719317999034E-2</v>
      </c>
      <c r="J9" s="134">
        <f>BS_Sorted!J6/BS_Sorted!J37</f>
        <v>6.8824505227421784E-2</v>
      </c>
      <c r="K9" s="134">
        <f>BS_Sorted!K6/BS_Sorted!K37</f>
        <v>4.5556805399325086E-2</v>
      </c>
      <c r="L9" s="134">
        <f>BS_Sorted!L6/BS_Sorted!L37</f>
        <v>9.8720899878971969E-3</v>
      </c>
      <c r="M9" s="34">
        <f>BS_Sorted!M6/BS_Sorted!M37</f>
        <v>0.2240394221781925</v>
      </c>
      <c r="N9" s="34">
        <f>BS_Sorted!N6/BS_Sorted!N37</f>
        <v>0.13721218677535596</v>
      </c>
      <c r="O9" s="34">
        <f>BS_Sorted!O6/BS_Sorted!O37</f>
        <v>0.17026915907862661</v>
      </c>
      <c r="P9" s="34">
        <f>BS_Sorted!P6/BS_Sorted!P37</f>
        <v>0.23379176803236995</v>
      </c>
      <c r="Q9" s="34">
        <f>BS_Sorted!Q6/BS_Sorted!Q37</f>
        <v>0.29517489987294915</v>
      </c>
      <c r="R9" s="34">
        <f>BS_Sorted!R6/BS_Sorted!R37</f>
        <v>0.28572246292639703</v>
      </c>
      <c r="S9" s="34">
        <f>BS_Sorted!S6/BS_Sorted!S37</f>
        <v>0.2091016702231687</v>
      </c>
      <c r="T9" s="34">
        <f>BS_Sorted!T6/BS_Sorted!T37</f>
        <v>0.10967410414321449</v>
      </c>
    </row>
    <row r="10" spans="1:20" x14ac:dyDescent="0.25">
      <c r="A10" s="88" t="s">
        <v>576</v>
      </c>
      <c r="B10" s="34"/>
      <c r="C10" s="34"/>
      <c r="D10" s="34"/>
      <c r="E10" s="34"/>
      <c r="F10" s="134">
        <f>CF_H!F26/BS_Sorted!F37</f>
        <v>0.51103969146713801</v>
      </c>
      <c r="G10" s="134">
        <f>CF_H!G26/BS_Sorted!G37</f>
        <v>0.54131335042397954</v>
      </c>
      <c r="H10" s="134">
        <f>CF_H!H26/BS_Sorted!H37</f>
        <v>0.4968138870577895</v>
      </c>
      <c r="I10" s="134">
        <f>CF_H!I26/BS_Sorted!I37</f>
        <v>0.33746179829499756</v>
      </c>
      <c r="J10" s="134">
        <f>CF_H!J26/BS_Sorted!J37</f>
        <v>0.55564985918753129</v>
      </c>
      <c r="K10" s="134">
        <f>CF_H!K26/BS_Sorted!K37</f>
        <v>0.76349831271091118</v>
      </c>
      <c r="L10" s="134">
        <f>CF_H!L26/BS_Sorted!L37</f>
        <v>0.69453475402833476</v>
      </c>
      <c r="M10" s="34">
        <f>CF_F!B22/BS_Sorted!M37</f>
        <v>-7.1800239726877157E-2</v>
      </c>
      <c r="N10" s="34">
        <f>CF_F!C22/BS_Sorted!N37</f>
        <v>0.32416104512922539</v>
      </c>
      <c r="O10" s="34">
        <f>CF_F!D22/BS_Sorted!O37</f>
        <v>0.53448364816337401</v>
      </c>
      <c r="P10" s="34">
        <f>CF_F!E22/BS_Sorted!P37</f>
        <v>0.57778644568076443</v>
      </c>
      <c r="Q10" s="34">
        <f>CF_F!F22/BS_Sorted!Q37</f>
        <v>0.58115345329248325</v>
      </c>
      <c r="R10" s="34">
        <f>CF_F!G22/BS_Sorted!R37</f>
        <v>0.52994899353588965</v>
      </c>
      <c r="S10" s="34">
        <f>CF_F!H22/BS_Sorted!S37</f>
        <v>0.48958622905675797</v>
      </c>
      <c r="T10" s="34">
        <f>CF_F!I22/BS_Sorted!T37</f>
        <v>0.46964808515234241</v>
      </c>
    </row>
    <row r="11" spans="1:20" x14ac:dyDescent="0.25">
      <c r="A11" s="88"/>
      <c r="B11" s="34"/>
      <c r="C11" s="34"/>
      <c r="D11" s="34"/>
      <c r="E11" s="34"/>
      <c r="F11" s="134"/>
      <c r="G11" s="134"/>
      <c r="H11" s="134"/>
      <c r="I11" s="134"/>
      <c r="J11" s="134"/>
      <c r="K11" s="134"/>
      <c r="L11" s="134"/>
      <c r="M11" s="34"/>
      <c r="N11" s="34"/>
      <c r="O11" s="34"/>
      <c r="P11" s="34"/>
      <c r="Q11" s="34"/>
      <c r="R11" s="34"/>
      <c r="S11" s="34"/>
      <c r="T11" s="34"/>
    </row>
    <row r="12" spans="1:20" x14ac:dyDescent="0.25">
      <c r="A12" s="42" t="s">
        <v>482</v>
      </c>
      <c r="B12" s="34"/>
      <c r="C12" s="34"/>
      <c r="D12" s="34"/>
      <c r="E12" s="34"/>
      <c r="F12" s="134"/>
      <c r="G12" s="134"/>
      <c r="H12" s="134"/>
      <c r="I12" s="134"/>
      <c r="J12" s="134"/>
      <c r="K12" s="134"/>
      <c r="L12" s="134"/>
      <c r="M12" s="34"/>
      <c r="N12" s="34"/>
      <c r="O12" s="34"/>
      <c r="P12" s="34"/>
      <c r="Q12" s="34"/>
      <c r="R12" s="34"/>
      <c r="S12" s="34"/>
      <c r="T12" s="34"/>
    </row>
    <row r="13" spans="1:20" x14ac:dyDescent="0.25">
      <c r="A13" s="88" t="s">
        <v>604</v>
      </c>
      <c r="B13" s="34"/>
      <c r="C13" s="34"/>
      <c r="D13" s="34"/>
      <c r="E13" s="34"/>
      <c r="F13" s="134">
        <f>IS_Sorted!F5/BS_Sorted!F27</f>
        <v>0.30780526177781664</v>
      </c>
      <c r="G13" s="134">
        <f>IS_Sorted!G5/BS_Sorted!G27</f>
        <v>0.30586098709523452</v>
      </c>
      <c r="H13" s="134">
        <f>IS_Sorted!H5/BS_Sorted!H27</f>
        <v>0.33650727937625058</v>
      </c>
      <c r="I13" s="134">
        <f>IS_Sorted!I5/BS_Sorted!I27</f>
        <v>0.30897735957202904</v>
      </c>
      <c r="J13" s="134">
        <f>IS_Sorted!J5/BS_Sorted!J27</f>
        <v>0.27172757216588428</v>
      </c>
      <c r="K13" s="134">
        <f>IS_Sorted!K5/BS_Sorted!K27</f>
        <v>0.44792946686871471</v>
      </c>
      <c r="L13" s="134">
        <f>IS_Sorted!L5/BS_Sorted!L27</f>
        <v>0.50876507963874784</v>
      </c>
      <c r="M13" s="34">
        <f>IS_Sorted!M5/BS_Sorted!M27</f>
        <v>0.26874799393621712</v>
      </c>
      <c r="N13" s="34">
        <f>IS_Sorted!N5/BS_Sorted!N27</f>
        <v>0.24777726915410442</v>
      </c>
      <c r="O13" s="34">
        <f>IS_Sorted!O5/BS_Sorted!O27</f>
        <v>0.23331464600043422</v>
      </c>
      <c r="P13" s="34">
        <f>IS_Sorted!P5/BS_Sorted!P27</f>
        <v>0.22654448039646397</v>
      </c>
      <c r="Q13" s="34">
        <f>IS_Sorted!Q5/BS_Sorted!Q27</f>
        <v>0.22329192889820632</v>
      </c>
      <c r="R13" s="34">
        <f>IS_Sorted!R5/BS_Sorted!R27</f>
        <v>0.21552912153349893</v>
      </c>
      <c r="S13" s="34">
        <f>IS_Sorted!S5/BS_Sorted!S27</f>
        <v>0.21014915626003849</v>
      </c>
      <c r="T13" s="34">
        <f>IS_Sorted!T5/BS_Sorted!T27</f>
        <v>0.21159217729798602</v>
      </c>
    </row>
    <row r="14" spans="1:20" x14ac:dyDescent="0.25">
      <c r="A14" s="88" t="s">
        <v>606</v>
      </c>
      <c r="F14" s="134">
        <f>IS_Sorted!F5/((BS_Sorted!F20+BS_Sorted!G19)/2)</f>
        <v>2.5160276256251488</v>
      </c>
      <c r="G14" s="134">
        <f>IS_Sorted!G5/((BS_Sorted!G20+BS_Sorted!H19)/2)</f>
        <v>2.4202478006540464</v>
      </c>
      <c r="H14" s="134">
        <f>IS_Sorted!H5/((BS_Sorted!H20+BS_Sorted!I19)/2)</f>
        <v>2.4416075004551248</v>
      </c>
      <c r="I14" s="134">
        <f>IS_Sorted!I5/((BS_Sorted!I20+BS_Sorted!J19)/2)</f>
        <v>2.3177176639197419</v>
      </c>
      <c r="J14" s="134">
        <f>IS_Sorted!J5/((BS_Sorted!J20+BS_Sorted!K19)/2)</f>
        <v>1.922694010506274</v>
      </c>
      <c r="K14" s="134">
        <f>IS_Sorted!K5/((BS_Sorted!K20+BS_Sorted!L19)/2)</f>
        <v>3.5167535529645892</v>
      </c>
      <c r="L14" s="134">
        <f>IS_Sorted!L5/((BS_Sorted!L20+BS_Sorted!M19)/2)</f>
        <v>4.2704194530685973</v>
      </c>
      <c r="M14" s="34">
        <f>IS_Sorted!M5/((BS_Sorted!M20+BS_Sorted!N19)/2)</f>
        <v>2.3829973571678824</v>
      </c>
      <c r="N14" s="34">
        <f>IS_Sorted!N5/((BS_Sorted!N20+BS_Sorted!O19)/2)</f>
        <v>2.1569689405207586</v>
      </c>
      <c r="O14" s="34">
        <f>IS_Sorted!O5/((BS_Sorted!O20+BS_Sorted!P19)/2)</f>
        <v>1.9793286039199653</v>
      </c>
      <c r="P14" s="34">
        <f>IS_Sorted!P5/((BS_Sorted!P20+BS_Sorted!Q19)/2)</f>
        <v>1.8928703718064026</v>
      </c>
      <c r="Q14" s="34">
        <f>IS_Sorted!Q5/((BS_Sorted!Q20+BS_Sorted!R19)/2)</f>
        <v>1.8452581190426056</v>
      </c>
      <c r="R14" s="34">
        <f>IS_Sorted!R5/((BS_Sorted!R20+BS_Sorted!S19)/2)</f>
        <v>1.7435479479375471</v>
      </c>
      <c r="S14" s="34">
        <f>IS_Sorted!S5/((BS_Sorted!S20+BS_Sorted!T19)/2)</f>
        <v>1.6505412834063788</v>
      </c>
      <c r="T14" s="34">
        <f>IS_Sorted!T5/((BS_Sorted!T20+BS_Sorted!U19)/2)</f>
        <v>2.1432163432474729</v>
      </c>
    </row>
    <row r="15" spans="1:20" x14ac:dyDescent="0.25">
      <c r="A15" s="88" t="s">
        <v>605</v>
      </c>
      <c r="F15" s="134">
        <f>IS_Sorted!F5/Drivers!F35</f>
        <v>3.6901088044566217</v>
      </c>
      <c r="G15" s="134">
        <f>IS_Sorted!G5/Drivers!G35</f>
        <v>3.4965694855073095</v>
      </c>
      <c r="H15" s="134">
        <f>IS_Sorted!H5/Drivers!H35</f>
        <v>3.7775753397796756</v>
      </c>
      <c r="I15" s="134">
        <f>IS_Sorted!I5/Drivers!I35</f>
        <v>3.0949898287109643</v>
      </c>
      <c r="J15" s="134">
        <f>IS_Sorted!J5/Drivers!J35</f>
        <v>2.5226386382798784</v>
      </c>
      <c r="K15" s="134">
        <f>IS_Sorted!K5/Drivers!K35</f>
        <v>4.4848438325597568</v>
      </c>
      <c r="L15" s="134">
        <f>IS_Sorted!L5/Drivers!L35</f>
        <v>4.7453057749609799</v>
      </c>
      <c r="M15" s="34">
        <f>IS_Sorted!M5/Drivers!M35</f>
        <v>3.3301381388051676</v>
      </c>
      <c r="N15" s="34">
        <f>IS_Sorted!N5/Drivers!N35</f>
        <v>3.006369521398478</v>
      </c>
      <c r="O15" s="34">
        <f>IS_Sorted!O5/Drivers!O35</f>
        <v>2.8899509446936911</v>
      </c>
      <c r="P15" s="34">
        <f>IS_Sorted!P5/Drivers!P35</f>
        <v>2.8161636170255449</v>
      </c>
      <c r="Q15" s="34">
        <f>IS_Sorted!Q5/Drivers!Q35</f>
        <v>2.7576580876683714</v>
      </c>
      <c r="R15" s="34">
        <f>IS_Sorted!R5/Drivers!R35</f>
        <v>2.6582283370769249</v>
      </c>
      <c r="S15" s="34">
        <f>IS_Sorted!S5/Drivers!S35</f>
        <v>2.5693115768260104</v>
      </c>
      <c r="T15" s="34">
        <f>IS_Sorted!T5/Drivers!T35</f>
        <v>2.5171904721236897</v>
      </c>
    </row>
    <row r="16" spans="1:20" x14ac:dyDescent="0.25">
      <c r="A16" s="88"/>
      <c r="F16" s="134"/>
      <c r="G16" s="134"/>
      <c r="H16" s="134"/>
      <c r="I16" s="134"/>
      <c r="J16" s="134"/>
      <c r="K16" s="134"/>
      <c r="L16" s="134"/>
      <c r="M16" s="34"/>
      <c r="N16" s="34"/>
      <c r="O16" s="34"/>
      <c r="P16" s="34"/>
      <c r="Q16" s="34"/>
      <c r="R16" s="34"/>
      <c r="S16" s="34"/>
      <c r="T16" s="34"/>
    </row>
    <row r="17" spans="1:22" x14ac:dyDescent="0.25">
      <c r="A17" s="88"/>
      <c r="F17" s="134"/>
      <c r="G17" s="134"/>
      <c r="H17" s="134"/>
      <c r="I17" s="134"/>
      <c r="J17" s="134"/>
      <c r="K17" s="134"/>
      <c r="L17" s="134"/>
      <c r="M17" s="34"/>
      <c r="N17" s="34"/>
      <c r="O17" s="34"/>
      <c r="P17" s="34"/>
      <c r="Q17" s="34"/>
      <c r="R17" s="34"/>
      <c r="S17" s="34"/>
      <c r="T17" s="34"/>
    </row>
    <row r="18" spans="1:22" x14ac:dyDescent="0.25">
      <c r="A18" s="42" t="s">
        <v>483</v>
      </c>
      <c r="F18" s="134"/>
      <c r="G18" s="134"/>
      <c r="H18" s="134"/>
      <c r="I18" s="134"/>
      <c r="J18" s="134"/>
      <c r="K18" s="134"/>
      <c r="L18" s="134"/>
      <c r="M18" s="34"/>
      <c r="N18" s="34"/>
      <c r="O18" s="34"/>
      <c r="P18" s="34"/>
      <c r="Q18" s="34"/>
      <c r="R18" s="34"/>
      <c r="S18" s="34"/>
      <c r="T18" s="34"/>
    </row>
    <row r="19" spans="1:22" x14ac:dyDescent="0.25">
      <c r="A19" s="88" t="s">
        <v>607</v>
      </c>
      <c r="F19" s="134">
        <f>BS_Sorted!F27/BS_Sorted!F43</f>
        <v>1.5353612167300381</v>
      </c>
      <c r="G19" s="134">
        <f>BS_Sorted!G27/BS_Sorted!G43</f>
        <v>1.7155682045136809</v>
      </c>
      <c r="H19" s="134">
        <f>BS_Sorted!H27/BS_Sorted!H43</f>
        <v>1.6665063817776988</v>
      </c>
      <c r="I19" s="134">
        <f>BS_Sorted!I27/BS_Sorted!I43</f>
        <v>1.609842368319877</v>
      </c>
      <c r="J19" s="134">
        <f>BS_Sorted!J27/BS_Sorted!J43</f>
        <v>1.6993510142468349</v>
      </c>
      <c r="K19" s="134">
        <f>BS_Sorted!K27/BS_Sorted!K43</f>
        <v>1.744717057319207</v>
      </c>
      <c r="L19" s="134">
        <f>BS_Sorted!L27/BS_Sorted!L43</f>
        <v>1.9469532422399494</v>
      </c>
      <c r="M19" s="34">
        <f>BS_Sorted!M27/BS_Sorted!M43</f>
        <v>1.8329808270568004</v>
      </c>
      <c r="N19" s="34">
        <f>BS_Sorted!N27/BS_Sorted!N43</f>
        <v>1.9056978843598582</v>
      </c>
      <c r="O19" s="34">
        <f>BS_Sorted!O27/BS_Sorted!O43</f>
        <v>1.9654686827382604</v>
      </c>
      <c r="P19" s="34">
        <f>BS_Sorted!P27/BS_Sorted!P43</f>
        <v>1.9913872850902583</v>
      </c>
      <c r="Q19" s="34">
        <f>BS_Sorted!Q27/BS_Sorted!Q43</f>
        <v>2.0015803280303235</v>
      </c>
      <c r="R19" s="34">
        <f>BS_Sorted!R27/BS_Sorted!R43</f>
        <v>2.025036706304689</v>
      </c>
      <c r="S19" s="34">
        <f>BS_Sorted!S27/BS_Sorted!S43</f>
        <v>2.0548192994114123</v>
      </c>
      <c r="T19" s="34">
        <f>BS_Sorted!T27/BS_Sorted!T43</f>
        <v>2.0740519834738214</v>
      </c>
    </row>
    <row r="20" spans="1:22" x14ac:dyDescent="0.25">
      <c r="A20" s="88" t="s">
        <v>609</v>
      </c>
      <c r="F20" s="134">
        <f>BS_Sorted!F43/BS_Sorted!F51</f>
        <v>1.8678977272727273</v>
      </c>
      <c r="G20" s="134">
        <f>BS_Sorted!G43/BS_Sorted!G51</f>
        <v>1.3974908243437487</v>
      </c>
      <c r="H20" s="134">
        <f>BS_Sorted!H43/BS_Sorted!H51</f>
        <v>1.5003607277289837</v>
      </c>
      <c r="I20" s="134">
        <f>BS_Sorted!I43/BS_Sorted!I51</f>
        <v>1.6397679989912999</v>
      </c>
      <c r="J20" s="134">
        <f>BS_Sorted!J43/BS_Sorted!J51</f>
        <v>1.429897118369019</v>
      </c>
      <c r="K20" s="134">
        <f>BS_Sorted!K43/BS_Sorted!K51</f>
        <v>1.3427918565471657</v>
      </c>
      <c r="L20" s="134">
        <f>BS_Sorted!L43/BS_Sorted!L51</f>
        <v>1.0560183495803577</v>
      </c>
      <c r="M20" s="34">
        <f>BS_Sorted!M43/BS_Sorted!M51</f>
        <v>1.2005078238515212</v>
      </c>
      <c r="N20" s="34">
        <f>BS_Sorted!N43/BS_Sorted!N51</f>
        <v>1.1041209406233665</v>
      </c>
      <c r="O20" s="34">
        <f>BS_Sorted!O43/BS_Sorted!O51</f>
        <v>1.0357663773865786</v>
      </c>
      <c r="P20" s="34">
        <f>BS_Sorted!P43/BS_Sorted!P51</f>
        <v>1.0086875381995219</v>
      </c>
      <c r="Q20" s="34">
        <f>BS_Sorted!Q43/BS_Sorted!Q51</f>
        <v>0.99842216546581797</v>
      </c>
      <c r="R20" s="34">
        <f>BS_Sorted!R43/BS_Sorted!R51</f>
        <v>0.97557481975943339</v>
      </c>
      <c r="S20" s="34">
        <f>BS_Sorted!S43/BS_Sorted!S51</f>
        <v>0.94802967727078802</v>
      </c>
      <c r="T20" s="34">
        <f>BS_Sorted!T43/BS_Sorted!T51</f>
        <v>0.93105363184162282</v>
      </c>
    </row>
    <row r="21" spans="1:22" x14ac:dyDescent="0.25">
      <c r="A21" s="88" t="s">
        <v>608</v>
      </c>
      <c r="F21" s="134">
        <f>BS_Sorted!F43/(Drivers!F14+IS_Sorted!F9)</f>
        <v>6.2925744525136516</v>
      </c>
      <c r="G21" s="134">
        <f>BS_Sorted!G43/(Drivers!G14+IS_Sorted!G9)</f>
        <v>5.0349439388606765</v>
      </c>
      <c r="H21" s="134">
        <f>BS_Sorted!H43/(Drivers!H14+IS_Sorted!H9)</f>
        <v>4.6928133431444694</v>
      </c>
      <c r="I21" s="134">
        <f>BS_Sorted!I43/(Drivers!I14+IS_Sorted!I9)</f>
        <v>5.4016017992214325</v>
      </c>
      <c r="J21" s="134">
        <f>BS_Sorted!J43/(Drivers!J14+IS_Sorted!J9)</f>
        <v>6.9707206689974761</v>
      </c>
      <c r="K21" s="134">
        <f>BS_Sorted!K43/(Drivers!K14+IS_Sorted!K9)</f>
        <v>4.1952144345900688</v>
      </c>
      <c r="L21" s="134">
        <f>BS_Sorted!L43/(Drivers!L14+IS_Sorted!L9)</f>
        <v>2.4620189555916658</v>
      </c>
      <c r="M21" s="34">
        <f>BS_Sorted!M43/(Drivers!M14+IS_Sorted!M9)</f>
        <v>13.32979689020142</v>
      </c>
      <c r="N21" s="34">
        <f>BS_Sorted!N43/(Drivers!N14+IS_Sorted!N9)</f>
        <v>5.9820309376901966</v>
      </c>
      <c r="O21" s="34">
        <f>BS_Sorted!O43/(Drivers!O14+IS_Sorted!O9)</f>
        <v>6.1870750716982066</v>
      </c>
      <c r="P21" s="34">
        <f>BS_Sorted!P43/(Drivers!P14+IS_Sorted!P9)</f>
        <v>6.3065426620265317</v>
      </c>
      <c r="Q21" s="34">
        <f>BS_Sorted!Q43/(Drivers!Q14+IS_Sorted!Q9)</f>
        <v>6.2972495929915668</v>
      </c>
      <c r="R21" s="34">
        <f>BS_Sorted!R43/(Drivers!R14+IS_Sorted!R9)</f>
        <v>6.2007891368334018</v>
      </c>
      <c r="S21" s="34">
        <f>BS_Sorted!S43/(Drivers!S14+IS_Sorted!S9)</f>
        <v>6.236733928835231</v>
      </c>
      <c r="T21" s="34">
        <f>BS_Sorted!T43/(Drivers!T14+IS_Sorted!T9)</f>
        <v>6.0284247664558359</v>
      </c>
    </row>
    <row r="22" spans="1:22" x14ac:dyDescent="0.25">
      <c r="A22" s="88"/>
      <c r="F22" s="17"/>
      <c r="G22" s="17"/>
      <c r="H22" s="17"/>
      <c r="I22" s="267"/>
      <c r="J22" s="17"/>
      <c r="K22" s="17"/>
      <c r="L22" s="17"/>
    </row>
    <row r="23" spans="1:22" x14ac:dyDescent="0.25">
      <c r="A23" s="88"/>
      <c r="B23" s="14"/>
      <c r="C23" s="14"/>
      <c r="D23" s="14"/>
      <c r="E23" s="14"/>
      <c r="F23" s="518"/>
      <c r="G23" s="518"/>
      <c r="H23" s="518"/>
      <c r="I23" s="518"/>
      <c r="J23" s="17"/>
      <c r="K23" s="519"/>
      <c r="L23" s="519"/>
    </row>
    <row r="24" spans="1:22" x14ac:dyDescent="0.25">
      <c r="A24" s="42" t="s">
        <v>484</v>
      </c>
      <c r="B24" s="41"/>
      <c r="C24" s="41"/>
      <c r="D24" s="41"/>
      <c r="E24" s="41"/>
      <c r="F24" s="267"/>
      <c r="G24" s="267"/>
      <c r="H24" s="267"/>
      <c r="I24" s="267"/>
      <c r="J24" s="17"/>
      <c r="K24" s="17"/>
      <c r="L24" s="17"/>
    </row>
    <row r="25" spans="1:22" x14ac:dyDescent="0.25">
      <c r="A25" s="88" t="s">
        <v>485</v>
      </c>
      <c r="B25" s="136"/>
      <c r="C25" s="136"/>
      <c r="D25" s="136"/>
      <c r="E25" s="136"/>
      <c r="F25" s="520"/>
      <c r="G25" s="520">
        <f>IS_Sorted!G31/BS_Sorted!F51</f>
        <v>0.35606617647058825</v>
      </c>
      <c r="H25" s="520">
        <f>IS_Sorted!H31/BS_Sorted!G51</f>
        <v>0.15563029431876857</v>
      </c>
      <c r="I25" s="520">
        <f>IS_Sorted!I31/BS_Sorted!H51</f>
        <v>0.25520702634880804</v>
      </c>
      <c r="J25" s="520">
        <f>IS_Sorted!J31/BS_Sorted!I51</f>
        <v>0.15155718068339427</v>
      </c>
      <c r="K25" s="520">
        <f>IS_Sorted!K31/BS_Sorted!J51</f>
        <v>0.34628412976004791</v>
      </c>
      <c r="L25" s="520">
        <f>IS_Sorted!L31/BS_Sorted!K51</f>
        <v>0.40500380836808203</v>
      </c>
      <c r="M25" s="136">
        <f>IS_Sorted!M31/BS_Sorted!L51</f>
        <v>8.5252777690924292E-2</v>
      </c>
      <c r="N25" s="136">
        <f>IS_Sorted!N31/BS_Sorted!M51</f>
        <v>0.1334576564054151</v>
      </c>
      <c r="O25" s="136">
        <f>IS_Sorted!O31/BS_Sorted!N51</f>
        <v>0.11951549911370839</v>
      </c>
      <c r="P25" s="136">
        <f>IS_Sorted!P31/BS_Sorted!O51</f>
        <v>0.11300316507407188</v>
      </c>
      <c r="Q25" s="136">
        <f>IS_Sorted!Q31/BS_Sorted!P51</f>
        <v>0.11149429967461044</v>
      </c>
      <c r="R25" s="136">
        <f>IS_Sorted!R31/BS_Sorted!Q51</f>
        <v>0.11012874182461033</v>
      </c>
      <c r="S25" s="136">
        <f>IS_Sorted!S31/BS_Sorted!R51</f>
        <v>0.10701743652886921</v>
      </c>
      <c r="T25" s="136">
        <f>IS_Sorted!T31/BS_Sorted!S51</f>
        <v>0.11005152495562695</v>
      </c>
      <c r="U25" s="136"/>
      <c r="V25" s="136"/>
    </row>
    <row r="26" spans="1:22" x14ac:dyDescent="0.25">
      <c r="A26" s="88" t="s">
        <v>661</v>
      </c>
      <c r="B26" s="45"/>
      <c r="C26" s="45"/>
      <c r="D26" s="45"/>
      <c r="E26" s="45"/>
      <c r="F26" s="520">
        <f>(IS_Sorted!F31/BS_Sorted!F27)</f>
        <v>4.20359525682487E-2</v>
      </c>
      <c r="G26" s="520">
        <f>(IS_Sorted!G31/BS_Sorted!G27)</f>
        <v>0.12402428447528187</v>
      </c>
      <c r="H26" s="520">
        <f>(IS_Sorted!H31/BS_Sorted!H27)</f>
        <v>6.9952265356943474E-2</v>
      </c>
      <c r="I26" s="520">
        <f>(IS_Sorted!I31/BS_Sorted!I27)</f>
        <v>9.7153228888039733E-2</v>
      </c>
      <c r="J26" s="520">
        <f>(IS_Sorted!J31/BS_Sorted!J27)</f>
        <v>6.2349249163576002E-2</v>
      </c>
      <c r="K26" s="520">
        <f>(IS_Sorted!K31/BS_Sorted!K27)</f>
        <v>0.12111310097809616</v>
      </c>
      <c r="L26" s="520">
        <f>(IS_Sorted!L31/BS_Sorted!L27)</f>
        <v>0.15908480094116215</v>
      </c>
      <c r="M26" s="136">
        <f>(IS_Sorted!M31/BS_Sorted!M27)</f>
        <v>3.8967244749737569E-2</v>
      </c>
      <c r="N26" s="136">
        <f>(IS_Sorted!N31/BS_Sorted!N27)</f>
        <v>6.1159580849775831E-2</v>
      </c>
      <c r="O26" s="136">
        <f>(IS_Sorted!O31/BS_Sorted!O27)</f>
        <v>5.7560003081183642E-2</v>
      </c>
      <c r="P26" s="136">
        <f>(IS_Sorted!P31/BS_Sorted!P27)</f>
        <v>5.5532518738849228E-2</v>
      </c>
      <c r="Q26" s="136">
        <f>(IS_Sorted!Q31/BS_Sorted!Q27)</f>
        <v>5.5183830901106699E-2</v>
      </c>
      <c r="R26" s="136">
        <f>(IS_Sorted!R31/BS_Sorted!R27)</f>
        <v>5.5253526356779804E-2</v>
      </c>
      <c r="S26" s="136">
        <f>(IS_Sorted!S31/BS_Sorted!S27)</f>
        <v>5.4672120465505424E-2</v>
      </c>
      <c r="T26" s="136">
        <f>(IS_Sorted!T31/BS_Sorted!T27)</f>
        <v>5.6624152391977343E-2</v>
      </c>
    </row>
    <row r="27" spans="1:22" x14ac:dyDescent="0.25">
      <c r="A27" s="88" t="s">
        <v>662</v>
      </c>
      <c r="B27" s="45"/>
      <c r="C27" s="45"/>
      <c r="D27" s="45"/>
      <c r="E27" s="45"/>
      <c r="F27" s="520">
        <f>((IS_Sorted!F5-IS_Sorted!F7)/IS_Sorted!F5)</f>
        <v>0.87558685446009388</v>
      </c>
      <c r="G27" s="520">
        <f>((IS_Sorted!G5-IS_Sorted!G7)/IS_Sorted!G5)</f>
        <v>0.90539717580786361</v>
      </c>
      <c r="H27" s="520">
        <f>((IS_Sorted!H5-IS_Sorted!H7)/IS_Sorted!H5)</f>
        <v>0.90933323391801968</v>
      </c>
      <c r="I27" s="520">
        <f>((IS_Sorted!I5-IS_Sorted!I7)/IS_Sorted!I5)</f>
        <v>0.91866666666666663</v>
      </c>
      <c r="J27" s="520">
        <f>((IS_Sorted!J5-IS_Sorted!J7)/IS_Sorted!J5)</f>
        <v>0.90658108237090773</v>
      </c>
      <c r="K27" s="520">
        <f>((IS_Sorted!K5-IS_Sorted!K7)/IS_Sorted!K5)</f>
        <v>0.68470130892628678</v>
      </c>
      <c r="L27" s="520">
        <f>((IS_Sorted!L5-IS_Sorted!L7)/IS_Sorted!L5)</f>
        <v>0.70816306189574407</v>
      </c>
      <c r="M27" s="136">
        <f>((IS_Sorted!M5-IS_Sorted!M7)/IS_Sorted!M5)</f>
        <v>0.64014255345142212</v>
      </c>
      <c r="N27" s="136">
        <f>((IS_Sorted!N5-IS_Sorted!N7)/IS_Sorted!N5)</f>
        <v>0.84406134057794036</v>
      </c>
      <c r="O27" s="136">
        <f>((IS_Sorted!O5-IS_Sorted!O7)/IS_Sorted!O5)</f>
        <v>0.84406134057794036</v>
      </c>
      <c r="P27" s="136">
        <f>((IS_Sorted!P5-IS_Sorted!P7)/IS_Sorted!P5)</f>
        <v>0.84406134057794036</v>
      </c>
      <c r="Q27" s="136">
        <f>((IS_Sorted!Q5-IS_Sorted!Q7)/IS_Sorted!Q5)</f>
        <v>0.84406134057794036</v>
      </c>
      <c r="R27" s="136">
        <f>((IS_Sorted!R5-IS_Sorted!R7)/IS_Sorted!R5)</f>
        <v>0.84406134057794047</v>
      </c>
      <c r="S27" s="136">
        <f>((IS_Sorted!S5-IS_Sorted!S7)/IS_Sorted!S5)</f>
        <v>0.84406134057794024</v>
      </c>
      <c r="T27" s="136">
        <f>((IS_Sorted!T5-IS_Sorted!T7)/IS_Sorted!T5)</f>
        <v>0.84406134057794024</v>
      </c>
    </row>
    <row r="28" spans="1:22" x14ac:dyDescent="0.25">
      <c r="A28" s="88" t="s">
        <v>721</v>
      </c>
      <c r="F28" s="521">
        <f>IS_Sorted!F31/IS_Sorted!F5</f>
        <v>0.13656671210056034</v>
      </c>
      <c r="G28" s="521">
        <f>IS_Sorted!G31/IS_Sorted!G5</f>
        <v>0.40549233052944089</v>
      </c>
      <c r="H28" s="521">
        <f>IS_Sorted!H31/IS_Sorted!H5</f>
        <v>0.2078774209182247</v>
      </c>
      <c r="I28" s="521">
        <f>IS_Sorted!I31/IS_Sorted!I5</f>
        <v>0.31443478260869567</v>
      </c>
      <c r="J28" s="521">
        <f>IS_Sorted!J31/IS_Sorted!J5</f>
        <v>0.22945499665934904</v>
      </c>
      <c r="K28" s="521">
        <f>IS_Sorted!K31/IS_Sorted!K5</f>
        <v>0.27038431256766066</v>
      </c>
      <c r="L28" s="521">
        <f>IS_Sorted!L31/IS_Sorted!L5</f>
        <v>0.31268812917372668</v>
      </c>
      <c r="M28" s="120">
        <f>IS_Sorted!M31/IS_Sorted!M5</f>
        <v>0.14499548137645188</v>
      </c>
      <c r="N28" s="120">
        <f>IS_Sorted!N31/IS_Sorted!N5</f>
        <v>0.24683289576388781</v>
      </c>
      <c r="O28" s="120">
        <f>IS_Sorted!O31/IS_Sorted!O5</f>
        <v>0.24670548578024767</v>
      </c>
      <c r="P28" s="120">
        <f>IS_Sorted!P31/IS_Sorted!P5</f>
        <v>0.24512854447684884</v>
      </c>
      <c r="Q28" s="120">
        <f>IS_Sorted!Q31/IS_Sorted!Q5</f>
        <v>0.24713759773316185</v>
      </c>
      <c r="R28" s="120">
        <f>IS_Sorted!R31/IS_Sorted!R5</f>
        <v>0.25636223060553764</v>
      </c>
      <c r="S28" s="120">
        <f>IS_Sorted!S31/IS_Sorted!S5</f>
        <v>0.26015864844993319</v>
      </c>
      <c r="T28" s="120">
        <f>IS_Sorted!T31/IS_Sorted!T5</f>
        <v>0.26760985739200249</v>
      </c>
    </row>
    <row r="29" spans="1:22" x14ac:dyDescent="0.25">
      <c r="A29" s="88"/>
      <c r="F29" s="17"/>
      <c r="G29" s="17"/>
      <c r="H29" s="17"/>
      <c r="I29" s="17"/>
      <c r="J29" s="17"/>
      <c r="K29" s="17"/>
      <c r="L29" s="17"/>
    </row>
    <row r="30" spans="1:22" x14ac:dyDescent="0.25">
      <c r="A30" s="42" t="s">
        <v>486</v>
      </c>
      <c r="F30" s="17"/>
      <c r="G30" s="17"/>
      <c r="H30" s="17"/>
      <c r="I30" s="17"/>
      <c r="J30" s="17"/>
      <c r="K30" s="17"/>
      <c r="L30" s="17"/>
    </row>
    <row r="31" spans="1:22" x14ac:dyDescent="0.25">
      <c r="A31" s="88" t="s">
        <v>487</v>
      </c>
      <c r="F31" s="521">
        <f>(IS_Sorted!F35)/IS_Sorted!F32</f>
        <v>1.0169491525423728</v>
      </c>
      <c r="G31" s="521">
        <f>IS_Sorted!G35/IS_Sorted!G32</f>
        <v>0.35854341736694678</v>
      </c>
      <c r="H31" s="521">
        <f>IS_Sorted!H35/IS_Sorted!H32</f>
        <v>0.72631578947368414</v>
      </c>
      <c r="I31" s="521">
        <f>IS_Sorted!I35/IS_Sorted!I32</f>
        <v>0.49315068493150682</v>
      </c>
      <c r="J31" s="521">
        <f>IS_Sorted!J35/IS_Sorted!J32</f>
        <v>0.88439306358381509</v>
      </c>
      <c r="K31" s="521">
        <f>IS_Sorted!K35/IS_Sorted!K32</f>
        <v>0.40051020408163268</v>
      </c>
      <c r="L31" s="521">
        <f>IS_Sorted!L35/IS_Sorted!L32</f>
        <v>0.28801431127012522</v>
      </c>
      <c r="M31" s="120">
        <f>IS_Sorted!M35/IS_Sorted!M32</f>
        <v>1.128041243108503</v>
      </c>
      <c r="N31" s="120">
        <f>IS_Sorted!N35/IS_Sorted!N32</f>
        <v>0.7409339568808595</v>
      </c>
      <c r="O31" s="120">
        <f>IS_Sorted!O35/IS_Sorted!O32</f>
        <v>0.81388344112463251</v>
      </c>
      <c r="P31" s="120">
        <f>IS_Sorted!P35/IS_Sorted!P32</f>
        <v>0.85969581708136167</v>
      </c>
      <c r="Q31" s="120">
        <f>IS_Sorted!Q35/IS_Sorted!Q32</f>
        <v>0.87601367090823201</v>
      </c>
      <c r="R31" s="120">
        <f>IS_Sorted!R35/IS_Sorted!R32</f>
        <v>0.89344429473353171</v>
      </c>
      <c r="S31" s="120">
        <f>IS_Sorted!S35/IS_Sorted!S32</f>
        <v>0.92816207428464192</v>
      </c>
      <c r="T31" s="120">
        <f>IS_Sorted!T35/IS_Sorted!T32</f>
        <v>0.91484148319115721</v>
      </c>
    </row>
    <row r="32" spans="1:22" x14ac:dyDescent="0.25">
      <c r="A32" s="88" t="s">
        <v>488</v>
      </c>
      <c r="F32" s="521"/>
      <c r="G32" s="521">
        <f>((IS_Sorted!G$33*IS_Sorted!G$35)+(BS_Sorted!G$46-BS_Sorted!F$46))/IS_Sorted!G$31</f>
        <v>0.59617027268033984</v>
      </c>
      <c r="H32" s="521">
        <f>((IS_Sorted!H$33*IS_Sorted!H$35)+(BS_Sorted!H$46-BS_Sorted!G$46))/IS_Sorted!H$31</f>
        <v>1.8192575322812052</v>
      </c>
      <c r="I32" s="521">
        <f>((IS_Sorted!I$33*IS_Sorted!I$35)+(BS_Sorted!I$46-BS_Sorted!H$46))/IS_Sorted!I$31</f>
        <v>1.0576671583087514</v>
      </c>
      <c r="J32" s="521">
        <f>((IS_Sorted!J$33*IS_Sorted!J$35)+(BS_Sorted!J$46-BS_Sorted!I$46))/IS_Sorted!J$31</f>
        <v>0.90330178868552413</v>
      </c>
      <c r="K32" s="521">
        <f>((IS_Sorted!K$33*IS_Sorted!K$35)+(BS_Sorted!K$46-BS_Sorted!J$46))/IS_Sorted!K$31</f>
        <v>0.41706037581327632</v>
      </c>
      <c r="L32" s="521">
        <f>((IS_Sorted!L$33*IS_Sorted!L$35)+(BS_Sorted!L$46-BS_Sorted!K$46))/IS_Sorted!L$31</f>
        <v>0.37093204131072299</v>
      </c>
      <c r="M32" s="120">
        <f>((IS_Sorted!M$33*IS_Sorted!M$35)+(BS_Sorted!M$46-BS_Sorted!L$46))/IS_Sorted!M$31</f>
        <v>1.1280412431085032</v>
      </c>
      <c r="N32" s="120">
        <f>((IS_Sorted!N$33*IS_Sorted!N$35)+(BS_Sorted!N$46-BS_Sorted!M$46))/IS_Sorted!N$31</f>
        <v>0.76057769165507083</v>
      </c>
      <c r="O32" s="120">
        <f>((IS_Sorted!O$33*IS_Sorted!O$35)+(BS_Sorted!O$46-BS_Sorted!N$46))/IS_Sorted!O$31</f>
        <v>0.83545766608565963</v>
      </c>
      <c r="P32" s="120">
        <f>((IS_Sorted!P$33*IS_Sorted!P$35)+(BS_Sorted!P$46-BS_Sorted!O$46))/IS_Sorted!P$31</f>
        <v>0.88251465443477806</v>
      </c>
      <c r="Q32" s="120">
        <f>((IS_Sorted!Q$33*IS_Sorted!Q$35)+(BS_Sorted!Q$46-BS_Sorted!P$46))/IS_Sorted!Q$31</f>
        <v>0.89929998642993869</v>
      </c>
      <c r="R32" s="120">
        <f>((IS_Sorted!R$33*IS_Sorted!R$35)+(BS_Sorted!R$46-BS_Sorted!Q$46))/IS_Sorted!R$31</f>
        <v>0.91722908663888836</v>
      </c>
      <c r="S32" s="120">
        <f>((IS_Sorted!S$33*IS_Sorted!S$35)+(BS_Sorted!S$46-BS_Sorted!R$46))/IS_Sorted!S$31</f>
        <v>0.9529077015328582</v>
      </c>
      <c r="T32" s="120">
        <f>((IS_Sorted!T$33*IS_Sorted!T$35)+(BS_Sorted!T$46-BS_Sorted!S$46))/IS_Sorted!T$31</f>
        <v>0.9392681416990506</v>
      </c>
    </row>
    <row r="33" spans="1:1" x14ac:dyDescent="0.25">
      <c r="A33" s="88"/>
    </row>
    <row r="34" spans="1:1" s="1" customFormat="1" x14ac:dyDescent="0.25">
      <c r="A34" s="89"/>
    </row>
    <row r="35" spans="1:1" x14ac:dyDescent="0.25">
      <c r="A35" s="88"/>
    </row>
    <row r="36" spans="1:1" x14ac:dyDescent="0.25">
      <c r="A36" s="88"/>
    </row>
    <row r="40" spans="1:1" hidden="1" x14ac:dyDescent="0.25">
      <c r="A40" s="147" t="s">
        <v>470</v>
      </c>
    </row>
    <row r="41" spans="1:1" hidden="1" x14ac:dyDescent="0.25">
      <c r="A41" s="2" t="s">
        <v>489</v>
      </c>
    </row>
    <row r="42" spans="1:1" hidden="1" x14ac:dyDescent="0.25">
      <c r="A42" s="2" t="s">
        <v>490</v>
      </c>
    </row>
    <row r="43" spans="1:1" hidden="1" x14ac:dyDescent="0.25">
      <c r="A43" s="2" t="s">
        <v>491</v>
      </c>
    </row>
  </sheetData>
  <pageMargins left="0.7" right="0.7" top="0.75" bottom="0.75" header="0.3" footer="0.3"/>
  <pageSetup scale="47"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M37"/>
  <sheetViews>
    <sheetView workbookViewId="0"/>
  </sheetViews>
  <sheetFormatPr defaultColWidth="9.140625" defaultRowHeight="15" x14ac:dyDescent="0.25"/>
  <cols>
    <col min="1" max="1" width="5.28515625" style="6" customWidth="1"/>
    <col min="2" max="2" width="31.140625" style="2" customWidth="1"/>
    <col min="3" max="13" width="10.85546875" style="31" customWidth="1"/>
    <col min="14" max="247" width="9.140625" style="2"/>
    <col min="248" max="257" width="12.7109375" style="2" customWidth="1"/>
    <col min="258" max="503" width="9.140625" style="2"/>
    <col min="504" max="513" width="12.7109375" style="2" customWidth="1"/>
    <col min="514" max="759" width="9.140625" style="2"/>
    <col min="760" max="769" width="12.7109375" style="2" customWidth="1"/>
    <col min="770" max="1015" width="9.140625" style="2"/>
    <col min="1016" max="1025" width="12.7109375" style="2" customWidth="1"/>
    <col min="1026" max="1271" width="9.140625" style="2"/>
    <col min="1272" max="1281" width="12.7109375" style="2" customWidth="1"/>
    <col min="1282" max="1527" width="9.140625" style="2"/>
    <col min="1528" max="1537" width="12.7109375" style="2" customWidth="1"/>
    <col min="1538" max="1783" width="9.140625" style="2"/>
    <col min="1784" max="1793" width="12.7109375" style="2" customWidth="1"/>
    <col min="1794" max="2039" width="9.140625" style="2"/>
    <col min="2040" max="2049" width="12.7109375" style="2" customWidth="1"/>
    <col min="2050" max="2295" width="9.140625" style="2"/>
    <col min="2296" max="2305" width="12.7109375" style="2" customWidth="1"/>
    <col min="2306" max="2551" width="9.140625" style="2"/>
    <col min="2552" max="2561" width="12.7109375" style="2" customWidth="1"/>
    <col min="2562" max="2807" width="9.140625" style="2"/>
    <col min="2808" max="2817" width="12.7109375" style="2" customWidth="1"/>
    <col min="2818" max="3063" width="9.140625" style="2"/>
    <col min="3064" max="3073" width="12.7109375" style="2" customWidth="1"/>
    <col min="3074" max="3319" width="9.140625" style="2"/>
    <col min="3320" max="3329" width="12.7109375" style="2" customWidth="1"/>
    <col min="3330" max="3575" width="9.140625" style="2"/>
    <col min="3576" max="3585" width="12.7109375" style="2" customWidth="1"/>
    <col min="3586" max="3831" width="9.140625" style="2"/>
    <col min="3832" max="3841" width="12.7109375" style="2" customWidth="1"/>
    <col min="3842" max="4087" width="9.140625" style="2"/>
    <col min="4088" max="4097" width="12.7109375" style="2" customWidth="1"/>
    <col min="4098" max="4343" width="9.140625" style="2"/>
    <col min="4344" max="4353" width="12.7109375" style="2" customWidth="1"/>
    <col min="4354" max="4599" width="9.140625" style="2"/>
    <col min="4600" max="4609" width="12.7109375" style="2" customWidth="1"/>
    <col min="4610" max="4855" width="9.140625" style="2"/>
    <col min="4856" max="4865" width="12.7109375" style="2" customWidth="1"/>
    <col min="4866" max="5111" width="9.140625" style="2"/>
    <col min="5112" max="5121" width="12.7109375" style="2" customWidth="1"/>
    <col min="5122" max="5367" width="9.140625" style="2"/>
    <col min="5368" max="5377" width="12.7109375" style="2" customWidth="1"/>
    <col min="5378" max="5623" width="9.140625" style="2"/>
    <col min="5624" max="5633" width="12.7109375" style="2" customWidth="1"/>
    <col min="5634" max="5879" width="9.140625" style="2"/>
    <col min="5880" max="5889" width="12.7109375" style="2" customWidth="1"/>
    <col min="5890" max="6135" width="9.140625" style="2"/>
    <col min="6136" max="6145" width="12.7109375" style="2" customWidth="1"/>
    <col min="6146" max="6391" width="9.140625" style="2"/>
    <col min="6392" max="6401" width="12.7109375" style="2" customWidth="1"/>
    <col min="6402" max="6647" width="9.140625" style="2"/>
    <col min="6648" max="6657" width="12.7109375" style="2" customWidth="1"/>
    <col min="6658" max="6903" width="9.140625" style="2"/>
    <col min="6904" max="6913" width="12.7109375" style="2" customWidth="1"/>
    <col min="6914" max="7159" width="9.140625" style="2"/>
    <col min="7160" max="7169" width="12.7109375" style="2" customWidth="1"/>
    <col min="7170" max="7415" width="9.140625" style="2"/>
    <col min="7416" max="7425" width="12.7109375" style="2" customWidth="1"/>
    <col min="7426" max="7671" width="9.140625" style="2"/>
    <col min="7672" max="7681" width="12.7109375" style="2" customWidth="1"/>
    <col min="7682" max="7927" width="9.140625" style="2"/>
    <col min="7928" max="7937" width="12.7109375" style="2" customWidth="1"/>
    <col min="7938" max="8183" width="9.140625" style="2"/>
    <col min="8184" max="8193" width="12.7109375" style="2" customWidth="1"/>
    <col min="8194" max="8439" width="9.140625" style="2"/>
    <col min="8440" max="8449" width="12.7109375" style="2" customWidth="1"/>
    <col min="8450" max="8695" width="9.140625" style="2"/>
    <col min="8696" max="8705" width="12.7109375" style="2" customWidth="1"/>
    <col min="8706" max="8951" width="9.140625" style="2"/>
    <col min="8952" max="8961" width="12.7109375" style="2" customWidth="1"/>
    <col min="8962" max="9207" width="9.140625" style="2"/>
    <col min="9208" max="9217" width="12.7109375" style="2" customWidth="1"/>
    <col min="9218" max="9463" width="9.140625" style="2"/>
    <col min="9464" max="9473" width="12.7109375" style="2" customWidth="1"/>
    <col min="9474" max="9719" width="9.140625" style="2"/>
    <col min="9720" max="9729" width="12.7109375" style="2" customWidth="1"/>
    <col min="9730" max="9975" width="9.140625" style="2"/>
    <col min="9976" max="9985" width="12.7109375" style="2" customWidth="1"/>
    <col min="9986" max="10231" width="9.140625" style="2"/>
    <col min="10232" max="10241" width="12.7109375" style="2" customWidth="1"/>
    <col min="10242" max="10487" width="9.140625" style="2"/>
    <col min="10488" max="10497" width="12.7109375" style="2" customWidth="1"/>
    <col min="10498" max="10743" width="9.140625" style="2"/>
    <col min="10744" max="10753" width="12.7109375" style="2" customWidth="1"/>
    <col min="10754" max="10999" width="9.140625" style="2"/>
    <col min="11000" max="11009" width="12.7109375" style="2" customWidth="1"/>
    <col min="11010" max="11255" width="9.140625" style="2"/>
    <col min="11256" max="11265" width="12.7109375" style="2" customWidth="1"/>
    <col min="11266" max="11511" width="9.140625" style="2"/>
    <col min="11512" max="11521" width="12.7109375" style="2" customWidth="1"/>
    <col min="11522" max="11767" width="9.140625" style="2"/>
    <col min="11768" max="11777" width="12.7109375" style="2" customWidth="1"/>
    <col min="11778" max="12023" width="9.140625" style="2"/>
    <col min="12024" max="12033" width="12.7109375" style="2" customWidth="1"/>
    <col min="12034" max="12279" width="9.140625" style="2"/>
    <col min="12280" max="12289" width="12.7109375" style="2" customWidth="1"/>
    <col min="12290" max="12535" width="9.140625" style="2"/>
    <col min="12536" max="12545" width="12.7109375" style="2" customWidth="1"/>
    <col min="12546" max="12791" width="9.140625" style="2"/>
    <col min="12792" max="12801" width="12.7109375" style="2" customWidth="1"/>
    <col min="12802" max="13047" width="9.140625" style="2"/>
    <col min="13048" max="13057" width="12.7109375" style="2" customWidth="1"/>
    <col min="13058" max="13303" width="9.140625" style="2"/>
    <col min="13304" max="13313" width="12.7109375" style="2" customWidth="1"/>
    <col min="13314" max="13559" width="9.140625" style="2"/>
    <col min="13560" max="13569" width="12.7109375" style="2" customWidth="1"/>
    <col min="13570" max="13815" width="9.140625" style="2"/>
    <col min="13816" max="13825" width="12.7109375" style="2" customWidth="1"/>
    <col min="13826" max="14071" width="9.140625" style="2"/>
    <col min="14072" max="14081" width="12.7109375" style="2" customWidth="1"/>
    <col min="14082" max="14327" width="9.140625" style="2"/>
    <col min="14328" max="14337" width="12.7109375" style="2" customWidth="1"/>
    <col min="14338" max="14583" width="9.140625" style="2"/>
    <col min="14584" max="14593" width="12.7109375" style="2" customWidth="1"/>
    <col min="14594" max="14839" width="9.140625" style="2"/>
    <col min="14840" max="14849" width="12.7109375" style="2" customWidth="1"/>
    <col min="14850" max="15095" width="9.140625" style="2"/>
    <col min="15096" max="15105" width="12.7109375" style="2" customWidth="1"/>
    <col min="15106" max="15351" width="9.140625" style="2"/>
    <col min="15352" max="15361" width="12.7109375" style="2" customWidth="1"/>
    <col min="15362" max="15607" width="9.140625" style="2"/>
    <col min="15608" max="15617" width="12.7109375" style="2" customWidth="1"/>
    <col min="15618" max="15863" width="9.140625" style="2"/>
    <col min="15864" max="15873" width="12.7109375" style="2" customWidth="1"/>
    <col min="15874" max="16119" width="9.140625" style="2"/>
    <col min="16120" max="16129" width="12.7109375" style="2" customWidth="1"/>
    <col min="16130" max="16384" width="9.140625" style="2"/>
  </cols>
  <sheetData>
    <row r="1" spans="1:13" x14ac:dyDescent="0.25">
      <c r="A1" s="4" t="str">
        <f>Inputs!A1</f>
        <v>Pfizer</v>
      </c>
    </row>
    <row r="2" spans="1:13" x14ac:dyDescent="0.25">
      <c r="A2" s="5" t="s">
        <v>492</v>
      </c>
    </row>
    <row r="3" spans="1:13" x14ac:dyDescent="0.25">
      <c r="A3" s="4"/>
    </row>
    <row r="4" spans="1:13" s="68" customFormat="1" ht="15.75" thickBot="1" x14ac:dyDescent="0.3">
      <c r="A4" s="74" t="str">
        <f>CONCATENATE("Fiscal Years Ending ",Inputs!B7)</f>
        <v>Fiscal Years Ending Dec. 31</v>
      </c>
      <c r="B4" s="75"/>
      <c r="C4" s="76">
        <v>2012</v>
      </c>
      <c r="D4" s="76">
        <v>2013</v>
      </c>
      <c r="E4" s="76">
        <v>2014</v>
      </c>
      <c r="F4" s="76">
        <v>2015</v>
      </c>
      <c r="G4" s="76">
        <v>2016</v>
      </c>
      <c r="H4" s="76">
        <v>2017</v>
      </c>
      <c r="I4" s="76">
        <v>2018</v>
      </c>
      <c r="J4" s="76">
        <v>2019</v>
      </c>
      <c r="K4" s="76">
        <v>2020</v>
      </c>
      <c r="L4" s="76">
        <v>2021</v>
      </c>
      <c r="M4" s="76">
        <v>2022</v>
      </c>
    </row>
    <row r="5" spans="1:13" x14ac:dyDescent="0.25">
      <c r="A5" s="6" t="s">
        <v>493</v>
      </c>
      <c r="B5" s="6">
        <v>1</v>
      </c>
      <c r="C5" s="69"/>
      <c r="D5" s="69"/>
      <c r="E5" s="69"/>
      <c r="F5" s="69"/>
      <c r="G5" s="69">
        <v>220</v>
      </c>
      <c r="H5" s="69">
        <v>209</v>
      </c>
      <c r="I5" s="69">
        <v>300</v>
      </c>
      <c r="J5" s="69">
        <v>323</v>
      </c>
      <c r="K5" s="69">
        <v>357</v>
      </c>
      <c r="L5" s="69">
        <v>520</v>
      </c>
      <c r="M5" s="69">
        <v>662</v>
      </c>
    </row>
    <row r="6" spans="1:13" x14ac:dyDescent="0.25">
      <c r="A6" s="6" t="s">
        <v>493</v>
      </c>
      <c r="B6" s="6">
        <v>2</v>
      </c>
      <c r="C6" s="69"/>
      <c r="D6" s="69"/>
      <c r="E6" s="69"/>
      <c r="F6" s="69"/>
      <c r="G6" s="69">
        <v>188</v>
      </c>
      <c r="H6" s="69">
        <v>172</v>
      </c>
      <c r="I6" s="69">
        <v>252</v>
      </c>
      <c r="J6" s="69">
        <v>286</v>
      </c>
      <c r="K6" s="69">
        <v>299</v>
      </c>
      <c r="L6" s="69">
        <v>417</v>
      </c>
      <c r="M6" s="69">
        <v>489</v>
      </c>
    </row>
    <row r="7" spans="1:13" x14ac:dyDescent="0.25">
      <c r="A7" s="6" t="s">
        <v>493</v>
      </c>
      <c r="B7" s="6">
        <v>3</v>
      </c>
      <c r="C7" s="69"/>
      <c r="D7" s="69"/>
      <c r="E7" s="69"/>
      <c r="F7" s="69"/>
      <c r="G7" s="69">
        <v>163</v>
      </c>
      <c r="H7" s="69">
        <v>150</v>
      </c>
      <c r="I7" s="69">
        <v>210</v>
      </c>
      <c r="J7" s="69">
        <v>220</v>
      </c>
      <c r="K7" s="69">
        <v>250</v>
      </c>
      <c r="L7" s="69">
        <v>322</v>
      </c>
      <c r="M7" s="69">
        <v>356</v>
      </c>
    </row>
    <row r="8" spans="1:13" x14ac:dyDescent="0.25">
      <c r="A8" s="6" t="s">
        <v>493</v>
      </c>
      <c r="B8" s="6">
        <v>4</v>
      </c>
      <c r="C8" s="69"/>
      <c r="D8" s="69"/>
      <c r="E8" s="69"/>
      <c r="F8" s="69"/>
      <c r="G8" s="69">
        <v>138</v>
      </c>
      <c r="H8" s="69">
        <v>136</v>
      </c>
      <c r="I8" s="69">
        <v>267</v>
      </c>
      <c r="J8" s="69">
        <v>180</v>
      </c>
      <c r="K8" s="69">
        <v>167</v>
      </c>
      <c r="L8" s="69">
        <v>279</v>
      </c>
      <c r="M8" s="69">
        <v>300</v>
      </c>
    </row>
    <row r="9" spans="1:13" x14ac:dyDescent="0.25">
      <c r="A9" s="6" t="s">
        <v>493</v>
      </c>
      <c r="B9" s="6">
        <v>5</v>
      </c>
      <c r="C9" s="69"/>
      <c r="D9" s="69"/>
      <c r="E9" s="69"/>
      <c r="F9" s="69"/>
      <c r="G9" s="69">
        <v>125</v>
      </c>
      <c r="H9" s="69">
        <v>123</v>
      </c>
      <c r="I9" s="69">
        <v>248</v>
      </c>
      <c r="J9" s="69">
        <v>97</v>
      </c>
      <c r="K9" s="69">
        <v>137</v>
      </c>
      <c r="L9" s="69">
        <v>217</v>
      </c>
      <c r="M9" s="69">
        <v>246</v>
      </c>
    </row>
    <row r="10" spans="1:13" x14ac:dyDescent="0.25">
      <c r="A10" s="35" t="s">
        <v>494</v>
      </c>
      <c r="B10" s="36"/>
      <c r="C10" s="70"/>
      <c r="D10" s="70"/>
      <c r="E10" s="70"/>
      <c r="F10" s="70"/>
      <c r="G10" s="70">
        <v>967</v>
      </c>
      <c r="H10" s="70">
        <v>891</v>
      </c>
      <c r="I10" s="70">
        <v>2040</v>
      </c>
      <c r="J10" s="70">
        <v>424</v>
      </c>
      <c r="K10" s="70">
        <v>408</v>
      </c>
      <c r="L10" s="70">
        <v>1865</v>
      </c>
      <c r="M10" s="70">
        <v>1791</v>
      </c>
    </row>
    <row r="11" spans="1:13" x14ac:dyDescent="0.25">
      <c r="A11" s="6" t="s">
        <v>495</v>
      </c>
      <c r="C11" s="40"/>
      <c r="D11" s="40"/>
      <c r="E11" s="40"/>
      <c r="F11" s="40"/>
      <c r="G11" s="40">
        <f t="shared" ref="G11:M11" si="0">SUM(G5:G10)</f>
        <v>1801</v>
      </c>
      <c r="H11" s="40">
        <f t="shared" si="0"/>
        <v>1681</v>
      </c>
      <c r="I11" s="40">
        <f t="shared" si="0"/>
        <v>3317</v>
      </c>
      <c r="J11" s="40">
        <f t="shared" si="0"/>
        <v>1530</v>
      </c>
      <c r="K11" s="40">
        <f t="shared" si="0"/>
        <v>1618</v>
      </c>
      <c r="L11" s="40">
        <f t="shared" si="0"/>
        <v>3620</v>
      </c>
      <c r="M11" s="40">
        <f t="shared" si="0"/>
        <v>3844</v>
      </c>
    </row>
    <row r="12" spans="1:13" x14ac:dyDescent="0.25">
      <c r="A12" s="35" t="s">
        <v>496</v>
      </c>
      <c r="B12" s="36"/>
      <c r="C12" s="71"/>
      <c r="D12" s="71"/>
      <c r="E12" s="71"/>
      <c r="F12" s="71"/>
      <c r="G12" s="71">
        <f>G11-G13</f>
        <v>519.68064758016158</v>
      </c>
      <c r="H12" s="71">
        <f t="shared" ref="H12:M12" si="1">H11-H13</f>
        <v>475.87361455853124</v>
      </c>
      <c r="I12" s="71">
        <f t="shared" si="1"/>
        <v>1056.487081054428</v>
      </c>
      <c r="J12" s="71">
        <f t="shared" si="1"/>
        <v>298.0942759149475</v>
      </c>
      <c r="K12" s="71">
        <f t="shared" si="1"/>
        <v>297.46641790306649</v>
      </c>
      <c r="L12" s="71">
        <f t="shared" si="1"/>
        <v>1036.2107723265299</v>
      </c>
      <c r="M12" s="71">
        <f t="shared" si="1"/>
        <v>1000.8151399969229</v>
      </c>
    </row>
    <row r="13" spans="1:13" s="1" customFormat="1" x14ac:dyDescent="0.25">
      <c r="A13" s="4" t="s">
        <v>497</v>
      </c>
      <c r="C13" s="119"/>
      <c r="D13" s="119"/>
      <c r="E13" s="119"/>
      <c r="F13" s="119"/>
      <c r="G13" s="119">
        <f t="shared" ref="G13:L13" si="2">G28</f>
        <v>1281.3193524198384</v>
      </c>
      <c r="H13" s="119">
        <f t="shared" si="2"/>
        <v>1205.1263854414688</v>
      </c>
      <c r="I13" s="119">
        <f t="shared" si="2"/>
        <v>2260.512918945572</v>
      </c>
      <c r="J13" s="119">
        <f t="shared" si="2"/>
        <v>1231.9057240850525</v>
      </c>
      <c r="K13" s="119">
        <f t="shared" si="2"/>
        <v>1320.5335820969335</v>
      </c>
      <c r="L13" s="119">
        <f t="shared" si="2"/>
        <v>2583.7892276734701</v>
      </c>
      <c r="M13" s="119">
        <f>M28</f>
        <v>2843.1848600030771</v>
      </c>
    </row>
    <row r="14" spans="1:13" s="1" customFormat="1" x14ac:dyDescent="0.25">
      <c r="A14" s="4"/>
      <c r="C14" s="72"/>
      <c r="D14" s="72"/>
      <c r="E14" s="72"/>
      <c r="F14" s="72"/>
      <c r="G14" s="72"/>
      <c r="H14" s="72"/>
      <c r="I14" s="72"/>
      <c r="J14" s="72"/>
      <c r="K14" s="72"/>
      <c r="L14" s="72"/>
      <c r="M14" s="72"/>
    </row>
    <row r="15" spans="1:13" s="1" customFormat="1" x14ac:dyDescent="0.25">
      <c r="A15" s="4" t="s">
        <v>498</v>
      </c>
      <c r="C15" s="72"/>
      <c r="D15" s="72"/>
      <c r="E15" s="72"/>
      <c r="F15" s="72"/>
      <c r="G15" s="72">
        <f t="shared" ref="G15:M15" si="3">F13*G17</f>
        <v>0</v>
      </c>
      <c r="H15" s="72">
        <f t="shared" si="3"/>
        <v>76.494765339464351</v>
      </c>
      <c r="I15" s="72">
        <f t="shared" si="3"/>
        <v>71.946045210855686</v>
      </c>
      <c r="J15" s="72">
        <f t="shared" si="3"/>
        <v>134.95262126105067</v>
      </c>
      <c r="K15" s="72">
        <f t="shared" si="3"/>
        <v>73.544771727877631</v>
      </c>
      <c r="L15" s="72">
        <f t="shared" si="3"/>
        <v>78.835854851186937</v>
      </c>
      <c r="M15" s="72">
        <f t="shared" si="3"/>
        <v>154.25221689210616</v>
      </c>
    </row>
    <row r="16" spans="1:13" x14ac:dyDescent="0.25">
      <c r="A16" s="4"/>
    </row>
    <row r="17" spans="1:13" x14ac:dyDescent="0.25">
      <c r="A17" s="6" t="s">
        <v>11</v>
      </c>
      <c r="C17" s="37"/>
      <c r="D17" s="37"/>
      <c r="E17" s="37"/>
      <c r="F17" s="37"/>
      <c r="G17" s="37">
        <f>Inputs!$B$10</f>
        <v>5.9700000000000003E-2</v>
      </c>
      <c r="H17" s="37">
        <f>Inputs!$B$10</f>
        <v>5.9700000000000003E-2</v>
      </c>
      <c r="I17" s="37">
        <f>Inputs!$B$10</f>
        <v>5.9700000000000003E-2</v>
      </c>
      <c r="J17" s="37">
        <f>Inputs!$B$10</f>
        <v>5.9700000000000003E-2</v>
      </c>
      <c r="K17" s="37">
        <f>Inputs!$B$10</f>
        <v>5.9700000000000003E-2</v>
      </c>
      <c r="L17" s="37">
        <f>Inputs!$B$10</f>
        <v>5.9700000000000003E-2</v>
      </c>
      <c r="M17" s="37">
        <f>Inputs!$B$10</f>
        <v>5.9700000000000003E-2</v>
      </c>
    </row>
    <row r="18" spans="1:13" x14ac:dyDescent="0.25">
      <c r="A18" s="6" t="s">
        <v>499</v>
      </c>
      <c r="C18" s="40"/>
      <c r="D18" s="40"/>
      <c r="E18" s="40"/>
      <c r="F18" s="40"/>
      <c r="G18" s="40">
        <f t="shared" ref="G18:M18" si="4">IF(G10/G9&gt;1,G10/G9,1)</f>
        <v>7.7359999999999998</v>
      </c>
      <c r="H18" s="40">
        <f t="shared" si="4"/>
        <v>7.2439024390243905</v>
      </c>
      <c r="I18" s="40">
        <f t="shared" si="4"/>
        <v>8.2258064516129039</v>
      </c>
      <c r="J18" s="40">
        <f t="shared" si="4"/>
        <v>4.3711340206185563</v>
      </c>
      <c r="K18" s="40">
        <f t="shared" si="4"/>
        <v>2.9781021897810218</v>
      </c>
      <c r="L18" s="40">
        <f t="shared" si="4"/>
        <v>8.5944700460829502</v>
      </c>
      <c r="M18" s="40">
        <f t="shared" si="4"/>
        <v>7.2804878048780486</v>
      </c>
    </row>
    <row r="19" spans="1:13" x14ac:dyDescent="0.25">
      <c r="A19" s="6" t="s">
        <v>500</v>
      </c>
      <c r="G19" s="31">
        <f t="shared" ref="G19:M19" si="5">IF(G10&gt;0,IF(G18&gt;1,G10/G18,G10),0)</f>
        <v>125</v>
      </c>
      <c r="H19" s="31">
        <f t="shared" si="5"/>
        <v>123</v>
      </c>
      <c r="I19" s="31">
        <f t="shared" si="5"/>
        <v>247.99999999999997</v>
      </c>
      <c r="J19" s="31">
        <f t="shared" si="5"/>
        <v>97.000000000000014</v>
      </c>
      <c r="K19" s="31">
        <f t="shared" si="5"/>
        <v>137</v>
      </c>
      <c r="L19" s="31">
        <f t="shared" si="5"/>
        <v>216.99999999999997</v>
      </c>
      <c r="M19" s="31">
        <f t="shared" si="5"/>
        <v>246</v>
      </c>
    </row>
    <row r="21" spans="1:13" s="36" customFormat="1" x14ac:dyDescent="0.25">
      <c r="A21" s="35" t="s">
        <v>501</v>
      </c>
    </row>
    <row r="22" spans="1:13" x14ac:dyDescent="0.25">
      <c r="A22" s="6" t="s">
        <v>502</v>
      </c>
      <c r="C22" s="38"/>
      <c r="D22" s="38"/>
      <c r="E22" s="38"/>
      <c r="F22" s="38"/>
      <c r="G22" s="38">
        <f t="shared" ref="G22:M22" si="6">G5/(1+G17)^$B$5</f>
        <v>207.60592620552984</v>
      </c>
      <c r="H22" s="38">
        <f t="shared" si="6"/>
        <v>197.22562989525335</v>
      </c>
      <c r="I22" s="38">
        <f t="shared" si="6"/>
        <v>283.09899028026797</v>
      </c>
      <c r="J22" s="38">
        <f t="shared" si="6"/>
        <v>304.8032462017552</v>
      </c>
      <c r="K22" s="38">
        <f t="shared" si="6"/>
        <v>336.88779843351887</v>
      </c>
      <c r="L22" s="38">
        <f t="shared" si="6"/>
        <v>490.70491648579781</v>
      </c>
      <c r="M22" s="38">
        <f t="shared" si="6"/>
        <v>624.70510521845802</v>
      </c>
    </row>
    <row r="23" spans="1:13" x14ac:dyDescent="0.25">
      <c r="A23" s="6" t="s">
        <v>503</v>
      </c>
      <c r="C23" s="38"/>
      <c r="D23" s="38"/>
      <c r="E23" s="38"/>
      <c r="F23" s="38"/>
      <c r="G23" s="38">
        <f t="shared" ref="G23:M23" si="7">G6/(1+G17)^$B$6</f>
        <v>167.41407999965517</v>
      </c>
      <c r="H23" s="38">
        <f t="shared" si="7"/>
        <v>153.16607319117387</v>
      </c>
      <c r="I23" s="38">
        <f t="shared" si="7"/>
        <v>224.40610723358034</v>
      </c>
      <c r="J23" s="38">
        <f t="shared" si="7"/>
        <v>254.68312170160308</v>
      </c>
      <c r="K23" s="38">
        <f t="shared" si="7"/>
        <v>266.25962723349414</v>
      </c>
      <c r="L23" s="38">
        <f t="shared" si="7"/>
        <v>371.33867744604368</v>
      </c>
      <c r="M23" s="38">
        <f t="shared" si="7"/>
        <v>435.45470808420947</v>
      </c>
    </row>
    <row r="24" spans="1:13" x14ac:dyDescent="0.25">
      <c r="A24" s="6" t="s">
        <v>504</v>
      </c>
      <c r="C24" s="38"/>
      <c r="D24" s="38"/>
      <c r="E24" s="38"/>
      <c r="F24" s="38"/>
      <c r="G24" s="38">
        <f t="shared" ref="G24:M24" si="8">G7/(1+G17)^$B$7</f>
        <v>136.97420907936504</v>
      </c>
      <c r="H24" s="38">
        <f t="shared" si="8"/>
        <v>126.04988565585741</v>
      </c>
      <c r="I24" s="38">
        <f t="shared" si="8"/>
        <v>176.46983991820036</v>
      </c>
      <c r="J24" s="38">
        <f t="shared" si="8"/>
        <v>184.87316562859087</v>
      </c>
      <c r="K24" s="38">
        <f t="shared" si="8"/>
        <v>210.08314275976235</v>
      </c>
      <c r="L24" s="38">
        <f t="shared" si="8"/>
        <v>270.58708787457391</v>
      </c>
      <c r="M24" s="38">
        <f t="shared" si="8"/>
        <v>299.15839528990159</v>
      </c>
    </row>
    <row r="25" spans="1:13" x14ac:dyDescent="0.25">
      <c r="A25" s="6" t="s">
        <v>505</v>
      </c>
      <c r="C25" s="38"/>
      <c r="D25" s="38"/>
      <c r="E25" s="38"/>
      <c r="F25" s="38"/>
      <c r="G25" s="38">
        <f t="shared" ref="G25:M25" si="9">G8/(1+G17)^$B$8</f>
        <v>109.43275908595717</v>
      </c>
      <c r="H25" s="38">
        <f t="shared" si="9"/>
        <v>107.84677707021866</v>
      </c>
      <c r="I25" s="38">
        <f t="shared" si="9"/>
        <v>211.72859910109105</v>
      </c>
      <c r="J25" s="38">
        <f t="shared" si="9"/>
        <v>142.73838141646587</v>
      </c>
      <c r="K25" s="38">
        <f t="shared" si="9"/>
        <v>132.42949831416556</v>
      </c>
      <c r="L25" s="38">
        <f t="shared" si="9"/>
        <v>221.2444911955221</v>
      </c>
      <c r="M25" s="38">
        <f t="shared" si="9"/>
        <v>237.89730236077645</v>
      </c>
    </row>
    <row r="26" spans="1:13" x14ac:dyDescent="0.25">
      <c r="A26" s="6" t="s">
        <v>506</v>
      </c>
      <c r="C26" s="38"/>
      <c r="D26" s="38"/>
      <c r="E26" s="38"/>
      <c r="F26" s="38"/>
      <c r="G26" s="38">
        <f t="shared" ref="G26:M26" si="10">G9/(1+G17)^$B$9</f>
        <v>93.53956401213253</v>
      </c>
      <c r="H26" s="38">
        <f t="shared" si="10"/>
        <v>92.042930987938405</v>
      </c>
      <c r="I26" s="38">
        <f t="shared" si="10"/>
        <v>185.58249500007094</v>
      </c>
      <c r="J26" s="38">
        <f t="shared" si="10"/>
        <v>72.586701673414851</v>
      </c>
      <c r="K26" s="38">
        <f t="shared" si="10"/>
        <v>102.51936215729725</v>
      </c>
      <c r="L26" s="38">
        <f t="shared" si="10"/>
        <v>162.38468312506208</v>
      </c>
      <c r="M26" s="38">
        <f t="shared" si="10"/>
        <v>184.08586197587681</v>
      </c>
    </row>
    <row r="27" spans="1:13" x14ac:dyDescent="0.25">
      <c r="A27" s="35" t="s">
        <v>507</v>
      </c>
      <c r="B27" s="36"/>
      <c r="C27" s="39"/>
      <c r="D27" s="39"/>
      <c r="E27" s="39"/>
      <c r="F27" s="39"/>
      <c r="G27" s="39">
        <f t="shared" ref="G27:M27" si="11">IF(G18&gt;0,(G19*(1-(1+G17)^(-G18))/G17)/(1+G17)^5,G19/(1+G17)^6)</f>
        <v>566.35281403719864</v>
      </c>
      <c r="H27" s="39">
        <f t="shared" si="11"/>
        <v>528.79508864102706</v>
      </c>
      <c r="I27" s="39">
        <f t="shared" si="11"/>
        <v>1179.2268874123613</v>
      </c>
      <c r="J27" s="39">
        <f t="shared" si="11"/>
        <v>272.22110746322261</v>
      </c>
      <c r="K27" s="39">
        <f t="shared" si="11"/>
        <v>272.35415319869531</v>
      </c>
      <c r="L27" s="39">
        <f t="shared" si="11"/>
        <v>1067.5293715464704</v>
      </c>
      <c r="M27" s="39">
        <f t="shared" si="11"/>
        <v>1061.8834870738547</v>
      </c>
    </row>
    <row r="28" spans="1:13" x14ac:dyDescent="0.25">
      <c r="A28" s="6" t="s">
        <v>508</v>
      </c>
      <c r="C28" s="40"/>
      <c r="D28" s="40"/>
      <c r="E28" s="40"/>
      <c r="F28" s="40"/>
      <c r="G28" s="40">
        <f t="shared" ref="G28:M28" si="12">SUM(G22:G27)</f>
        <v>1281.3193524198384</v>
      </c>
      <c r="H28" s="40">
        <f t="shared" si="12"/>
        <v>1205.1263854414688</v>
      </c>
      <c r="I28" s="40">
        <f t="shared" si="12"/>
        <v>2260.512918945572</v>
      </c>
      <c r="J28" s="40">
        <f t="shared" si="12"/>
        <v>1231.9057240850525</v>
      </c>
      <c r="K28" s="40">
        <f t="shared" si="12"/>
        <v>1320.5335820969335</v>
      </c>
      <c r="L28" s="40">
        <f t="shared" si="12"/>
        <v>2583.7892276734701</v>
      </c>
      <c r="M28" s="40">
        <f t="shared" si="12"/>
        <v>2843.1848600030771</v>
      </c>
    </row>
    <row r="32" spans="1:13" x14ac:dyDescent="0.25">
      <c r="A32" s="147" t="s">
        <v>470</v>
      </c>
    </row>
    <row r="33" spans="1:2" x14ac:dyDescent="0.25">
      <c r="A33" s="6" t="s">
        <v>509</v>
      </c>
      <c r="B33" s="6"/>
    </row>
    <row r="34" spans="1:2" x14ac:dyDescent="0.25">
      <c r="A34" s="6" t="s">
        <v>510</v>
      </c>
    </row>
    <row r="35" spans="1:2" x14ac:dyDescent="0.25">
      <c r="A35" s="6" t="s">
        <v>511</v>
      </c>
    </row>
    <row r="36" spans="1:2" x14ac:dyDescent="0.25">
      <c r="A36" s="6" t="s">
        <v>512</v>
      </c>
    </row>
    <row r="37" spans="1:2" x14ac:dyDescent="0.25">
      <c r="A37" s="6" t="s">
        <v>513</v>
      </c>
    </row>
  </sheetData>
  <pageMargins left="0.7" right="0.7" top="0.75" bottom="0.75" header="0.3" footer="0.3"/>
  <pageSetup scale="80" orientation="landscape"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0">
    <pageSetUpPr fitToPage="1"/>
  </sheetPr>
  <dimension ref="A1:O31"/>
  <sheetViews>
    <sheetView workbookViewId="0"/>
  </sheetViews>
  <sheetFormatPr defaultColWidth="9.140625" defaultRowHeight="15" x14ac:dyDescent="0.25"/>
  <cols>
    <col min="1" max="2" width="10.7109375" style="2" customWidth="1"/>
    <col min="3" max="3" width="9.140625" style="2"/>
    <col min="4" max="4" width="10.7109375" style="2" customWidth="1"/>
    <col min="5" max="7" width="11.28515625" style="2" customWidth="1"/>
    <col min="8" max="8" width="11" style="2" customWidth="1"/>
    <col min="9" max="14" width="11.28515625" style="2" customWidth="1"/>
    <col min="15" max="16384" width="9.140625" style="2"/>
  </cols>
  <sheetData>
    <row r="1" spans="1:15" x14ac:dyDescent="0.25">
      <c r="A1" s="1" t="str">
        <f>Inputs!A1</f>
        <v>Pfizer</v>
      </c>
    </row>
    <row r="2" spans="1:15" s="3" customFormat="1" x14ac:dyDescent="0.25">
      <c r="A2" s="3" t="s">
        <v>514</v>
      </c>
    </row>
    <row r="4" spans="1:15" x14ac:dyDescent="0.25">
      <c r="A4" s="2" t="s">
        <v>515</v>
      </c>
      <c r="E4" s="33">
        <f>ESOP!B22/1000000</f>
        <v>35.28</v>
      </c>
      <c r="F4" s="254"/>
    </row>
    <row r="5" spans="1:15" x14ac:dyDescent="0.25">
      <c r="A5" s="2" t="s">
        <v>516</v>
      </c>
      <c r="E5" s="51">
        <f>ESOP!D22</f>
        <v>2.1</v>
      </c>
    </row>
    <row r="6" spans="1:15" x14ac:dyDescent="0.25">
      <c r="A6" s="2" t="s">
        <v>517</v>
      </c>
      <c r="E6" s="33">
        <f>E4/E5</f>
        <v>16.8</v>
      </c>
    </row>
    <row r="8" spans="1:15" x14ac:dyDescent="0.25">
      <c r="A8" s="2" t="s">
        <v>518</v>
      </c>
      <c r="E8" s="41">
        <f>ESOP!C22</f>
        <v>31.47</v>
      </c>
    </row>
    <row r="9" spans="1:15" x14ac:dyDescent="0.25">
      <c r="A9" s="2" t="s">
        <v>399</v>
      </c>
      <c r="E9" s="43">
        <f>Inputs!B19</f>
        <v>7.5855000000000006E-2</v>
      </c>
    </row>
    <row r="10" spans="1:15" x14ac:dyDescent="0.25">
      <c r="A10" s="2" t="s">
        <v>519</v>
      </c>
      <c r="E10" s="62">
        <f>Inputs!B5</f>
        <v>29.48</v>
      </c>
      <c r="F10" s="254"/>
    </row>
    <row r="12" spans="1:15" ht="15.75" thickBot="1" x14ac:dyDescent="0.3">
      <c r="A12" s="111" t="str">
        <f>CONCATENATE("Fiscal Years Ending ",Inputs!B7)</f>
        <v>Fiscal Years Ending Dec. 31</v>
      </c>
      <c r="B12" s="104"/>
      <c r="C12" s="104"/>
      <c r="D12" s="104"/>
      <c r="E12" s="81" t="s">
        <v>28</v>
      </c>
      <c r="F12" s="81" t="s">
        <v>29</v>
      </c>
      <c r="G12" s="81" t="s">
        <v>30</v>
      </c>
      <c r="H12" s="81" t="s">
        <v>31</v>
      </c>
      <c r="I12" s="81" t="s">
        <v>32</v>
      </c>
      <c r="J12" s="81" t="s">
        <v>33</v>
      </c>
      <c r="K12" s="81" t="s">
        <v>34</v>
      </c>
      <c r="L12" s="81" t="s">
        <v>35</v>
      </c>
      <c r="M12" s="281"/>
      <c r="N12" s="281"/>
    </row>
    <row r="13" spans="1:15" x14ac:dyDescent="0.25">
      <c r="A13" s="2" t="s">
        <v>520</v>
      </c>
      <c r="E13" s="33">
        <f>$E$6</f>
        <v>16.8</v>
      </c>
      <c r="F13" s="33">
        <f t="shared" ref="F13" si="0">$E$6</f>
        <v>16.8</v>
      </c>
      <c r="G13" s="33">
        <f>$E$6*0.1</f>
        <v>1.6800000000000002</v>
      </c>
      <c r="H13" s="33"/>
      <c r="I13" s="33"/>
      <c r="J13" s="33"/>
      <c r="K13" s="33"/>
      <c r="L13" s="33"/>
      <c r="M13" s="33"/>
      <c r="N13" s="33"/>
      <c r="O13" s="254"/>
    </row>
    <row r="14" spans="1:15" x14ac:dyDescent="0.25">
      <c r="A14" s="2" t="s">
        <v>521</v>
      </c>
      <c r="E14" s="52">
        <f>E8</f>
        <v>31.47</v>
      </c>
      <c r="F14" s="52">
        <f>E14</f>
        <v>31.47</v>
      </c>
      <c r="G14" s="52">
        <f t="shared" ref="G14" si="1">F14</f>
        <v>31.47</v>
      </c>
      <c r="H14" s="52">
        <f t="shared" ref="H14" si="2">G14</f>
        <v>31.47</v>
      </c>
      <c r="I14" s="52">
        <f t="shared" ref="I14" si="3">H14</f>
        <v>31.47</v>
      </c>
      <c r="J14" s="52">
        <f t="shared" ref="J14" si="4">I14</f>
        <v>31.47</v>
      </c>
      <c r="K14" s="52">
        <f t="shared" ref="K14" si="5">J14</f>
        <v>31.47</v>
      </c>
      <c r="L14" s="52">
        <f t="shared" ref="L14" si="6">K14</f>
        <v>31.47</v>
      </c>
      <c r="M14" s="41"/>
      <c r="N14" s="41"/>
    </row>
    <row r="15" spans="1:15" s="1" customFormat="1" x14ac:dyDescent="0.25">
      <c r="A15" s="1" t="s">
        <v>522</v>
      </c>
      <c r="E15" s="56">
        <f t="shared" ref="E15:L15" si="7">E13*E14</f>
        <v>528.69600000000003</v>
      </c>
      <c r="F15" s="56">
        <f t="shared" si="7"/>
        <v>528.69600000000003</v>
      </c>
      <c r="G15" s="56">
        <f t="shared" si="7"/>
        <v>52.869600000000005</v>
      </c>
      <c r="H15" s="56">
        <f t="shared" si="7"/>
        <v>0</v>
      </c>
      <c r="I15" s="56">
        <f t="shared" si="7"/>
        <v>0</v>
      </c>
      <c r="J15" s="56">
        <f t="shared" si="7"/>
        <v>0</v>
      </c>
      <c r="K15" s="56">
        <f t="shared" si="7"/>
        <v>0</v>
      </c>
      <c r="L15" s="56">
        <f t="shared" si="7"/>
        <v>0</v>
      </c>
      <c r="M15" s="562"/>
      <c r="N15" s="562"/>
    </row>
    <row r="17" spans="1:15" x14ac:dyDescent="0.25">
      <c r="A17" s="2" t="s">
        <v>523</v>
      </c>
      <c r="E17" s="33">
        <f>(BS_Sorted!M46-BS_Sorted!L46)</f>
        <v>0</v>
      </c>
      <c r="F17" s="33">
        <f>(BS_Sorted!N46-BS_Sorted!M46)</f>
        <v>250</v>
      </c>
      <c r="G17" s="33">
        <f>(BS_Sorted!O46-BS_Sorted!N46)</f>
        <v>255</v>
      </c>
      <c r="H17" s="33">
        <f>(BS_Sorted!P46-BS_Sorted!O46)</f>
        <v>260.10000000000582</v>
      </c>
      <c r="I17" s="33">
        <f>(BS_Sorted!Q46-BS_Sorted!P46)</f>
        <v>265.30199999999604</v>
      </c>
      <c r="J17" s="33">
        <f>(BS_Sorted!R46-BS_Sorted!Q46)</f>
        <v>270.60804000000644</v>
      </c>
      <c r="K17" s="33">
        <f>(BS_Sorted!S46-BS_Sorted!R46)</f>
        <v>276.02020080000511</v>
      </c>
      <c r="L17" s="33">
        <f>(BS_Sorted!T46-BS_Sorted!S46)</f>
        <v>281.54060481599299</v>
      </c>
      <c r="M17" s="33"/>
      <c r="N17" s="33"/>
      <c r="O17" s="254"/>
    </row>
    <row r="18" spans="1:15" x14ac:dyDescent="0.25">
      <c r="A18" s="2" t="s">
        <v>524</v>
      </c>
      <c r="E18" s="52">
        <f>E10</f>
        <v>29.48</v>
      </c>
      <c r="F18" s="49">
        <f>E18*(1+$E$9-Inputs!$B$16)</f>
        <v>30.077117399999999</v>
      </c>
      <c r="G18" s="49">
        <f>F18*(1+$E$9-Inputs!$B$16)</f>
        <v>30.686329412936995</v>
      </c>
      <c r="H18" s="49">
        <f>G18*(1+$E$9-Inputs!$B$16)</f>
        <v>31.307881015196031</v>
      </c>
      <c r="I18" s="49">
        <f>H18*(1+$E$9-Inputs!$B$16)</f>
        <v>31.942022145158823</v>
      </c>
      <c r="J18" s="49">
        <f>I18*(1+$E$9-Inputs!$B$16)</f>
        <v>32.589007803709009</v>
      </c>
      <c r="K18" s="49">
        <f>J18*(1+$E$9-Inputs!$B$16)</f>
        <v>33.24909815677313</v>
      </c>
      <c r="L18" s="49">
        <f>K18*(1+$E$9-Inputs!$B$16)</f>
        <v>33.922558639938565</v>
      </c>
      <c r="M18" s="292"/>
      <c r="N18" s="292"/>
    </row>
    <row r="19" spans="1:15" s="1" customFormat="1" x14ac:dyDescent="0.25">
      <c r="A19" s="1" t="s">
        <v>525</v>
      </c>
      <c r="E19" s="53">
        <f t="shared" ref="E19:L19" si="8">E17/E18</f>
        <v>0</v>
      </c>
      <c r="F19" s="53">
        <f t="shared" si="8"/>
        <v>8.3119667578250045</v>
      </c>
      <c r="G19" s="53">
        <f t="shared" si="8"/>
        <v>8.3098892855036297</v>
      </c>
      <c r="H19" s="53">
        <f t="shared" si="8"/>
        <v>8.3078123324207098</v>
      </c>
      <c r="I19" s="53">
        <f t="shared" si="8"/>
        <v>8.3057358984457892</v>
      </c>
      <c r="J19" s="53">
        <f t="shared" si="8"/>
        <v>8.3036599834502507</v>
      </c>
      <c r="K19" s="53">
        <f t="shared" si="8"/>
        <v>8.3015845873033829</v>
      </c>
      <c r="L19" s="53">
        <f t="shared" si="8"/>
        <v>8.2995097098755544</v>
      </c>
      <c r="M19" s="563"/>
      <c r="N19" s="563"/>
    </row>
    <row r="20" spans="1:15" x14ac:dyDescent="0.25">
      <c r="E20" s="254"/>
    </row>
    <row r="21" spans="1:15" x14ac:dyDescent="0.25">
      <c r="A21" s="2" t="s">
        <v>526</v>
      </c>
      <c r="E21" s="33">
        <f>IS_Sorted!L34</f>
        <v>5616</v>
      </c>
      <c r="F21" s="33">
        <f t="shared" ref="F21:L21" si="9">E24</f>
        <v>5632.8</v>
      </c>
      <c r="G21" s="33">
        <f t="shared" si="9"/>
        <v>5641.2880332421755</v>
      </c>
      <c r="H21" s="33">
        <f t="shared" si="9"/>
        <v>5634.6581439566726</v>
      </c>
      <c r="I21" s="33">
        <f t="shared" si="9"/>
        <v>5626.3503316242522</v>
      </c>
      <c r="J21" s="33">
        <f t="shared" si="9"/>
        <v>5618.0445957258062</v>
      </c>
      <c r="K21" s="33">
        <f t="shared" si="9"/>
        <v>5609.7409357423558</v>
      </c>
      <c r="L21" s="33">
        <f t="shared" si="9"/>
        <v>5601.4393511550525</v>
      </c>
      <c r="M21" s="33"/>
      <c r="N21" s="33"/>
    </row>
    <row r="22" spans="1:15" x14ac:dyDescent="0.25">
      <c r="A22" s="2" t="s">
        <v>527</v>
      </c>
      <c r="E22" s="33">
        <f t="shared" ref="E22:L22" si="10">E13</f>
        <v>16.8</v>
      </c>
      <c r="F22" s="33">
        <f t="shared" si="10"/>
        <v>16.8</v>
      </c>
      <c r="G22" s="33">
        <f t="shared" si="10"/>
        <v>1.6800000000000002</v>
      </c>
      <c r="H22" s="33">
        <f t="shared" si="10"/>
        <v>0</v>
      </c>
      <c r="I22" s="33">
        <f t="shared" si="10"/>
        <v>0</v>
      </c>
      <c r="J22" s="33">
        <f t="shared" si="10"/>
        <v>0</v>
      </c>
      <c r="K22" s="33">
        <f t="shared" si="10"/>
        <v>0</v>
      </c>
      <c r="L22" s="33">
        <f t="shared" si="10"/>
        <v>0</v>
      </c>
      <c r="M22" s="33"/>
      <c r="N22" s="33"/>
    </row>
    <row r="23" spans="1:15" x14ac:dyDescent="0.25">
      <c r="A23" s="2" t="s">
        <v>528</v>
      </c>
      <c r="E23" s="54">
        <f t="shared" ref="E23:L23" si="11">E19</f>
        <v>0</v>
      </c>
      <c r="F23" s="54">
        <f t="shared" si="11"/>
        <v>8.3119667578250045</v>
      </c>
      <c r="G23" s="54">
        <f t="shared" si="11"/>
        <v>8.3098892855036297</v>
      </c>
      <c r="H23" s="54">
        <f t="shared" si="11"/>
        <v>8.3078123324207098</v>
      </c>
      <c r="I23" s="54">
        <f t="shared" si="11"/>
        <v>8.3057358984457892</v>
      </c>
      <c r="J23" s="54">
        <f t="shared" si="11"/>
        <v>8.3036599834502507</v>
      </c>
      <c r="K23" s="54">
        <f t="shared" si="11"/>
        <v>8.3015845873033829</v>
      </c>
      <c r="L23" s="54">
        <f t="shared" si="11"/>
        <v>8.2995097098755544</v>
      </c>
      <c r="M23" s="564"/>
      <c r="N23" s="564"/>
    </row>
    <row r="24" spans="1:15" x14ac:dyDescent="0.25">
      <c r="A24" s="1" t="s">
        <v>529</v>
      </c>
      <c r="B24" s="1"/>
      <c r="C24" s="1"/>
      <c r="D24" s="1"/>
      <c r="E24" s="55">
        <f t="shared" ref="E24:L24" si="12">E21+E22-E23</f>
        <v>5632.8</v>
      </c>
      <c r="F24" s="55">
        <f t="shared" si="12"/>
        <v>5641.2880332421755</v>
      </c>
      <c r="G24" s="55">
        <f t="shared" si="12"/>
        <v>5634.6581439566726</v>
      </c>
      <c r="H24" s="55">
        <f t="shared" si="12"/>
        <v>5626.3503316242522</v>
      </c>
      <c r="I24" s="55">
        <f t="shared" si="12"/>
        <v>5618.0445957258062</v>
      </c>
      <c r="J24" s="55">
        <f t="shared" si="12"/>
        <v>5609.7409357423558</v>
      </c>
      <c r="K24" s="55">
        <f t="shared" si="12"/>
        <v>5601.4393511550525</v>
      </c>
      <c r="L24" s="55">
        <f t="shared" si="12"/>
        <v>5593.1398414451769</v>
      </c>
      <c r="M24" s="55"/>
      <c r="N24" s="55"/>
    </row>
    <row r="31" spans="1:15" x14ac:dyDescent="0.25">
      <c r="A31" s="112"/>
    </row>
  </sheetData>
  <phoneticPr fontId="0" type="noConversion"/>
  <pageMargins left="0.75" right="0.75" top="1" bottom="1" header="0.5" footer="0.5"/>
  <pageSetup scale="80" orientation="landscape" r:id="rId1"/>
  <headerFooter alignWithMargins="0"/>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B0F0"/>
    <pageSetUpPr fitToPage="1"/>
  </sheetPr>
  <dimension ref="A1:T64"/>
  <sheetViews>
    <sheetView workbookViewId="0"/>
  </sheetViews>
  <sheetFormatPr defaultColWidth="9.140625" defaultRowHeight="15" x14ac:dyDescent="0.25"/>
  <cols>
    <col min="1" max="1" width="18.85546875" style="2" customWidth="1"/>
    <col min="2" max="5" width="10.7109375" style="2" customWidth="1"/>
    <col min="6" max="6" width="15.85546875" style="27" bestFit="1" customWidth="1"/>
    <col min="7" max="7" width="9.140625" style="2"/>
    <col min="8" max="8" width="14" style="2" bestFit="1" customWidth="1"/>
    <col min="9" max="10" width="9.28515625" style="2" hidden="1" customWidth="1"/>
    <col min="11" max="14" width="9.140625" style="2" hidden="1" customWidth="1"/>
    <col min="15" max="17" width="0" style="2" hidden="1" customWidth="1"/>
    <col min="18" max="16384" width="9.140625" style="2"/>
  </cols>
  <sheetData>
    <row r="1" spans="1:17" x14ac:dyDescent="0.25">
      <c r="A1" s="4" t="str">
        <f>Inputs!A1</f>
        <v>Pfizer</v>
      </c>
    </row>
    <row r="2" spans="1:17" x14ac:dyDescent="0.25">
      <c r="A2" s="3" t="s">
        <v>530</v>
      </c>
    </row>
    <row r="4" spans="1:17" x14ac:dyDescent="0.25">
      <c r="A4" s="2" t="s">
        <v>408</v>
      </c>
      <c r="D4" s="63">
        <v>32.11</v>
      </c>
      <c r="E4" s="28"/>
    </row>
    <row r="5" spans="1:17" x14ac:dyDescent="0.25">
      <c r="A5" s="2" t="s">
        <v>531</v>
      </c>
      <c r="D5" s="109">
        <f>Inputs!B12</f>
        <v>4.8300000000000003E-2</v>
      </c>
    </row>
    <row r="6" spans="1:17" x14ac:dyDescent="0.25">
      <c r="A6" s="2" t="s">
        <v>17</v>
      </c>
      <c r="D6" s="110">
        <v>5.11E-2</v>
      </c>
    </row>
    <row r="7" spans="1:17" x14ac:dyDescent="0.25">
      <c r="A7" s="2" t="s">
        <v>532</v>
      </c>
      <c r="D7" s="110">
        <v>0.20580000000000001</v>
      </c>
    </row>
    <row r="9" spans="1:17" ht="15.75" thickBot="1" x14ac:dyDescent="0.3">
      <c r="A9" s="29"/>
      <c r="B9" s="29"/>
      <c r="C9" s="29"/>
      <c r="D9" s="29"/>
      <c r="E9" s="29"/>
      <c r="F9" s="30"/>
    </row>
    <row r="10" spans="1:17" x14ac:dyDescent="0.25">
      <c r="A10" s="105"/>
      <c r="B10" s="106"/>
      <c r="C10" s="106" t="s">
        <v>50</v>
      </c>
      <c r="D10" s="106" t="s">
        <v>50</v>
      </c>
      <c r="E10" s="106" t="s">
        <v>533</v>
      </c>
      <c r="F10" s="107" t="s">
        <v>534</v>
      </c>
      <c r="K10" s="2" t="s">
        <v>533</v>
      </c>
      <c r="L10" s="2" t="s">
        <v>533</v>
      </c>
      <c r="P10" s="2" t="s">
        <v>535</v>
      </c>
      <c r="Q10" s="2" t="s">
        <v>536</v>
      </c>
    </row>
    <row r="11" spans="1:17" x14ac:dyDescent="0.25">
      <c r="A11" s="105" t="s">
        <v>537</v>
      </c>
      <c r="B11" s="106" t="s">
        <v>538</v>
      </c>
      <c r="C11" s="106" t="s">
        <v>539</v>
      </c>
      <c r="D11" s="106" t="s">
        <v>540</v>
      </c>
      <c r="E11" s="106" t="s">
        <v>541</v>
      </c>
      <c r="F11" s="107" t="s">
        <v>542</v>
      </c>
      <c r="K11" s="2" t="s">
        <v>543</v>
      </c>
      <c r="L11" s="2" t="s">
        <v>543</v>
      </c>
      <c r="P11" s="2" t="s">
        <v>50</v>
      </c>
      <c r="Q11" s="2" t="s">
        <v>50</v>
      </c>
    </row>
    <row r="12" spans="1:17" ht="15.75" thickBot="1" x14ac:dyDescent="0.3">
      <c r="A12" s="102" t="s">
        <v>544</v>
      </c>
      <c r="B12" s="103" t="s">
        <v>545</v>
      </c>
      <c r="C12" s="103" t="s">
        <v>464</v>
      </c>
      <c r="D12" s="103" t="s">
        <v>546</v>
      </c>
      <c r="E12" s="103" t="s">
        <v>464</v>
      </c>
      <c r="F12" s="108" t="s">
        <v>547</v>
      </c>
      <c r="K12" s="2" t="s">
        <v>549</v>
      </c>
      <c r="L12" s="2" t="s">
        <v>550</v>
      </c>
      <c r="M12" s="2" t="s">
        <v>551</v>
      </c>
      <c r="N12" s="2" t="s">
        <v>552</v>
      </c>
      <c r="P12" s="2" t="s">
        <v>553</v>
      </c>
      <c r="Q12" s="2" t="s">
        <v>554</v>
      </c>
    </row>
    <row r="13" spans="1:17" ht="15.75" thickBot="1" x14ac:dyDescent="0.3">
      <c r="A13" s="2" t="s">
        <v>555</v>
      </c>
      <c r="B13" s="33">
        <v>35280000</v>
      </c>
      <c r="C13" s="34">
        <v>31.47</v>
      </c>
      <c r="D13" s="34">
        <v>2.1</v>
      </c>
      <c r="E13" s="32">
        <f>($D$4*EXP(-$D$6*D13)*M13)-(C13*EXP(-$D$5*D13)*N13)</f>
        <v>3.6027031943470238</v>
      </c>
      <c r="F13" s="27">
        <f>E13*B13</f>
        <v>127103368.69656301</v>
      </c>
      <c r="I13" s="2">
        <f t="shared" ref="I13:I22" si="0">LN($D$4/C13)</f>
        <v>2.0132797025107074E-2</v>
      </c>
      <c r="J13" s="2">
        <f t="shared" ref="J13:J22" si="1">D13*($D$5-$D$6+($D$7^2)/2)</f>
        <v>3.8591322000000011E-2</v>
      </c>
      <c r="K13" s="2">
        <f t="shared" ref="K13:K22" si="2">(I13+J13)/($D$7*SQRT(D13))</f>
        <v>0.19690715277914239</v>
      </c>
      <c r="L13" s="2">
        <f t="shared" ref="L13:L22" si="3">K13-($D$7*SQRT(D13))</f>
        <v>-0.10132538065743629</v>
      </c>
      <c r="M13" s="2">
        <f t="shared" ref="M13:N22" si="4">NORMSDIST(K13)</f>
        <v>0.578049901921877</v>
      </c>
      <c r="N13" s="2">
        <f t="shared" si="4"/>
        <v>0.45964608451211553</v>
      </c>
      <c r="P13" s="2">
        <f>B13*C13</f>
        <v>1110261600</v>
      </c>
      <c r="Q13" s="2">
        <f>B13*D13</f>
        <v>74088000</v>
      </c>
    </row>
    <row r="14" spans="1:17" hidden="1" x14ac:dyDescent="0.25">
      <c r="A14" s="2" t="s">
        <v>557</v>
      </c>
      <c r="B14" s="133"/>
      <c r="C14" s="134"/>
      <c r="D14" s="134"/>
      <c r="E14" s="32"/>
      <c r="I14" s="2" t="e">
        <f t="shared" si="0"/>
        <v>#DIV/0!</v>
      </c>
      <c r="J14" s="2">
        <f t="shared" si="1"/>
        <v>0</v>
      </c>
      <c r="K14" s="2" t="e">
        <f t="shared" si="2"/>
        <v>#DIV/0!</v>
      </c>
      <c r="L14" s="2" t="e">
        <f t="shared" si="3"/>
        <v>#DIV/0!</v>
      </c>
      <c r="M14" s="2" t="e">
        <f t="shared" si="4"/>
        <v>#DIV/0!</v>
      </c>
      <c r="N14" s="2" t="e">
        <f t="shared" si="4"/>
        <v>#DIV/0!</v>
      </c>
      <c r="P14" s="2">
        <f t="shared" ref="P14:P21" si="5">B14*C14</f>
        <v>0</v>
      </c>
      <c r="Q14" s="2">
        <f t="shared" ref="Q14:Q21" si="6">B14*D14</f>
        <v>0</v>
      </c>
    </row>
    <row r="15" spans="1:17" hidden="1" x14ac:dyDescent="0.25">
      <c r="A15" s="2" t="s">
        <v>559</v>
      </c>
      <c r="B15" s="133"/>
      <c r="C15" s="134"/>
      <c r="D15" s="134"/>
      <c r="E15" s="32"/>
      <c r="I15" s="2" t="e">
        <f t="shared" si="0"/>
        <v>#DIV/0!</v>
      </c>
      <c r="J15" s="2">
        <f t="shared" si="1"/>
        <v>0</v>
      </c>
      <c r="K15" s="2" t="e">
        <f t="shared" si="2"/>
        <v>#DIV/0!</v>
      </c>
      <c r="L15" s="2" t="e">
        <f t="shared" si="3"/>
        <v>#DIV/0!</v>
      </c>
      <c r="M15" s="2" t="e">
        <f t="shared" si="4"/>
        <v>#DIV/0!</v>
      </c>
      <c r="N15" s="2" t="e">
        <f t="shared" si="4"/>
        <v>#DIV/0!</v>
      </c>
      <c r="P15" s="2">
        <f t="shared" si="5"/>
        <v>0</v>
      </c>
      <c r="Q15" s="2">
        <f t="shared" si="6"/>
        <v>0</v>
      </c>
    </row>
    <row r="16" spans="1:17" hidden="1" x14ac:dyDescent="0.25">
      <c r="A16" s="2" t="s">
        <v>560</v>
      </c>
      <c r="B16" s="133"/>
      <c r="C16" s="134"/>
      <c r="D16" s="134"/>
      <c r="E16" s="32"/>
      <c r="I16" s="2" t="e">
        <f t="shared" si="0"/>
        <v>#DIV/0!</v>
      </c>
      <c r="J16" s="2">
        <f t="shared" si="1"/>
        <v>0</v>
      </c>
      <c r="K16" s="2" t="e">
        <f t="shared" si="2"/>
        <v>#DIV/0!</v>
      </c>
      <c r="L16" s="2" t="e">
        <f t="shared" si="3"/>
        <v>#DIV/0!</v>
      </c>
      <c r="M16" s="2" t="e">
        <f t="shared" si="4"/>
        <v>#DIV/0!</v>
      </c>
      <c r="N16" s="2" t="e">
        <f t="shared" si="4"/>
        <v>#DIV/0!</v>
      </c>
      <c r="P16" s="2">
        <f t="shared" si="5"/>
        <v>0</v>
      </c>
      <c r="Q16" s="2">
        <f t="shared" si="6"/>
        <v>0</v>
      </c>
    </row>
    <row r="17" spans="1:20" hidden="1" x14ac:dyDescent="0.25">
      <c r="A17" s="2" t="s">
        <v>561</v>
      </c>
      <c r="B17" s="133"/>
      <c r="C17" s="134"/>
      <c r="D17" s="134"/>
      <c r="E17" s="32"/>
      <c r="I17" s="2" t="e">
        <f t="shared" si="0"/>
        <v>#DIV/0!</v>
      </c>
      <c r="J17" s="2">
        <f t="shared" si="1"/>
        <v>0</v>
      </c>
      <c r="K17" s="2" t="e">
        <f t="shared" si="2"/>
        <v>#DIV/0!</v>
      </c>
      <c r="L17" s="2" t="e">
        <f t="shared" si="3"/>
        <v>#DIV/0!</v>
      </c>
      <c r="M17" s="2" t="e">
        <f t="shared" si="4"/>
        <v>#DIV/0!</v>
      </c>
      <c r="N17" s="2" t="e">
        <f t="shared" si="4"/>
        <v>#DIV/0!</v>
      </c>
      <c r="P17" s="2">
        <f t="shared" si="5"/>
        <v>0</v>
      </c>
      <c r="Q17" s="2">
        <f t="shared" si="6"/>
        <v>0</v>
      </c>
    </row>
    <row r="18" spans="1:20" hidden="1" x14ac:dyDescent="0.25">
      <c r="A18" s="2" t="s">
        <v>562</v>
      </c>
      <c r="B18" s="133"/>
      <c r="C18" s="134"/>
      <c r="D18" s="134"/>
      <c r="E18" s="32"/>
      <c r="I18" s="2" t="e">
        <f t="shared" si="0"/>
        <v>#DIV/0!</v>
      </c>
      <c r="J18" s="2">
        <f t="shared" si="1"/>
        <v>0</v>
      </c>
      <c r="K18" s="2" t="e">
        <f t="shared" si="2"/>
        <v>#DIV/0!</v>
      </c>
      <c r="L18" s="2" t="e">
        <f t="shared" si="3"/>
        <v>#DIV/0!</v>
      </c>
      <c r="M18" s="2" t="e">
        <f t="shared" si="4"/>
        <v>#DIV/0!</v>
      </c>
      <c r="N18" s="2" t="e">
        <f t="shared" si="4"/>
        <v>#DIV/0!</v>
      </c>
      <c r="P18" s="2">
        <f t="shared" si="5"/>
        <v>0</v>
      </c>
      <c r="Q18" s="2">
        <f t="shared" si="6"/>
        <v>0</v>
      </c>
    </row>
    <row r="19" spans="1:20" hidden="1" x14ac:dyDescent="0.25">
      <c r="A19" s="2" t="s">
        <v>564</v>
      </c>
      <c r="B19" s="133"/>
      <c r="C19" s="134"/>
      <c r="D19" s="134"/>
      <c r="E19" s="32"/>
      <c r="I19" s="2" t="e">
        <f t="shared" si="0"/>
        <v>#DIV/0!</v>
      </c>
      <c r="J19" s="2">
        <f t="shared" si="1"/>
        <v>0</v>
      </c>
      <c r="K19" s="2" t="e">
        <f t="shared" si="2"/>
        <v>#DIV/0!</v>
      </c>
      <c r="L19" s="2" t="e">
        <f t="shared" si="3"/>
        <v>#DIV/0!</v>
      </c>
      <c r="M19" s="2" t="e">
        <f t="shared" si="4"/>
        <v>#DIV/0!</v>
      </c>
      <c r="N19" s="2" t="e">
        <f t="shared" si="4"/>
        <v>#DIV/0!</v>
      </c>
      <c r="P19" s="2">
        <f t="shared" si="5"/>
        <v>0</v>
      </c>
      <c r="Q19" s="2">
        <f t="shared" si="6"/>
        <v>0</v>
      </c>
    </row>
    <row r="20" spans="1:20" hidden="1" x14ac:dyDescent="0.25">
      <c r="A20" s="2" t="s">
        <v>565</v>
      </c>
      <c r="B20" s="133"/>
      <c r="C20" s="134"/>
      <c r="D20" s="134"/>
      <c r="E20" s="32"/>
      <c r="I20" s="2" t="e">
        <f t="shared" si="0"/>
        <v>#DIV/0!</v>
      </c>
      <c r="J20" s="2">
        <f t="shared" si="1"/>
        <v>0</v>
      </c>
      <c r="K20" s="2" t="e">
        <f t="shared" si="2"/>
        <v>#DIV/0!</v>
      </c>
      <c r="L20" s="2" t="e">
        <f t="shared" si="3"/>
        <v>#DIV/0!</v>
      </c>
      <c r="M20" s="2" t="e">
        <f>NORMSDIST(K20)</f>
        <v>#DIV/0!</v>
      </c>
      <c r="N20" s="2" t="e">
        <f>NORMSDIST(L20)</f>
        <v>#DIV/0!</v>
      </c>
      <c r="P20" s="2">
        <f>B20*C20</f>
        <v>0</v>
      </c>
      <c r="Q20" s="2">
        <f>B20*D20</f>
        <v>0</v>
      </c>
    </row>
    <row r="21" spans="1:20" ht="15.75" hidden="1" thickBot="1" x14ac:dyDescent="0.3">
      <c r="A21" s="2" t="s">
        <v>566</v>
      </c>
      <c r="B21" s="17"/>
      <c r="C21" s="134"/>
      <c r="D21" s="134"/>
      <c r="E21" s="292"/>
      <c r="I21" s="2" t="e">
        <f t="shared" si="0"/>
        <v>#DIV/0!</v>
      </c>
      <c r="J21" s="2">
        <f t="shared" si="1"/>
        <v>0</v>
      </c>
      <c r="K21" s="2" t="e">
        <f t="shared" si="2"/>
        <v>#DIV/0!</v>
      </c>
      <c r="L21" s="2" t="e">
        <f t="shared" si="3"/>
        <v>#DIV/0!</v>
      </c>
      <c r="M21" s="2" t="e">
        <f t="shared" si="4"/>
        <v>#DIV/0!</v>
      </c>
      <c r="N21" s="2" t="e">
        <f t="shared" si="4"/>
        <v>#DIV/0!</v>
      </c>
      <c r="P21" s="2">
        <f t="shared" si="5"/>
        <v>0</v>
      </c>
      <c r="Q21" s="2">
        <f t="shared" si="6"/>
        <v>0</v>
      </c>
    </row>
    <row r="22" spans="1:20" ht="15.75" thickBot="1" x14ac:dyDescent="0.3">
      <c r="A22" s="541" t="s">
        <v>567</v>
      </c>
      <c r="B22" s="542">
        <f>SUM(B13:B21)</f>
        <v>35280000</v>
      </c>
      <c r="C22" s="543">
        <f>SUM(P13:P21)/B22</f>
        <v>31.47</v>
      </c>
      <c r="D22" s="544">
        <f>SUM(Q13:Q21)/B22</f>
        <v>2.1</v>
      </c>
      <c r="E22" s="545">
        <f>($D$4*M22)-(C22*EXP(-$D$5*D22)*N22)</f>
        <v>5.4913559672566397</v>
      </c>
      <c r="F22" s="57">
        <f>SUM(F13:F21)</f>
        <v>127103368.69656301</v>
      </c>
      <c r="I22" s="2">
        <f t="shared" si="0"/>
        <v>2.0132797025107074E-2</v>
      </c>
      <c r="J22" s="2">
        <f t="shared" si="1"/>
        <v>3.8591322000000011E-2</v>
      </c>
      <c r="K22" s="2">
        <f t="shared" si="2"/>
        <v>0.19690715277914239</v>
      </c>
      <c r="L22" s="2">
        <f t="shared" si="3"/>
        <v>-0.10132538065743629</v>
      </c>
      <c r="M22" s="2">
        <f t="shared" si="4"/>
        <v>0.578049901921877</v>
      </c>
      <c r="N22" s="2">
        <f t="shared" si="4"/>
        <v>0.45964608451211553</v>
      </c>
    </row>
    <row r="25" spans="1:20" x14ac:dyDescent="0.25">
      <c r="H25" s="3"/>
    </row>
    <row r="26" spans="1:20" x14ac:dyDescent="0.25">
      <c r="H26" s="3"/>
    </row>
    <row r="29" spans="1:20" hidden="1" x14ac:dyDescent="0.25">
      <c r="A29" s="147" t="s">
        <v>571</v>
      </c>
    </row>
    <row r="30" spans="1:20" hidden="1" x14ac:dyDescent="0.25">
      <c r="T30" s="148" t="s">
        <v>548</v>
      </c>
    </row>
    <row r="31" spans="1:20" hidden="1" x14ac:dyDescent="0.25">
      <c r="T31" s="3" t="s">
        <v>556</v>
      </c>
    </row>
    <row r="32" spans="1:20" hidden="1" x14ac:dyDescent="0.25">
      <c r="T32" s="3" t="s">
        <v>558</v>
      </c>
    </row>
    <row r="33" spans="1:20" hidden="1" x14ac:dyDescent="0.25">
      <c r="T33" s="3"/>
    </row>
    <row r="34" spans="1:20" hidden="1" x14ac:dyDescent="0.25">
      <c r="T34" s="3"/>
    </row>
    <row r="35" spans="1:20" hidden="1" x14ac:dyDescent="0.25">
      <c r="T35" s="3"/>
    </row>
    <row r="36" spans="1:20" hidden="1" x14ac:dyDescent="0.25">
      <c r="T36" s="3" t="s">
        <v>563</v>
      </c>
    </row>
    <row r="37" spans="1:20" hidden="1" x14ac:dyDescent="0.25">
      <c r="T37" s="3"/>
    </row>
    <row r="38" spans="1:20" hidden="1" x14ac:dyDescent="0.25">
      <c r="T38" s="3"/>
    </row>
    <row r="39" spans="1:20" hidden="1" x14ac:dyDescent="0.25">
      <c r="T39" s="3"/>
    </row>
    <row r="40" spans="1:20" hidden="1" x14ac:dyDescent="0.25">
      <c r="T40" s="3" t="s">
        <v>568</v>
      </c>
    </row>
    <row r="41" spans="1:20" hidden="1" x14ac:dyDescent="0.25">
      <c r="T41" s="3" t="s">
        <v>569</v>
      </c>
    </row>
    <row r="42" spans="1:20" hidden="1" x14ac:dyDescent="0.25">
      <c r="T42" s="3" t="s">
        <v>570</v>
      </c>
    </row>
    <row r="43" spans="1:20" hidden="1" x14ac:dyDescent="0.25"/>
    <row r="44" spans="1:20" hidden="1" x14ac:dyDescent="0.25">
      <c r="A44" s="147" t="s">
        <v>572</v>
      </c>
    </row>
    <row r="45" spans="1:20" hidden="1" x14ac:dyDescent="0.25"/>
    <row r="46" spans="1:20" hidden="1" x14ac:dyDescent="0.25"/>
    <row r="47" spans="1:20" hidden="1" x14ac:dyDescent="0.25"/>
    <row r="48" spans="1:20" hidden="1" x14ac:dyDescent="0.25"/>
    <row r="49" hidden="1" x14ac:dyDescent="0.25"/>
    <row r="50" hidden="1" x14ac:dyDescent="0.25"/>
    <row r="51" hidden="1" x14ac:dyDescent="0.25"/>
    <row r="52" hidden="1" x14ac:dyDescent="0.25"/>
    <row r="53" hidden="1" x14ac:dyDescent="0.25"/>
    <row r="54" hidden="1" x14ac:dyDescent="0.25"/>
    <row r="55" hidden="1" x14ac:dyDescent="0.25"/>
    <row r="56" hidden="1" x14ac:dyDescent="0.25"/>
    <row r="57" hidden="1" x14ac:dyDescent="0.25"/>
    <row r="58" hidden="1" x14ac:dyDescent="0.25"/>
    <row r="59" hidden="1" x14ac:dyDescent="0.25"/>
    <row r="60" hidden="1" x14ac:dyDescent="0.25"/>
    <row r="61" hidden="1" x14ac:dyDescent="0.25"/>
    <row r="62" hidden="1" x14ac:dyDescent="0.25"/>
    <row r="63" hidden="1" x14ac:dyDescent="0.25"/>
    <row r="64" hidden="1" x14ac:dyDescent="0.25"/>
  </sheetData>
  <phoneticPr fontId="0" type="noConversion"/>
  <pageMargins left="0.75" right="0.75" top="1" bottom="1" header="0.5" footer="0.5"/>
  <pageSetup orientation="landscape" r:id="rId1"/>
  <headerFooter alignWithMargins="0"/>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05B04289C0E0E40AA16150958076076" ma:contentTypeVersion="15" ma:contentTypeDescription="Create a new document." ma:contentTypeScope="" ma:versionID="61ab0877e61c029fa228f3fc51d523c4">
  <xsd:schema xmlns:xsd="http://www.w3.org/2001/XMLSchema" xmlns:xs="http://www.w3.org/2001/XMLSchema" xmlns:p="http://schemas.microsoft.com/office/2006/metadata/properties" xmlns:ns3="298cdb9e-f375-427e-9b2c-8046af134f2d" xmlns:ns4="68de0f0d-6b43-4531-a4e0-01a293e88da6" targetNamespace="http://schemas.microsoft.com/office/2006/metadata/properties" ma:root="true" ma:fieldsID="e8a1a24643773ff2e13e2a573cb7fd8e" ns3:_="" ns4:_="">
    <xsd:import namespace="298cdb9e-f375-427e-9b2c-8046af134f2d"/>
    <xsd:import namespace="68de0f0d-6b43-4531-a4e0-01a293e88da6"/>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DateTaken" minOccurs="0"/>
                <xsd:element ref="ns3:MediaLengthInSeconds" minOccurs="0"/>
                <xsd:element ref="ns3:_activity" minOccurs="0"/>
                <xsd:element ref="ns3:MediaServiceAutoTags" minOccurs="0"/>
                <xsd:element ref="ns3:MediaServiceObjectDetectorVersion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98cdb9e-f375-427e-9b2c-8046af134f2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_activity" ma:index="17" nillable="true" ma:displayName="_activity" ma:hidden="true" ma:internalName="_activity">
      <xsd:simpleType>
        <xsd:restriction base="dms:Note"/>
      </xsd:simpleType>
    </xsd:element>
    <xsd:element name="MediaServiceAutoTags" ma:index="18" nillable="true" ma:displayName="Tags" ma:internalName="MediaServiceAutoTags" ma:readOnly="true">
      <xsd:simpleType>
        <xsd:restriction base="dms:Text"/>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8de0f0d-6b43-4531-a4e0-01a293e88da6"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298cdb9e-f375-427e-9b2c-8046af134f2d" xsi:nil="true"/>
  </documentManagement>
</p:properties>
</file>

<file path=customXml/itemProps1.xml><?xml version="1.0" encoding="utf-8"?>
<ds:datastoreItem xmlns:ds="http://schemas.openxmlformats.org/officeDocument/2006/customXml" ds:itemID="{D4566908-379B-4089-B508-ECFEE0274D5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98cdb9e-f375-427e-9b2c-8046af134f2d"/>
    <ds:schemaRef ds:uri="68de0f0d-6b43-4531-a4e0-01a293e88da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36C916B-D4AA-4199-AE8F-39CD2F2C57EF}">
  <ds:schemaRefs>
    <ds:schemaRef ds:uri="http://schemas.microsoft.com/sharepoint/v3/contenttype/forms"/>
  </ds:schemaRefs>
</ds:datastoreItem>
</file>

<file path=customXml/itemProps3.xml><?xml version="1.0" encoding="utf-8"?>
<ds:datastoreItem xmlns:ds="http://schemas.openxmlformats.org/officeDocument/2006/customXml" ds:itemID="{EE031E2C-7DAB-454E-A317-E967951259C2}">
  <ds:schemaRefs>
    <ds:schemaRef ds:uri="http://schemas.microsoft.com/office/2006/documentManagement/types"/>
    <ds:schemaRef ds:uri="68de0f0d-6b43-4531-a4e0-01a293e88da6"/>
    <ds:schemaRef ds:uri="http://schemas.openxmlformats.org/package/2006/metadata/core-properties"/>
    <ds:schemaRef ds:uri="http://purl.org/dc/elements/1.1/"/>
    <ds:schemaRef ds:uri="http://purl.org/dc/dcmitype/"/>
    <ds:schemaRef ds:uri="http://purl.org/dc/terms/"/>
    <ds:schemaRef ds:uri="http://www.w3.org/XML/1998/namespace"/>
    <ds:schemaRef ds:uri="http://schemas.microsoft.com/office/infopath/2007/PartnerControls"/>
    <ds:schemaRef ds:uri="298cdb9e-f375-427e-9b2c-8046af134f2d"/>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21</vt:i4>
      </vt:variant>
    </vt:vector>
  </HeadingPairs>
  <TitlesOfParts>
    <vt:vector size="44" baseType="lpstr">
      <vt:lpstr>Dashboard</vt:lpstr>
      <vt:lpstr>Inputs</vt:lpstr>
      <vt:lpstr>Rev</vt:lpstr>
      <vt:lpstr>YTD Q3 Rev</vt:lpstr>
      <vt:lpstr>Drug Pipeline</vt:lpstr>
      <vt:lpstr>IS</vt:lpstr>
      <vt:lpstr>IS_Sorted</vt:lpstr>
      <vt:lpstr>BS_Sorted</vt:lpstr>
      <vt:lpstr>BS</vt:lpstr>
      <vt:lpstr>CF_H</vt:lpstr>
      <vt:lpstr>CF_F</vt:lpstr>
      <vt:lpstr>CS_IS (% sales)</vt:lpstr>
      <vt:lpstr>CS_BS (% sales)</vt:lpstr>
      <vt:lpstr>CS_BS (% assets)</vt:lpstr>
      <vt:lpstr>Drivers</vt:lpstr>
      <vt:lpstr>WACC</vt:lpstr>
      <vt:lpstr>DCF_EP</vt:lpstr>
      <vt:lpstr>Rel_PE</vt:lpstr>
      <vt:lpstr>DDM</vt:lpstr>
      <vt:lpstr>Ratios</vt:lpstr>
      <vt:lpstr>Leases</vt:lpstr>
      <vt:lpstr>Share Change</vt:lpstr>
      <vt:lpstr>ESOP</vt:lpstr>
      <vt:lpstr>BS!Print_Area</vt:lpstr>
      <vt:lpstr>BS_Sorted!Print_Area</vt:lpstr>
      <vt:lpstr>CF_F!Print_Area</vt:lpstr>
      <vt:lpstr>CF_H!Print_Area</vt:lpstr>
      <vt:lpstr>'CS_BS (% assets)'!Print_Area</vt:lpstr>
      <vt:lpstr>'CS_BS (% sales)'!Print_Area</vt:lpstr>
      <vt:lpstr>'CS_IS (% sales)'!Print_Area</vt:lpstr>
      <vt:lpstr>DCF_EP!Print_Area</vt:lpstr>
      <vt:lpstr>DDM!Print_Area</vt:lpstr>
      <vt:lpstr>Drivers!Print_Area</vt:lpstr>
      <vt:lpstr>'Drug Pipeline'!Print_Area</vt:lpstr>
      <vt:lpstr>ESOP!Print_Area</vt:lpstr>
      <vt:lpstr>Inputs!Print_Area</vt:lpstr>
      <vt:lpstr>IS!Print_Area</vt:lpstr>
      <vt:lpstr>IS_Sorted!Print_Area</vt:lpstr>
      <vt:lpstr>Leases!Print_Area</vt:lpstr>
      <vt:lpstr>Ratios!Print_Area</vt:lpstr>
      <vt:lpstr>Rel_PE!Print_Area</vt:lpstr>
      <vt:lpstr>Rev!Print_Area</vt:lpstr>
      <vt:lpstr>'Share Change'!Print_Area</vt:lpstr>
      <vt:lpstr>WACC!Print_Area</vt:lpstr>
    </vt:vector>
  </TitlesOfParts>
  <Manager/>
  <Company>Dell Computer Corporation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Todd Houge and Laura Max</dc:creator>
  <cp:keywords/>
  <dc:description/>
  <cp:lastModifiedBy>Kyle Tapia</cp:lastModifiedBy>
  <cp:revision/>
  <cp:lastPrinted>2023-11-14T15:27:24Z</cp:lastPrinted>
  <dcterms:created xsi:type="dcterms:W3CDTF">1999-10-03T01:56:34Z</dcterms:created>
  <dcterms:modified xsi:type="dcterms:W3CDTF">2023-12-03T23:34:42Z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0x010100D05B04289C0E0E40AA16150958076076</vt:lpwstr>
  </property>
</Properties>
</file>