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buznitsky/Dropbox/Mac/Documents/SfA/Intercontinental Transmission/"/>
    </mc:Choice>
  </mc:AlternateContent>
  <xr:revisionPtr revIDLastSave="0" documentId="13_ncr:1_{A7A6F941-7BED-5740-9E30-14B959D24C84}" xr6:coauthVersionLast="47" xr6:coauthVersionMax="47" xr10:uidLastSave="{00000000-0000-0000-0000-000000000000}"/>
  <bookViews>
    <workbookView xWindow="0" yWindow="500" windowWidth="27480" windowHeight="15480" activeTab="2" xr2:uid="{FD93C79A-8AD3-1D45-A938-2B42190632E1}"/>
  </bookViews>
  <sheets>
    <sheet name="Summary" sheetId="1" r:id="rId1"/>
    <sheet name="CO2 Threshold Price estimating" sheetId="4" r:id="rId2"/>
    <sheet name="Tornado Plot" sheetId="2" r:id="rId3"/>
    <sheet name="Cost estimating" sheetId="3" r:id="rId4"/>
    <sheet name="Cost examp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E2" i="5"/>
  <c r="E3" i="5"/>
  <c r="E5" i="5" s="1"/>
  <c r="E9" i="5" s="1"/>
  <c r="E4" i="5"/>
  <c r="B5" i="5"/>
  <c r="B7" i="5" s="1"/>
  <c r="B10" i="5" s="1"/>
  <c r="E8" i="5"/>
  <c r="E10" i="5"/>
  <c r="B15" i="5"/>
  <c r="B18" i="5" s="1"/>
  <c r="E15" i="5"/>
  <c r="E18" i="5" s="1"/>
  <c r="B19" i="5"/>
  <c r="E19" i="5"/>
  <c r="S4" i="2"/>
  <c r="Q4" i="2"/>
  <c r="R4" i="2"/>
  <c r="Q3" i="2"/>
  <c r="S3" i="2"/>
  <c r="R3" i="2"/>
  <c r="R7" i="2" s="1"/>
  <c r="R2" i="2"/>
  <c r="S2" i="2"/>
  <c r="Q2" i="2"/>
  <c r="L6" i="1"/>
  <c r="H16" i="1"/>
  <c r="H5" i="1"/>
  <c r="H11" i="1" s="1"/>
  <c r="H12" i="1" s="1"/>
  <c r="B16" i="1"/>
  <c r="G3" i="4"/>
  <c r="H3" i="4"/>
  <c r="G4" i="4"/>
  <c r="H4" i="4"/>
  <c r="I4" i="4" s="1"/>
  <c r="G5" i="4"/>
  <c r="H5" i="4"/>
  <c r="H2" i="4"/>
  <c r="G2" i="4"/>
  <c r="I2" i="4" s="1"/>
  <c r="I3" i="4"/>
  <c r="H4" i="2"/>
  <c r="L4" i="2"/>
  <c r="N4" i="2"/>
  <c r="M4" i="2"/>
  <c r="L3" i="2"/>
  <c r="N3" i="2"/>
  <c r="M3" i="2"/>
  <c r="N2" i="2"/>
  <c r="L2" i="2"/>
  <c r="M2" i="2"/>
  <c r="B6" i="3"/>
  <c r="G7" i="3"/>
  <c r="F6" i="3"/>
  <c r="F7" i="3"/>
  <c r="B7" i="3"/>
  <c r="B5" i="3"/>
  <c r="B4" i="3"/>
  <c r="E3" i="3"/>
  <c r="E4" i="3"/>
  <c r="G4" i="3" s="1"/>
  <c r="E5" i="3"/>
  <c r="G5" i="3" s="1"/>
  <c r="E6" i="3"/>
  <c r="G6" i="3" s="1"/>
  <c r="E7" i="3"/>
  <c r="B3" i="3"/>
  <c r="G3" i="3" s="1"/>
  <c r="B2" i="3"/>
  <c r="F3" i="3"/>
  <c r="F4" i="3"/>
  <c r="F5" i="3"/>
  <c r="F2" i="3"/>
  <c r="E2" i="3"/>
  <c r="G2" i="3" s="1"/>
  <c r="G4" i="2"/>
  <c r="I4" i="2"/>
  <c r="I3" i="2"/>
  <c r="H3" i="2"/>
  <c r="G3" i="2"/>
  <c r="H2" i="2"/>
  <c r="I2" i="2"/>
  <c r="G2" i="2"/>
  <c r="B5" i="1"/>
  <c r="B8" i="1" s="1"/>
  <c r="U16" i="1"/>
  <c r="U5" i="1"/>
  <c r="R16" i="1"/>
  <c r="R5" i="1"/>
  <c r="O6" i="1"/>
  <c r="O16" i="1"/>
  <c r="O5" i="1"/>
  <c r="L16" i="1"/>
  <c r="L5" i="1"/>
  <c r="L7" i="1"/>
  <c r="E16" i="1"/>
  <c r="E5" i="1"/>
  <c r="E8" i="1" s="1"/>
  <c r="Q8" i="2" l="1"/>
  <c r="Q6" i="2"/>
  <c r="S6" i="2"/>
  <c r="S8" i="2"/>
  <c r="B11" i="1"/>
  <c r="B12" i="1" s="1"/>
  <c r="B17" i="1" s="1"/>
  <c r="R6" i="2"/>
  <c r="H6" i="2"/>
  <c r="S7" i="2"/>
  <c r="Q7" i="2"/>
  <c r="G6" i="2"/>
  <c r="B9" i="5"/>
  <c r="R8" i="2"/>
  <c r="H7" i="2"/>
  <c r="I7" i="2"/>
  <c r="I6" i="2"/>
  <c r="I8" i="2"/>
  <c r="H8" i="2"/>
  <c r="G8" i="2"/>
  <c r="M6" i="2"/>
  <c r="L8" i="2"/>
  <c r="L6" i="2"/>
  <c r="N6" i="2"/>
  <c r="M7" i="2"/>
  <c r="N7" i="2"/>
  <c r="L7" i="2"/>
  <c r="M8" i="2"/>
  <c r="N8" i="2"/>
  <c r="H17" i="1"/>
  <c r="H8" i="1"/>
  <c r="G7" i="2"/>
  <c r="L11" i="1"/>
  <c r="L12" i="1" s="1"/>
  <c r="L17" i="1" s="1"/>
  <c r="O7" i="1"/>
  <c r="O11" i="1" s="1"/>
  <c r="O12" i="1" s="1"/>
  <c r="O17" i="1" s="1"/>
  <c r="L8" i="1"/>
  <c r="E11" i="1"/>
  <c r="E12" i="1" s="1"/>
  <c r="E17" i="1" s="1"/>
  <c r="O8" i="1" l="1"/>
  <c r="R7" i="1"/>
  <c r="R8" i="1" s="1"/>
  <c r="U7" i="1" l="1"/>
  <c r="U11" i="1" s="1"/>
  <c r="U12" i="1" s="1"/>
  <c r="U17" i="1" s="1"/>
  <c r="R11" i="1"/>
  <c r="R12" i="1" s="1"/>
  <c r="R17" i="1" s="1"/>
  <c r="U8" i="1"/>
</calcChain>
</file>

<file path=xl/sharedStrings.xml><?xml version="1.0" encoding="utf-8"?>
<sst xmlns="http://schemas.openxmlformats.org/spreadsheetml/2006/main" count="290" uniqueCount="114">
  <si>
    <t>cost</t>
  </si>
  <si>
    <t>euros</t>
  </si>
  <si>
    <t>interest rate</t>
  </si>
  <si>
    <t>lifetime</t>
  </si>
  <si>
    <t>years</t>
  </si>
  <si>
    <t>annual cost</t>
  </si>
  <si>
    <t>Carbon abatement</t>
  </si>
  <si>
    <t>tons/year</t>
  </si>
  <si>
    <t>$/ton</t>
  </si>
  <si>
    <t>annual rev</t>
  </si>
  <si>
    <t>Net</t>
  </si>
  <si>
    <t>abatement cost no rev</t>
  </si>
  <si>
    <t>abatement cost net</t>
  </si>
  <si>
    <t xml:space="preserve">$/ton </t>
  </si>
  <si>
    <t>NorNed line</t>
  </si>
  <si>
    <t>Boston-Spain</t>
  </si>
  <si>
    <t>miles</t>
  </si>
  <si>
    <t>distance</t>
  </si>
  <si>
    <t>Annual rev per MW</t>
  </si>
  <si>
    <t>$/MW</t>
  </si>
  <si>
    <t>$/mile/MW</t>
  </si>
  <si>
    <t>discount rate</t>
  </si>
  <si>
    <t>-</t>
  </si>
  <si>
    <t>payback period</t>
  </si>
  <si>
    <t>power</t>
  </si>
  <si>
    <t>specific cost</t>
  </si>
  <si>
    <t>MW</t>
  </si>
  <si>
    <t>euros/mile/MW</t>
  </si>
  <si>
    <t>inflation 2008-2024 euros</t>
  </si>
  <si>
    <t>FX euros to USD</t>
  </si>
  <si>
    <t>$/euro</t>
  </si>
  <si>
    <t>final specific cost</t>
  </si>
  <si>
    <t>San Diego - Queensland</t>
  </si>
  <si>
    <t>$/MW/yr</t>
  </si>
  <si>
    <t>abatement hours</t>
  </si>
  <si>
    <t>tons/MWh</t>
  </si>
  <si>
    <t>hours/year</t>
  </si>
  <si>
    <t>abatement</t>
  </si>
  <si>
    <t>tons/MW/year</t>
  </si>
  <si>
    <t>abatement cost</t>
  </si>
  <si>
    <t>$/MWh</t>
  </si>
  <si>
    <t>cost per MWh</t>
  </si>
  <si>
    <t>duration</t>
  </si>
  <si>
    <t>hrs</t>
  </si>
  <si>
    <t>Annual rev</t>
  </si>
  <si>
    <t>total cost</t>
  </si>
  <si>
    <t>$/MW/year</t>
  </si>
  <si>
    <t>thresh</t>
  </si>
  <si>
    <t>Battery (Queensland)</t>
  </si>
  <si>
    <t>Battery (Boston)</t>
  </si>
  <si>
    <t>Battery (San Diego)</t>
  </si>
  <si>
    <t>Battery (Madrid)</t>
  </si>
  <si>
    <t>final 2024 $ total</t>
  </si>
  <si>
    <t>$</t>
  </si>
  <si>
    <t>North Sea Link</t>
  </si>
  <si>
    <t>Variables</t>
  </si>
  <si>
    <t>Middle</t>
  </si>
  <si>
    <t>Cable Lifetime</t>
  </si>
  <si>
    <t>Cost/MW/mile</t>
  </si>
  <si>
    <t>Discount Rate</t>
  </si>
  <si>
    <t>M</t>
  </si>
  <si>
    <t>Boston-Spain results</t>
  </si>
  <si>
    <t>San Diego-Queensland results</t>
  </si>
  <si>
    <t>existing projects</t>
  </si>
  <si>
    <t>distance (mi)</t>
  </si>
  <si>
    <t>distance (km)</t>
  </si>
  <si>
    <t>Cost ($)</t>
  </si>
  <si>
    <t>capacity (MW)</t>
  </si>
  <si>
    <t>specific cost ($/MW/mi)</t>
  </si>
  <si>
    <t>specific cost ($/MW/km)</t>
  </si>
  <si>
    <t>BritNed</t>
  </si>
  <si>
    <t>NordBalt</t>
  </si>
  <si>
    <t>NordLink</t>
  </si>
  <si>
    <t>NorNed</t>
  </si>
  <si>
    <t>SAPEI</t>
  </si>
  <si>
    <t>Pessimistic</t>
  </si>
  <si>
    <t>Optimistic</t>
  </si>
  <si>
    <t>Location</t>
  </si>
  <si>
    <t>Boston</t>
  </si>
  <si>
    <t>San Diego</t>
  </si>
  <si>
    <t>Spain</t>
  </si>
  <si>
    <t>Australia</t>
  </si>
  <si>
    <t>Year of data</t>
  </si>
  <si>
    <t>Coal avg price that year</t>
  </si>
  <si>
    <t>NG efficiency</t>
  </si>
  <si>
    <t>Coal efficiency</t>
  </si>
  <si>
    <t>NG bid price</t>
  </si>
  <si>
    <t>Coal bid price</t>
  </si>
  <si>
    <t>lower value</t>
  </si>
  <si>
    <t>NG avg price that year ($/MWh_thermal)</t>
  </si>
  <si>
    <t>San Diego-Boston</t>
  </si>
  <si>
    <t>San Diego-Boston results</t>
  </si>
  <si>
    <t>Atlantic</t>
  </si>
  <si>
    <t>Pacific</t>
  </si>
  <si>
    <t>Cross-US</t>
  </si>
  <si>
    <t>Assumptions</t>
  </si>
  <si>
    <t>Key model results</t>
  </si>
  <si>
    <t>Transmission</t>
  </si>
  <si>
    <t>Battery</t>
  </si>
  <si>
    <t>Cost per mile per MW</t>
  </si>
  <si>
    <t>Distance</t>
  </si>
  <si>
    <t>Total cost per MW</t>
  </si>
  <si>
    <t>Discount rate</t>
  </si>
  <si>
    <t>Payback period</t>
  </si>
  <si>
    <t>Lifetime</t>
  </si>
  <si>
    <t>Annual cost</t>
  </si>
  <si>
    <t>Net Annual Profit</t>
  </si>
  <si>
    <t>Threshold</t>
  </si>
  <si>
    <t>Abatement hours</t>
  </si>
  <si>
    <t>Abatement</t>
  </si>
  <si>
    <t>Abatement cost</t>
  </si>
  <si>
    <t>Abatement cost results</t>
  </si>
  <si>
    <t>P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</si>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</sst>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3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7" xfId="0" applyBorder="1"/>
    <xf numFmtId="8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0" xfId="0" applyFont="1"/>
    <xf numFmtId="1" fontId="0" fillId="2" borderId="0" xfId="0" applyNumberFormat="1" applyFill="1"/>
    <xf numFmtId="164" fontId="0" fillId="0" borderId="0" xfId="2" applyNumberFormat="1" applyFont="1" applyBorder="1"/>
    <xf numFmtId="9" fontId="0" fillId="2" borderId="0" xfId="3" applyFont="1" applyFill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9BD5-3A96-F54E-8A18-3CEF6EC1F286}">
  <dimension ref="A1:V20"/>
  <sheetViews>
    <sheetView topLeftCell="B1" workbookViewId="0">
      <selection activeCell="H16" sqref="H16"/>
    </sheetView>
  </sheetViews>
  <sheetFormatPr baseColWidth="10" defaultRowHeight="16" x14ac:dyDescent="0.2"/>
  <cols>
    <col min="1" max="1" width="16.5" customWidth="1"/>
    <col min="2" max="2" width="19.1640625" customWidth="1"/>
    <col min="3" max="3" width="12.33203125" customWidth="1"/>
    <col min="4" max="4" width="19.1640625" customWidth="1"/>
    <col min="5" max="5" width="19.33203125" customWidth="1"/>
    <col min="6" max="6" width="12.83203125" customWidth="1"/>
    <col min="7" max="7" width="18.83203125" customWidth="1"/>
    <col min="8" max="8" width="15.83203125" customWidth="1"/>
    <col min="9" max="9" width="12.33203125" customWidth="1"/>
    <col min="11" max="11" width="13.5" customWidth="1"/>
    <col min="12" max="12" width="20.6640625" customWidth="1"/>
    <col min="15" max="15" width="13.83203125" customWidth="1"/>
    <col min="17" max="17" width="15" customWidth="1"/>
    <col min="18" max="18" width="18.33203125" customWidth="1"/>
    <col min="19" max="19" width="14" customWidth="1"/>
    <col min="21" max="21" width="16.33203125" customWidth="1"/>
    <col min="24" max="24" width="15.6640625" customWidth="1"/>
  </cols>
  <sheetData>
    <row r="1" spans="1:22" x14ac:dyDescent="0.2">
      <c r="A1" s="26" t="s">
        <v>97</v>
      </c>
      <c r="B1" s="26"/>
      <c r="C1" s="26"/>
      <c r="D1" s="26"/>
      <c r="E1" s="26"/>
      <c r="F1" s="26"/>
      <c r="G1" s="26"/>
      <c r="H1" s="26"/>
      <c r="I1" s="26"/>
      <c r="K1" s="26" t="s">
        <v>98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2">
      <c r="A2" s="20" t="s">
        <v>92</v>
      </c>
      <c r="B2" t="s">
        <v>15</v>
      </c>
      <c r="D2" s="25" t="s">
        <v>93</v>
      </c>
      <c r="E2" s="18" t="s">
        <v>32</v>
      </c>
      <c r="F2" s="19"/>
      <c r="G2" s="21" t="s">
        <v>94</v>
      </c>
      <c r="H2" t="s">
        <v>90</v>
      </c>
      <c r="I2" s="11"/>
      <c r="K2" s="17"/>
      <c r="L2" s="18" t="s">
        <v>48</v>
      </c>
      <c r="M2" s="19"/>
      <c r="O2" t="s">
        <v>49</v>
      </c>
      <c r="Q2" s="17"/>
      <c r="R2" s="18" t="s">
        <v>50</v>
      </c>
      <c r="S2" s="19"/>
      <c r="U2" t="s">
        <v>51</v>
      </c>
      <c r="V2" s="11"/>
    </row>
    <row r="3" spans="1:22" x14ac:dyDescent="0.2">
      <c r="A3" s="10" t="s">
        <v>99</v>
      </c>
      <c r="B3" s="22">
        <v>2000</v>
      </c>
      <c r="C3" t="s">
        <v>20</v>
      </c>
      <c r="D3" s="10" t="s">
        <v>99</v>
      </c>
      <c r="E3" s="22">
        <v>2000</v>
      </c>
      <c r="F3" s="11" t="s">
        <v>20</v>
      </c>
      <c r="G3" s="10" t="s">
        <v>99</v>
      </c>
      <c r="H3" s="22">
        <v>2000</v>
      </c>
      <c r="I3" s="11" t="s">
        <v>20</v>
      </c>
      <c r="K3" s="10" t="s">
        <v>41</v>
      </c>
      <c r="L3">
        <v>300000</v>
      </c>
      <c r="M3" s="11" t="s">
        <v>40</v>
      </c>
      <c r="N3" t="s">
        <v>41</v>
      </c>
      <c r="O3">
        <v>300000</v>
      </c>
      <c r="P3" t="s">
        <v>40</v>
      </c>
      <c r="Q3" s="10" t="s">
        <v>41</v>
      </c>
      <c r="R3">
        <v>300000</v>
      </c>
      <c r="S3" s="11" t="s">
        <v>40</v>
      </c>
      <c r="T3" t="s">
        <v>41</v>
      </c>
      <c r="U3">
        <v>300000</v>
      </c>
      <c r="V3" s="11" t="s">
        <v>40</v>
      </c>
    </row>
    <row r="4" spans="1:22" x14ac:dyDescent="0.2">
      <c r="A4" s="10" t="s">
        <v>100</v>
      </c>
      <c r="B4">
        <v>3500</v>
      </c>
      <c r="C4" t="s">
        <v>16</v>
      </c>
      <c r="D4" s="10" t="s">
        <v>100</v>
      </c>
      <c r="E4">
        <v>7200</v>
      </c>
      <c r="F4" s="11" t="s">
        <v>16</v>
      </c>
      <c r="G4" s="10" t="s">
        <v>100</v>
      </c>
      <c r="H4">
        <v>2500</v>
      </c>
      <c r="I4" s="11" t="s">
        <v>16</v>
      </c>
      <c r="K4" s="10" t="s">
        <v>42</v>
      </c>
      <c r="L4">
        <v>4</v>
      </c>
      <c r="M4" s="11" t="s">
        <v>43</v>
      </c>
      <c r="N4" t="s">
        <v>42</v>
      </c>
      <c r="O4">
        <v>4</v>
      </c>
      <c r="P4" t="s">
        <v>43</v>
      </c>
      <c r="Q4" s="10" t="s">
        <v>42</v>
      </c>
      <c r="R4">
        <v>4</v>
      </c>
      <c r="S4" s="11" t="s">
        <v>43</v>
      </c>
      <c r="T4" t="s">
        <v>42</v>
      </c>
      <c r="U4">
        <v>4</v>
      </c>
      <c r="V4" s="11" t="s">
        <v>43</v>
      </c>
    </row>
    <row r="5" spans="1:22" x14ac:dyDescent="0.2">
      <c r="A5" s="10" t="s">
        <v>101</v>
      </c>
      <c r="B5" s="23">
        <f>B3*B4</f>
        <v>7000000</v>
      </c>
      <c r="C5" t="s">
        <v>19</v>
      </c>
      <c r="D5" s="10" t="s">
        <v>101</v>
      </c>
      <c r="E5" s="23">
        <f>E3*E4</f>
        <v>14400000</v>
      </c>
      <c r="F5" s="11" t="s">
        <v>19</v>
      </c>
      <c r="G5" s="10" t="s">
        <v>101</v>
      </c>
      <c r="H5" s="23">
        <f>H3*H4</f>
        <v>5000000</v>
      </c>
      <c r="I5" s="11" t="s">
        <v>19</v>
      </c>
      <c r="K5" s="10" t="s">
        <v>45</v>
      </c>
      <c r="L5">
        <f>L4*L3</f>
        <v>1200000</v>
      </c>
      <c r="M5" s="11" t="s">
        <v>19</v>
      </c>
      <c r="N5" t="s">
        <v>45</v>
      </c>
      <c r="O5">
        <f>O4*O3</f>
        <v>1200000</v>
      </c>
      <c r="P5" t="s">
        <v>19</v>
      </c>
      <c r="Q5" s="10" t="s">
        <v>45</v>
      </c>
      <c r="R5">
        <f>R4*R3</f>
        <v>1200000</v>
      </c>
      <c r="S5" s="11" t="s">
        <v>19</v>
      </c>
      <c r="T5" t="s">
        <v>45</v>
      </c>
      <c r="U5">
        <f>U4*U3</f>
        <v>1200000</v>
      </c>
      <c r="V5" s="11" t="s">
        <v>19</v>
      </c>
    </row>
    <row r="6" spans="1:22" x14ac:dyDescent="0.2">
      <c r="A6" s="10" t="s">
        <v>18</v>
      </c>
      <c r="B6" s="9">
        <v>965000</v>
      </c>
      <c r="C6" t="s">
        <v>19</v>
      </c>
      <c r="D6" s="10" t="s">
        <v>18</v>
      </c>
      <c r="E6" s="9">
        <v>492000</v>
      </c>
      <c r="F6" s="11" t="s">
        <v>19</v>
      </c>
      <c r="G6" s="10" t="s">
        <v>18</v>
      </c>
      <c r="H6" s="9">
        <v>448000</v>
      </c>
      <c r="I6" s="11" t="s">
        <v>19</v>
      </c>
      <c r="K6" s="10" t="s">
        <v>44</v>
      </c>
      <c r="L6">
        <f>217950</f>
        <v>217950</v>
      </c>
      <c r="M6" s="11" t="s">
        <v>40</v>
      </c>
      <c r="N6" t="s">
        <v>44</v>
      </c>
      <c r="O6">
        <f>109000</f>
        <v>109000</v>
      </c>
      <c r="P6" t="s">
        <v>40</v>
      </c>
      <c r="Q6" s="10" t="s">
        <v>44</v>
      </c>
      <c r="R6">
        <v>96200</v>
      </c>
      <c r="S6" s="11" t="s">
        <v>40</v>
      </c>
      <c r="T6" t="s">
        <v>44</v>
      </c>
      <c r="U6">
        <f>112000</f>
        <v>112000</v>
      </c>
      <c r="V6" s="11" t="s">
        <v>40</v>
      </c>
    </row>
    <row r="7" spans="1:22" x14ac:dyDescent="0.2">
      <c r="A7" s="10" t="s">
        <v>102</v>
      </c>
      <c r="B7" s="24">
        <v>0.05</v>
      </c>
      <c r="C7" t="s">
        <v>22</v>
      </c>
      <c r="D7" s="10" t="s">
        <v>102</v>
      </c>
      <c r="E7" s="24">
        <v>0.05</v>
      </c>
      <c r="F7" s="11" t="s">
        <v>22</v>
      </c>
      <c r="G7" s="10" t="s">
        <v>102</v>
      </c>
      <c r="H7" s="24">
        <v>0.05</v>
      </c>
      <c r="I7" s="11" t="s">
        <v>22</v>
      </c>
      <c r="K7" s="10" t="s">
        <v>21</v>
      </c>
      <c r="L7" s="2">
        <f>E7</f>
        <v>0.05</v>
      </c>
      <c r="M7" s="11"/>
      <c r="N7" t="s">
        <v>21</v>
      </c>
      <c r="O7" s="2">
        <f>L7</f>
        <v>0.05</v>
      </c>
      <c r="Q7" s="10" t="s">
        <v>21</v>
      </c>
      <c r="R7" s="2">
        <f>O7</f>
        <v>0.05</v>
      </c>
      <c r="S7" s="11"/>
      <c r="T7" t="s">
        <v>21</v>
      </c>
      <c r="U7" s="2">
        <f>R7</f>
        <v>0.05</v>
      </c>
      <c r="V7" s="11"/>
    </row>
    <row r="8" spans="1:22" x14ac:dyDescent="0.2">
      <c r="A8" s="10" t="s">
        <v>103</v>
      </c>
      <c r="B8" s="12">
        <f>NPER(B7,B6,-B5)</f>
        <v>9.233537972284962</v>
      </c>
      <c r="C8" t="s">
        <v>4</v>
      </c>
      <c r="D8" s="10" t="s">
        <v>103</v>
      </c>
      <c r="E8" s="12" t="e">
        <f>NPER(E7,E6,-E5)</f>
        <v>#NUM!</v>
      </c>
      <c r="F8" s="11" t="s">
        <v>4</v>
      </c>
      <c r="G8" s="10" t="s">
        <v>103</v>
      </c>
      <c r="H8" s="12">
        <f>NPER(H7,H6,-H5)</f>
        <v>16.735467396357294</v>
      </c>
      <c r="I8" s="11" t="s">
        <v>4</v>
      </c>
      <c r="K8" s="10" t="s">
        <v>23</v>
      </c>
      <c r="L8" s="12">
        <f>NPER(L7,L6,-L5)</f>
        <v>6.599427505883213</v>
      </c>
      <c r="M8" s="11" t="s">
        <v>4</v>
      </c>
      <c r="N8" t="s">
        <v>23</v>
      </c>
      <c r="O8" s="12">
        <f>NPER(O7,O6,-O5)</f>
        <v>16.387064846554381</v>
      </c>
      <c r="P8" t="s">
        <v>4</v>
      </c>
      <c r="Q8" s="10" t="s">
        <v>23</v>
      </c>
      <c r="R8" s="12">
        <f>NPER(R7,R6,-R5)</f>
        <v>20.032116216003146</v>
      </c>
      <c r="S8" s="11" t="s">
        <v>4</v>
      </c>
      <c r="T8" t="s">
        <v>23</v>
      </c>
      <c r="U8" s="12">
        <f>NPER(U7,U6,-U5)</f>
        <v>15.725611212318217</v>
      </c>
      <c r="V8" s="11" t="s">
        <v>4</v>
      </c>
    </row>
    <row r="9" spans="1:22" x14ac:dyDescent="0.2">
      <c r="A9" s="10"/>
      <c r="D9" s="10"/>
      <c r="F9" s="11"/>
      <c r="G9" s="10"/>
      <c r="I9" s="11"/>
      <c r="K9" s="10"/>
      <c r="M9" s="11"/>
      <c r="Q9" s="10"/>
      <c r="S9" s="11"/>
      <c r="V9" s="11"/>
    </row>
    <row r="10" spans="1:22" x14ac:dyDescent="0.2">
      <c r="A10" s="10" t="s">
        <v>104</v>
      </c>
      <c r="B10" s="8">
        <v>25</v>
      </c>
      <c r="C10" t="s">
        <v>4</v>
      </c>
      <c r="D10" s="10" t="s">
        <v>104</v>
      </c>
      <c r="E10" s="8">
        <v>25</v>
      </c>
      <c r="F10" s="11" t="s">
        <v>4</v>
      </c>
      <c r="G10" s="10" t="s">
        <v>104</v>
      </c>
      <c r="H10" s="8">
        <v>25</v>
      </c>
      <c r="I10" s="11" t="s">
        <v>4</v>
      </c>
      <c r="K10" s="10" t="s">
        <v>3</v>
      </c>
      <c r="L10">
        <v>12</v>
      </c>
      <c r="M10" s="11" t="s">
        <v>4</v>
      </c>
      <c r="N10" t="s">
        <v>3</v>
      </c>
      <c r="O10">
        <v>12</v>
      </c>
      <c r="P10" t="s">
        <v>4</v>
      </c>
      <c r="Q10" s="10" t="s">
        <v>3</v>
      </c>
      <c r="R10">
        <v>12</v>
      </c>
      <c r="S10" s="11" t="s">
        <v>4</v>
      </c>
      <c r="T10" t="s">
        <v>3</v>
      </c>
      <c r="U10">
        <v>12</v>
      </c>
      <c r="V10" s="11" t="s">
        <v>4</v>
      </c>
    </row>
    <row r="11" spans="1:22" x14ac:dyDescent="0.2">
      <c r="A11" s="10" t="s">
        <v>105</v>
      </c>
      <c r="B11" s="3">
        <f>PMT(B7,B10,B5)</f>
        <v>-496667.20109460736</v>
      </c>
      <c r="C11" t="s">
        <v>33</v>
      </c>
      <c r="D11" s="10" t="s">
        <v>105</v>
      </c>
      <c r="E11" s="3">
        <f>PMT(E7,E10,E5)</f>
        <v>-1021715.3851089064</v>
      </c>
      <c r="F11" s="11" t="s">
        <v>33</v>
      </c>
      <c r="G11" s="10" t="s">
        <v>105</v>
      </c>
      <c r="H11" s="3">
        <f>PMT(H7,H10,H5)</f>
        <v>-354762.2864961481</v>
      </c>
      <c r="I11" s="11" t="s">
        <v>33</v>
      </c>
      <c r="K11" s="10" t="s">
        <v>5</v>
      </c>
      <c r="L11" s="3">
        <f>PMT(L7,L10,L5)</f>
        <v>-135390.49202497848</v>
      </c>
      <c r="M11" s="11" t="s">
        <v>46</v>
      </c>
      <c r="N11" t="s">
        <v>5</v>
      </c>
      <c r="O11" s="3">
        <f>PMT(O7,O10,O5)</f>
        <v>-135390.49202497848</v>
      </c>
      <c r="P11" t="s">
        <v>46</v>
      </c>
      <c r="Q11" s="10" t="s">
        <v>5</v>
      </c>
      <c r="R11" s="3">
        <f>PMT(R7,R10,R5)</f>
        <v>-135390.49202497848</v>
      </c>
      <c r="S11" s="11" t="s">
        <v>46</v>
      </c>
      <c r="T11" t="s">
        <v>5</v>
      </c>
      <c r="U11" s="3">
        <f>PMT(U7,U10,U5)</f>
        <v>-135390.49202497848</v>
      </c>
      <c r="V11" s="11" t="s">
        <v>46</v>
      </c>
    </row>
    <row r="12" spans="1:22" x14ac:dyDescent="0.2">
      <c r="A12" s="10" t="s">
        <v>106</v>
      </c>
      <c r="B12" s="3">
        <f>B11+B6</f>
        <v>468332.79890539264</v>
      </c>
      <c r="C12" t="s">
        <v>33</v>
      </c>
      <c r="D12" s="10" t="s">
        <v>106</v>
      </c>
      <c r="E12" s="3">
        <f>E11+E6</f>
        <v>-529715.38510890643</v>
      </c>
      <c r="F12" s="11" t="s">
        <v>33</v>
      </c>
      <c r="G12" s="10" t="s">
        <v>106</v>
      </c>
      <c r="H12" s="3">
        <f>H11+H6</f>
        <v>93237.713503851905</v>
      </c>
      <c r="I12" s="11" t="s">
        <v>33</v>
      </c>
      <c r="K12" s="10" t="s">
        <v>10</v>
      </c>
      <c r="L12" s="3">
        <f>L11+L6</f>
        <v>82559.507975021523</v>
      </c>
      <c r="M12" s="11" t="s">
        <v>46</v>
      </c>
      <c r="N12" t="s">
        <v>10</v>
      </c>
      <c r="O12" s="3">
        <f>O11+O6</f>
        <v>-26390.492024978477</v>
      </c>
      <c r="P12" t="s">
        <v>46</v>
      </c>
      <c r="Q12" s="10" t="s">
        <v>10</v>
      </c>
      <c r="R12" s="3">
        <f>R11+R6</f>
        <v>-39190.492024978477</v>
      </c>
      <c r="S12" s="11" t="s">
        <v>46</v>
      </c>
      <c r="T12" t="s">
        <v>10</v>
      </c>
      <c r="U12" s="3">
        <f>U11+U6</f>
        <v>-23390.492024978477</v>
      </c>
      <c r="V12" s="11" t="s">
        <v>46</v>
      </c>
    </row>
    <row r="13" spans="1:22" x14ac:dyDescent="0.2">
      <c r="A13" s="10" t="s">
        <v>107</v>
      </c>
      <c r="B13" s="8">
        <v>50</v>
      </c>
      <c r="C13" t="s">
        <v>40</v>
      </c>
      <c r="D13" s="10" t="s">
        <v>107</v>
      </c>
      <c r="E13" s="8">
        <v>50</v>
      </c>
      <c r="F13" s="11" t="s">
        <v>40</v>
      </c>
      <c r="G13" s="10" t="s">
        <v>107</v>
      </c>
      <c r="H13" s="8"/>
      <c r="I13" s="11" t="s">
        <v>40</v>
      </c>
      <c r="K13" s="10" t="s">
        <v>47</v>
      </c>
      <c r="L13">
        <v>80</v>
      </c>
      <c r="M13" s="11" t="s">
        <v>40</v>
      </c>
      <c r="N13" t="s">
        <v>47</v>
      </c>
      <c r="O13">
        <v>63</v>
      </c>
      <c r="P13" t="s">
        <v>40</v>
      </c>
      <c r="Q13" s="10" t="s">
        <v>47</v>
      </c>
      <c r="R13">
        <v>50</v>
      </c>
      <c r="S13" s="11" t="s">
        <v>40</v>
      </c>
      <c r="T13" t="s">
        <v>47</v>
      </c>
      <c r="U13">
        <v>50</v>
      </c>
      <c r="V13" s="11" t="s">
        <v>40</v>
      </c>
    </row>
    <row r="14" spans="1:22" x14ac:dyDescent="0.2">
      <c r="A14" s="10" t="s">
        <v>108</v>
      </c>
      <c r="B14" s="9">
        <v>-1499</v>
      </c>
      <c r="C14" t="s">
        <v>36</v>
      </c>
      <c r="D14" s="10" t="s">
        <v>108</v>
      </c>
      <c r="E14" s="9">
        <v>2916</v>
      </c>
      <c r="F14" s="11" t="s">
        <v>36</v>
      </c>
      <c r="G14" s="10" t="s">
        <v>108</v>
      </c>
      <c r="H14" s="9">
        <v>1970</v>
      </c>
      <c r="I14" s="11" t="s">
        <v>36</v>
      </c>
      <c r="K14" s="10" t="s">
        <v>34</v>
      </c>
      <c r="L14">
        <v>1254</v>
      </c>
      <c r="M14" s="11" t="s">
        <v>36</v>
      </c>
      <c r="N14" t="s">
        <v>34</v>
      </c>
      <c r="O14">
        <v>910</v>
      </c>
      <c r="P14" t="s">
        <v>36</v>
      </c>
      <c r="Q14" s="10" t="s">
        <v>34</v>
      </c>
      <c r="R14">
        <v>901</v>
      </c>
      <c r="S14" s="11" t="s">
        <v>36</v>
      </c>
      <c r="T14" t="s">
        <v>34</v>
      </c>
      <c r="U14">
        <v>726</v>
      </c>
      <c r="V14" s="11" t="s">
        <v>36</v>
      </c>
    </row>
    <row r="15" spans="1:22" x14ac:dyDescent="0.2">
      <c r="A15" s="10"/>
      <c r="B15" s="8">
        <v>0.5</v>
      </c>
      <c r="C15" t="s">
        <v>35</v>
      </c>
      <c r="D15" s="10"/>
      <c r="E15" s="8">
        <v>0.5</v>
      </c>
      <c r="F15" s="11" t="s">
        <v>35</v>
      </c>
      <c r="G15" s="10"/>
      <c r="H15" s="8">
        <v>0.5</v>
      </c>
      <c r="I15" s="11" t="s">
        <v>35</v>
      </c>
      <c r="K15" s="10"/>
      <c r="L15" s="8">
        <v>0.5</v>
      </c>
      <c r="M15" s="11" t="s">
        <v>35</v>
      </c>
      <c r="O15" s="8">
        <v>0.5</v>
      </c>
      <c r="P15" t="s">
        <v>35</v>
      </c>
      <c r="Q15" s="10"/>
      <c r="R15" s="8">
        <v>0.5</v>
      </c>
      <c r="S15" s="11" t="s">
        <v>35</v>
      </c>
      <c r="U15" s="8">
        <v>0.5</v>
      </c>
      <c r="V15" s="11" t="s">
        <v>35</v>
      </c>
    </row>
    <row r="16" spans="1:22" x14ac:dyDescent="0.2">
      <c r="A16" s="10" t="s">
        <v>109</v>
      </c>
      <c r="B16">
        <f>B14*B15</f>
        <v>-749.5</v>
      </c>
      <c r="C16" t="s">
        <v>38</v>
      </c>
      <c r="D16" s="10" t="s">
        <v>109</v>
      </c>
      <c r="E16">
        <f>E14*E15</f>
        <v>1458</v>
      </c>
      <c r="F16" s="11" t="s">
        <v>38</v>
      </c>
      <c r="G16" s="10" t="s">
        <v>109</v>
      </c>
      <c r="H16">
        <f>H14*H15</f>
        <v>985</v>
      </c>
      <c r="I16" s="11" t="s">
        <v>38</v>
      </c>
      <c r="K16" s="10" t="s">
        <v>37</v>
      </c>
      <c r="L16">
        <f>L14*L15</f>
        <v>627</v>
      </c>
      <c r="M16" s="11" t="s">
        <v>38</v>
      </c>
      <c r="N16" t="s">
        <v>37</v>
      </c>
      <c r="O16">
        <f>O14*O15</f>
        <v>455</v>
      </c>
      <c r="P16" t="s">
        <v>38</v>
      </c>
      <c r="Q16" s="10" t="s">
        <v>37</v>
      </c>
      <c r="R16">
        <f>R14*R15</f>
        <v>450.5</v>
      </c>
      <c r="S16" s="11" t="s">
        <v>38</v>
      </c>
      <c r="T16" t="s">
        <v>37</v>
      </c>
      <c r="U16">
        <f>U14*U15</f>
        <v>363</v>
      </c>
      <c r="V16" s="11" t="s">
        <v>38</v>
      </c>
    </row>
    <row r="17" spans="1:22" x14ac:dyDescent="0.2">
      <c r="A17" s="13" t="s">
        <v>110</v>
      </c>
      <c r="B17" s="14">
        <f>-B12/B16</f>
        <v>624.86030541079742</v>
      </c>
      <c r="C17" s="15" t="s">
        <v>8</v>
      </c>
      <c r="D17" s="13" t="s">
        <v>110</v>
      </c>
      <c r="E17" s="14">
        <f>-E12/E16</f>
        <v>363.3164506919797</v>
      </c>
      <c r="F17" s="16" t="s">
        <v>8</v>
      </c>
      <c r="G17" s="13" t="s">
        <v>110</v>
      </c>
      <c r="H17" s="14">
        <f>-H12/H16</f>
        <v>-94.657577161270964</v>
      </c>
      <c r="I17" s="16" t="s">
        <v>8</v>
      </c>
      <c r="K17" s="13" t="s">
        <v>39</v>
      </c>
      <c r="L17" s="14">
        <f>-L12/L16</f>
        <v>-131.67385641949207</v>
      </c>
      <c r="M17" s="16" t="s">
        <v>8</v>
      </c>
      <c r="N17" s="15" t="s">
        <v>39</v>
      </c>
      <c r="O17" s="14">
        <f>-O12/O16</f>
        <v>58.001081373579069</v>
      </c>
      <c r="P17" s="15" t="s">
        <v>8</v>
      </c>
      <c r="Q17" s="13" t="s">
        <v>39</v>
      </c>
      <c r="R17" s="14">
        <f>-R12/R16</f>
        <v>86.993323029918926</v>
      </c>
      <c r="S17" s="16" t="s">
        <v>8</v>
      </c>
      <c r="T17" s="15" t="s">
        <v>39</v>
      </c>
      <c r="U17" s="14">
        <f>-U12/U16</f>
        <v>64.436617148701046</v>
      </c>
      <c r="V17" s="16" t="s">
        <v>8</v>
      </c>
    </row>
    <row r="19" spans="1:22" x14ac:dyDescent="0.2">
      <c r="A19" s="8" t="s">
        <v>95</v>
      </c>
    </row>
    <row r="20" spans="1:22" x14ac:dyDescent="0.2">
      <c r="A20" s="9" t="s">
        <v>96</v>
      </c>
    </row>
  </sheetData>
  <mergeCells count="2">
    <mergeCell ref="A1:I1"/>
    <mergeCell ref="K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34A2-6716-DA49-BC8A-A785D0C68420}">
  <dimension ref="A1:I5"/>
  <sheetViews>
    <sheetView workbookViewId="0">
      <selection activeCell="C4" sqref="C4"/>
    </sheetView>
  </sheetViews>
  <sheetFormatPr baseColWidth="10" defaultRowHeight="16" x14ac:dyDescent="0.2"/>
  <cols>
    <col min="3" max="3" width="14.1640625" customWidth="1"/>
    <col min="4" max="4" width="16" customWidth="1"/>
  </cols>
  <sheetData>
    <row r="1" spans="1:9" x14ac:dyDescent="0.2">
      <c r="A1" t="s">
        <v>77</v>
      </c>
      <c r="B1" t="s">
        <v>82</v>
      </c>
      <c r="C1" t="s">
        <v>89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</row>
    <row r="2" spans="1:9" x14ac:dyDescent="0.2">
      <c r="A2" t="s">
        <v>78</v>
      </c>
      <c r="B2">
        <v>2022</v>
      </c>
      <c r="C2">
        <v>22.01</v>
      </c>
      <c r="D2">
        <v>10000</v>
      </c>
      <c r="E2">
        <v>0.35</v>
      </c>
      <c r="F2">
        <v>0.3</v>
      </c>
      <c r="G2">
        <f>C2/E2</f>
        <v>62.885714285714293</v>
      </c>
      <c r="H2">
        <f>D2/F2</f>
        <v>33333.333333333336</v>
      </c>
      <c r="I2" s="8">
        <f>MIN(G2:H2)</f>
        <v>62.885714285714293</v>
      </c>
    </row>
    <row r="3" spans="1:9" x14ac:dyDescent="0.2">
      <c r="A3" t="s">
        <v>79</v>
      </c>
      <c r="B3">
        <v>2023</v>
      </c>
      <c r="C3">
        <v>8.77</v>
      </c>
      <c r="D3">
        <v>10000</v>
      </c>
      <c r="E3">
        <v>0.35</v>
      </c>
      <c r="F3">
        <v>0.3</v>
      </c>
      <c r="G3">
        <f t="shared" ref="G3:G5" si="0">C3/E3</f>
        <v>25.057142857142857</v>
      </c>
      <c r="H3">
        <f t="shared" ref="H3:H5" si="1">D3/F3</f>
        <v>33333.333333333336</v>
      </c>
      <c r="I3" s="8">
        <f t="shared" ref="I3:I4" si="2">MIN(G3:H3)</f>
        <v>25.057142857142857</v>
      </c>
    </row>
    <row r="4" spans="1:9" x14ac:dyDescent="0.2">
      <c r="A4" t="s">
        <v>80</v>
      </c>
      <c r="B4">
        <v>2022</v>
      </c>
      <c r="C4">
        <v>80</v>
      </c>
      <c r="D4">
        <v>10000</v>
      </c>
      <c r="E4">
        <v>0.35</v>
      </c>
      <c r="F4">
        <v>0.3</v>
      </c>
      <c r="G4">
        <f t="shared" si="0"/>
        <v>228.57142857142858</v>
      </c>
      <c r="H4">
        <f t="shared" si="1"/>
        <v>33333.333333333336</v>
      </c>
      <c r="I4" s="8">
        <f t="shared" si="2"/>
        <v>228.57142857142858</v>
      </c>
    </row>
    <row r="5" spans="1:9" x14ac:dyDescent="0.2">
      <c r="A5" t="s">
        <v>81</v>
      </c>
      <c r="B5">
        <v>2023</v>
      </c>
      <c r="C5">
        <v>10000</v>
      </c>
      <c r="D5">
        <v>10000</v>
      </c>
      <c r="E5">
        <v>0.35</v>
      </c>
      <c r="F5">
        <v>0.3</v>
      </c>
      <c r="G5">
        <f t="shared" si="0"/>
        <v>28571.428571428572</v>
      </c>
      <c r="H5">
        <f t="shared" si="1"/>
        <v>33333.333333333336</v>
      </c>
      <c r="I5" s="8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89FA-3E7E-CE48-9C7F-BBF86F6ED647}">
  <dimension ref="A1:S10"/>
  <sheetViews>
    <sheetView tabSelected="1" topLeftCell="E1" workbookViewId="0">
      <selection activeCell="P13" sqref="P13"/>
    </sheetView>
  </sheetViews>
  <sheetFormatPr baseColWidth="10" defaultRowHeight="16" x14ac:dyDescent="0.2"/>
  <cols>
    <col min="1" max="1" width="16.83203125" customWidth="1"/>
    <col min="6" max="6" width="22.6640625" customWidth="1"/>
    <col min="7" max="7" width="12.5" bestFit="1" customWidth="1"/>
    <col min="8" max="9" width="15.6640625" customWidth="1"/>
    <col min="10" max="10" width="3.1640625" customWidth="1"/>
    <col min="11" max="11" width="18" customWidth="1"/>
    <col min="12" max="12" width="13.6640625" customWidth="1"/>
    <col min="13" max="13" width="12.83203125" customWidth="1"/>
    <col min="14" max="14" width="15" customWidth="1"/>
    <col min="16" max="16" width="19" customWidth="1"/>
    <col min="17" max="17" width="17.5" customWidth="1"/>
    <col min="18" max="18" width="15.33203125" customWidth="1"/>
    <col min="19" max="19" width="17" customWidth="1"/>
  </cols>
  <sheetData>
    <row r="1" spans="1:19" x14ac:dyDescent="0.2">
      <c r="A1" t="s">
        <v>55</v>
      </c>
      <c r="B1" t="s">
        <v>75</v>
      </c>
      <c r="C1" t="s">
        <v>56</v>
      </c>
      <c r="D1" t="s">
        <v>76</v>
      </c>
      <c r="F1" t="s">
        <v>61</v>
      </c>
      <c r="G1" t="s">
        <v>112</v>
      </c>
      <c r="H1" t="s">
        <v>60</v>
      </c>
      <c r="I1" t="s">
        <v>113</v>
      </c>
      <c r="K1" t="s">
        <v>62</v>
      </c>
      <c r="L1" t="s">
        <v>112</v>
      </c>
      <c r="M1" t="s">
        <v>60</v>
      </c>
      <c r="N1" t="s">
        <v>113</v>
      </c>
      <c r="P1" t="s">
        <v>91</v>
      </c>
      <c r="Q1" t="s">
        <v>112</v>
      </c>
      <c r="R1" t="s">
        <v>60</v>
      </c>
      <c r="S1" t="s">
        <v>113</v>
      </c>
    </row>
    <row r="2" spans="1:19" x14ac:dyDescent="0.2">
      <c r="A2" t="s">
        <v>57</v>
      </c>
      <c r="B2">
        <v>15</v>
      </c>
      <c r="C2">
        <v>25</v>
      </c>
      <c r="D2">
        <v>50</v>
      </c>
      <c r="G2" s="3">
        <f>PMT($C$4,B$2,$C$3*Summary!$B$4)+Summary!$B$6</f>
        <v>290603.98673528945</v>
      </c>
      <c r="H2" s="3">
        <f>PMT($C$4,C$2,$C$3*Summary!$B$4)+Summary!$B$6</f>
        <v>468332.79890539264</v>
      </c>
      <c r="I2" s="3">
        <f>PMT($C$4,D$2,$C$3*Summary!$B$4)+Summary!$B$6</f>
        <v>581562.85159984464</v>
      </c>
      <c r="L2" s="3">
        <f>PMT($C$4,B$2,$C$3*Summary!$E$4)+Summary!$E$6</f>
        <v>-895328.94157311879</v>
      </c>
      <c r="M2" s="3">
        <f>PMT($C$4,C$2,$C$3*Summary!$E$4)+Summary!$E$6</f>
        <v>-529715.38510890643</v>
      </c>
      <c r="N2" s="3">
        <f>PMT($C$4,D$2,$C$3*Summary!$E$4)+Summary!$E$6</f>
        <v>-296784.99099460524</v>
      </c>
      <c r="Q2" s="3">
        <f>PMT($C$4,B$2,$C$3*Summary!$H$4)+Summary!$H$6</f>
        <v>-33711.438046221854</v>
      </c>
      <c r="R2" s="3">
        <f>PMT($C$4,C$2,$C$3*Summary!$H$4)+Summary!$H$6</f>
        <v>93237.713503851905</v>
      </c>
      <c r="S2" s="3">
        <f>PMT($C$4,D$2,$C$3*Summary!$H$4)+Summary!$H$6</f>
        <v>174116.32257131761</v>
      </c>
    </row>
    <row r="3" spans="1:19" x14ac:dyDescent="0.2">
      <c r="A3" t="s">
        <v>58</v>
      </c>
      <c r="B3">
        <v>3000</v>
      </c>
      <c r="C3">
        <v>2000</v>
      </c>
      <c r="D3">
        <v>1000</v>
      </c>
      <c r="G3" s="3">
        <f>PMT($C$4,$C$2,B$3*Summary!$B$4)+Summary!$B$6</f>
        <v>219999.19835808896</v>
      </c>
      <c r="H3" s="3">
        <f>PMT($C$4,$C$2,C$3*Summary!$B$4)+Summary!$B$6</f>
        <v>468332.79890539264</v>
      </c>
      <c r="I3" s="3">
        <f>PMT($C$4,$C$2,D$3*Summary!$B$4)+Summary!$B$6</f>
        <v>716666.39945269632</v>
      </c>
      <c r="L3" s="3">
        <f>PMT($C$4,$C$2,B$3*Summary!$E$4)+Summary!$E$6</f>
        <v>-1040573.0776633599</v>
      </c>
      <c r="M3" s="3">
        <f>PMT($C$4,$C$2,C$3*Summary!$E$4)+Summary!$E$6</f>
        <v>-529715.38510890643</v>
      </c>
      <c r="N3" s="3">
        <f>PMT($C$4,$C$2,D$3*Summary!$E$4)+Summary!$E$6</f>
        <v>-18857.692554453213</v>
      </c>
      <c r="Q3" s="3">
        <f>PMT($C$4,$C$2,B$3*Summary!$H$4)+Summary!$H$6</f>
        <v>-84143.429744222085</v>
      </c>
      <c r="R3" s="3">
        <f>PMT($C$4,$C$2,C$3*Summary!$H$4)+Summary!$H$6</f>
        <v>93237.713503851905</v>
      </c>
      <c r="S3" s="3">
        <f>PMT($C$4,$C$2,D$3*Summary!$H$4)+Summary!$H$6</f>
        <v>270618.85675192595</v>
      </c>
    </row>
    <row r="4" spans="1:19" x14ac:dyDescent="0.2">
      <c r="A4" t="s">
        <v>59</v>
      </c>
      <c r="B4" s="6">
        <v>0.1</v>
      </c>
      <c r="C4" s="6">
        <v>0.05</v>
      </c>
      <c r="D4" s="6">
        <v>0.03</v>
      </c>
      <c r="G4" s="3">
        <f>PMT(B$4,$C$2,$C$3*Summary!$B$4)+Summary!$B$6</f>
        <v>193823.49466985406</v>
      </c>
      <c r="H4" s="3">
        <f>PMT(C$4,$C$2,$C$3*Summary!$B$4)+Summary!$B$6</f>
        <v>468332.79890539264</v>
      </c>
      <c r="I4" s="3">
        <f>PMT(D$4,$C$2,$C$3*Summary!$B$4)+Summary!$B$6</f>
        <v>563004.90272610541</v>
      </c>
      <c r="L4" s="3">
        <f>PMT(B$4,$C$2,$C$3*Summary!$E$4)+Summary!$E$6</f>
        <v>-1094420.2395363003</v>
      </c>
      <c r="M4" s="3">
        <f>PMT(C$4,$C$2,$C$3*Summary!$E$4)+Summary!$E$6</f>
        <v>-529715.38510890643</v>
      </c>
      <c r="N4" s="3">
        <f>PMT(D$4,$C$2,$C$3*Summary!$E$4)+Summary!$E$6</f>
        <v>-334961.34296344023</v>
      </c>
      <c r="Q4" s="3">
        <f>PMT(B$4,$C$2,$C$3*Summary!$H$4)+Summary!$H$6</f>
        <v>-102840.36095010431</v>
      </c>
      <c r="R4" s="3">
        <f>PMT(C$4,$C$2,$C$3*Summary!$H$4)+Summary!$H$6</f>
        <v>93237.713503851905</v>
      </c>
      <c r="S4" s="3">
        <f>PMT(D$4,$C$2,$C$3*Summary!$H$4)+Summary!$H$6</f>
        <v>160860.64480436099</v>
      </c>
    </row>
    <row r="6" spans="1:19" x14ac:dyDescent="0.2">
      <c r="F6" t="s">
        <v>111</v>
      </c>
      <c r="G6" s="3">
        <f>-G2/Summary!$B$16</f>
        <v>387.73046929324812</v>
      </c>
      <c r="H6" s="3">
        <f>-H2/Summary!$B$16</f>
        <v>624.86030541079742</v>
      </c>
      <c r="I6" s="3">
        <f>-I2/Summary!$B$16</f>
        <v>775.93442508318162</v>
      </c>
      <c r="L6" s="3">
        <f>-L2/Summary!$E$16</f>
        <v>614.08020684027349</v>
      </c>
      <c r="M6" s="3">
        <f>-M2/Summary!$E$16</f>
        <v>363.3164506919797</v>
      </c>
      <c r="N6" s="3">
        <f>-N2/Summary!$E$16</f>
        <v>203.55623525007218</v>
      </c>
      <c r="P6" t="s">
        <v>57</v>
      </c>
      <c r="Q6" s="3">
        <f>-Q2/Summary!$H$16</f>
        <v>34.224810199210005</v>
      </c>
      <c r="R6" s="3">
        <f>-R2/Summary!$H$16</f>
        <v>-94.657577161270964</v>
      </c>
      <c r="S6" s="3">
        <f>-S2/Summary!$H$16</f>
        <v>-176.76784017392652</v>
      </c>
    </row>
    <row r="7" spans="1:19" x14ac:dyDescent="0.2">
      <c r="G7" s="3">
        <f>-G3/Summary!$B$16</f>
        <v>293.52794977730349</v>
      </c>
      <c r="H7" s="3">
        <f>-H3/Summary!$B$16</f>
        <v>624.86030541079742</v>
      </c>
      <c r="I7" s="3">
        <f>-I3/Summary!$B$16</f>
        <v>956.1926610442913</v>
      </c>
      <c r="L7" s="3">
        <f>-L3/Summary!$E$16</f>
        <v>713.69895587336077</v>
      </c>
      <c r="M7" s="3">
        <f>-M3/Summary!$E$16</f>
        <v>363.3164506919797</v>
      </c>
      <c r="N7" s="3">
        <f>-N3/Summary!$E$16</f>
        <v>12.933945510598912</v>
      </c>
      <c r="P7" t="s">
        <v>58</v>
      </c>
      <c r="Q7" s="3">
        <f>-Q3/Summary!$H$16</f>
        <v>85.424801770783844</v>
      </c>
      <c r="R7" s="3">
        <f>-R3/Summary!$H$16</f>
        <v>-94.657577161270964</v>
      </c>
      <c r="S7" s="3">
        <f>-S3/Summary!$H$16</f>
        <v>-274.73995609332582</v>
      </c>
    </row>
    <row r="8" spans="1:19" x14ac:dyDescent="0.2">
      <c r="G8" s="3">
        <f>-G4/Summary!$B$16</f>
        <v>258.60372871228026</v>
      </c>
      <c r="H8" s="3">
        <f>-H4/Summary!$B$16</f>
        <v>624.86030541079742</v>
      </c>
      <c r="I8" s="3">
        <f>-I4/Summary!$B$16</f>
        <v>751.17398629233548</v>
      </c>
      <c r="L8" s="3">
        <f>-L4/Summary!$E$16</f>
        <v>750.63116566275744</v>
      </c>
      <c r="M8" s="3">
        <f>-M4/Summary!$E$16</f>
        <v>363.3164506919797</v>
      </c>
      <c r="N8" s="3">
        <f>-N4/Summary!$E$16</f>
        <v>229.74029009838151</v>
      </c>
      <c r="P8" t="s">
        <v>59</v>
      </c>
      <c r="Q8" s="3">
        <f>-Q4/Summary!$H$16</f>
        <v>104.40645781736478</v>
      </c>
      <c r="R8" s="3">
        <f>-R4/Summary!$H$16</f>
        <v>-94.657577161270964</v>
      </c>
      <c r="S8" s="3">
        <f>-S4/Summary!$H$16</f>
        <v>-163.31029929376749</v>
      </c>
    </row>
    <row r="9" spans="1:19" x14ac:dyDescent="0.2">
      <c r="Q9" s="3"/>
      <c r="R9" s="3"/>
      <c r="S9" s="3"/>
    </row>
    <row r="10" spans="1:19" x14ac:dyDescent="0.2">
      <c r="Q10" s="3"/>
      <c r="R10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2E64-64C8-6F45-8E4D-F732ECC18C7F}">
  <dimension ref="A1:G7"/>
  <sheetViews>
    <sheetView workbookViewId="0">
      <selection activeCell="G11" sqref="G11"/>
    </sheetView>
  </sheetViews>
  <sheetFormatPr baseColWidth="10" defaultRowHeight="16" x14ac:dyDescent="0.2"/>
  <cols>
    <col min="1" max="1" width="21.1640625" customWidth="1"/>
    <col min="2" max="2" width="16.33203125" customWidth="1"/>
    <col min="3" max="3" width="14.1640625" customWidth="1"/>
    <col min="4" max="5" width="14.5" customWidth="1"/>
    <col min="6" max="6" width="26.1640625" customWidth="1"/>
    <col min="7" max="7" width="25.33203125" customWidth="1"/>
  </cols>
  <sheetData>
    <row r="1" spans="1:7" x14ac:dyDescent="0.2">
      <c r="A1" t="s">
        <v>63</v>
      </c>
      <c r="B1" t="s">
        <v>66</v>
      </c>
      <c r="C1" t="s">
        <v>67</v>
      </c>
      <c r="D1" t="s">
        <v>65</v>
      </c>
      <c r="E1" t="s">
        <v>64</v>
      </c>
      <c r="F1" t="s">
        <v>69</v>
      </c>
      <c r="G1" t="s">
        <v>68</v>
      </c>
    </row>
    <row r="2" spans="1:7" x14ac:dyDescent="0.2">
      <c r="A2" t="s">
        <v>70</v>
      </c>
      <c r="B2">
        <f>600000000</f>
        <v>600000000</v>
      </c>
      <c r="C2">
        <v>1000</v>
      </c>
      <c r="D2">
        <v>250</v>
      </c>
      <c r="E2" s="7">
        <f>D2/1.609</f>
        <v>155.37600994406463</v>
      </c>
      <c r="F2" s="7">
        <f>B2/C2/D2</f>
        <v>2400</v>
      </c>
      <c r="G2" s="7">
        <f>B2/C2/E2</f>
        <v>3861.6</v>
      </c>
    </row>
    <row r="3" spans="1:7" x14ac:dyDescent="0.2">
      <c r="A3" t="s">
        <v>71</v>
      </c>
      <c r="B3">
        <f>463000000</f>
        <v>463000000</v>
      </c>
      <c r="C3">
        <v>700</v>
      </c>
      <c r="D3">
        <v>400</v>
      </c>
      <c r="E3" s="7">
        <f t="shared" ref="E3:E7" si="0">D3/1.609</f>
        <v>248.60161591050343</v>
      </c>
      <c r="F3" s="7">
        <f t="shared" ref="F3:F7" si="1">B3/C3/D3</f>
        <v>1653.5714285714287</v>
      </c>
      <c r="G3" s="7">
        <f t="shared" ref="G3:G7" si="2">B3/C3/E3</f>
        <v>2660.5964285714285</v>
      </c>
    </row>
    <row r="4" spans="1:7" x14ac:dyDescent="0.2">
      <c r="A4" t="s">
        <v>72</v>
      </c>
      <c r="B4">
        <f>1332000000</f>
        <v>1332000000</v>
      </c>
      <c r="C4">
        <v>1400</v>
      </c>
      <c r="D4">
        <v>516</v>
      </c>
      <c r="E4" s="7">
        <f t="shared" si="0"/>
        <v>320.69608452454941</v>
      </c>
      <c r="F4" s="7">
        <f t="shared" si="1"/>
        <v>1843.8538205980067</v>
      </c>
      <c r="G4" s="7">
        <f t="shared" si="2"/>
        <v>2966.7607973421927</v>
      </c>
    </row>
    <row r="5" spans="1:7" x14ac:dyDescent="0.2">
      <c r="A5" t="s">
        <v>73</v>
      </c>
      <c r="B5">
        <f>600000000</f>
        <v>600000000</v>
      </c>
      <c r="C5">
        <v>700</v>
      </c>
      <c r="D5">
        <v>580</v>
      </c>
      <c r="E5" s="7">
        <f t="shared" si="0"/>
        <v>360.47234307022995</v>
      </c>
      <c r="F5" s="7">
        <f t="shared" si="1"/>
        <v>1477.8325123152711</v>
      </c>
      <c r="G5" s="7">
        <f t="shared" si="2"/>
        <v>2377.8325123152708</v>
      </c>
    </row>
    <row r="6" spans="1:7" x14ac:dyDescent="0.2">
      <c r="A6" t="s">
        <v>54</v>
      </c>
      <c r="B6">
        <f>1760000000</f>
        <v>1760000000</v>
      </c>
      <c r="C6">
        <v>1400</v>
      </c>
      <c r="D6">
        <v>720</v>
      </c>
      <c r="E6" s="7">
        <f t="shared" si="0"/>
        <v>447.48290863890617</v>
      </c>
      <c r="F6" s="7">
        <f t="shared" si="1"/>
        <v>1746.0317460317458</v>
      </c>
      <c r="G6" s="7">
        <f t="shared" si="2"/>
        <v>2809.3650793650791</v>
      </c>
    </row>
    <row r="7" spans="1:7" x14ac:dyDescent="0.2">
      <c r="A7" t="s">
        <v>74</v>
      </c>
      <c r="B7">
        <f>730000000</f>
        <v>730000000</v>
      </c>
      <c r="C7">
        <v>1000</v>
      </c>
      <c r="D7">
        <v>435</v>
      </c>
      <c r="E7" s="7">
        <f t="shared" si="0"/>
        <v>270.35425730267247</v>
      </c>
      <c r="F7" s="7">
        <f t="shared" si="1"/>
        <v>1678.16091954023</v>
      </c>
      <c r="G7" s="7">
        <f t="shared" si="2"/>
        <v>2700.1609195402298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65D4-128C-1B4A-B640-0884BE9254DE}">
  <dimension ref="A1:F19"/>
  <sheetViews>
    <sheetView workbookViewId="0">
      <selection activeCell="I15" sqref="I15"/>
    </sheetView>
  </sheetViews>
  <sheetFormatPr baseColWidth="10" defaultRowHeight="16" x14ac:dyDescent="0.2"/>
  <cols>
    <col min="1" max="1" width="24" customWidth="1"/>
    <col min="2" max="2" width="15" bestFit="1" customWidth="1"/>
    <col min="5" max="6" width="16.83203125" customWidth="1"/>
  </cols>
  <sheetData>
    <row r="1" spans="1:6" x14ac:dyDescent="0.2">
      <c r="B1" t="s">
        <v>14</v>
      </c>
      <c r="E1" t="s">
        <v>54</v>
      </c>
    </row>
    <row r="2" spans="1:6" x14ac:dyDescent="0.2">
      <c r="A2" t="s">
        <v>0</v>
      </c>
      <c r="B2" s="1">
        <v>600000000</v>
      </c>
      <c r="C2" t="s">
        <v>1</v>
      </c>
      <c r="E2">
        <f>1600000000</f>
        <v>1600000000</v>
      </c>
      <c r="F2" t="s">
        <v>1</v>
      </c>
    </row>
    <row r="3" spans="1:6" x14ac:dyDescent="0.2">
      <c r="A3" t="s">
        <v>2</v>
      </c>
      <c r="B3" s="2">
        <v>0.05</v>
      </c>
      <c r="E3" s="2">
        <f>B3</f>
        <v>0.05</v>
      </c>
    </row>
    <row r="4" spans="1:6" x14ac:dyDescent="0.2">
      <c r="A4" t="s">
        <v>3</v>
      </c>
      <c r="B4">
        <v>25</v>
      </c>
      <c r="C4" t="s">
        <v>4</v>
      </c>
      <c r="E4">
        <f>B4</f>
        <v>25</v>
      </c>
      <c r="F4" t="s">
        <v>4</v>
      </c>
    </row>
    <row r="5" spans="1:6" x14ac:dyDescent="0.2">
      <c r="A5" t="s">
        <v>5</v>
      </c>
      <c r="B5" s="3">
        <f>PMT(B3,B4,B2)</f>
        <v>-42571474.379537776</v>
      </c>
      <c r="E5" s="3">
        <f>PMT(E3,E4,E2)</f>
        <v>-113523931.6787674</v>
      </c>
    </row>
    <row r="6" spans="1:6" x14ac:dyDescent="0.2">
      <c r="A6" t="s">
        <v>9</v>
      </c>
      <c r="B6" s="4">
        <v>70000000</v>
      </c>
    </row>
    <row r="7" spans="1:6" x14ac:dyDescent="0.2">
      <c r="A7" t="s">
        <v>10</v>
      </c>
      <c r="B7" s="4">
        <f>B6+B5</f>
        <v>27428525.620462224</v>
      </c>
    </row>
    <row r="8" spans="1:6" x14ac:dyDescent="0.2">
      <c r="A8" t="s">
        <v>6</v>
      </c>
      <c r="B8" s="1">
        <v>1700000</v>
      </c>
      <c r="C8" t="s">
        <v>7</v>
      </c>
      <c r="E8">
        <f>800000</f>
        <v>800000</v>
      </c>
      <c r="F8" t="s">
        <v>7</v>
      </c>
    </row>
    <row r="9" spans="1:6" x14ac:dyDescent="0.2">
      <c r="A9" t="s">
        <v>11</v>
      </c>
      <c r="B9" s="3">
        <f>-B5/B8</f>
        <v>25.042043752669279</v>
      </c>
      <c r="C9" t="s">
        <v>8</v>
      </c>
      <c r="E9" s="3">
        <f>-E5/E8</f>
        <v>141.90491459845924</v>
      </c>
      <c r="F9" t="s">
        <v>8</v>
      </c>
    </row>
    <row r="10" spans="1:6" x14ac:dyDescent="0.2">
      <c r="A10" t="s">
        <v>12</v>
      </c>
      <c r="B10" s="5">
        <f>-B7/B8</f>
        <v>-16.134426835566014</v>
      </c>
      <c r="C10" t="s">
        <v>13</v>
      </c>
      <c r="E10" s="5">
        <f>-E7/E8</f>
        <v>0</v>
      </c>
      <c r="F10" t="s">
        <v>13</v>
      </c>
    </row>
    <row r="13" spans="1:6" x14ac:dyDescent="0.2">
      <c r="A13" t="s">
        <v>17</v>
      </c>
      <c r="B13">
        <v>360</v>
      </c>
      <c r="C13" t="s">
        <v>16</v>
      </c>
      <c r="E13">
        <v>390</v>
      </c>
      <c r="F13" t="s">
        <v>16</v>
      </c>
    </row>
    <row r="14" spans="1:6" x14ac:dyDescent="0.2">
      <c r="A14" t="s">
        <v>24</v>
      </c>
      <c r="B14">
        <v>700</v>
      </c>
      <c r="C14" t="s">
        <v>26</v>
      </c>
      <c r="E14">
        <v>1400</v>
      </c>
      <c r="F14" t="s">
        <v>26</v>
      </c>
    </row>
    <row r="15" spans="1:6" x14ac:dyDescent="0.2">
      <c r="A15" t="s">
        <v>25</v>
      </c>
      <c r="B15" s="7">
        <f>B2/B13/B14</f>
        <v>2380.9523809523812</v>
      </c>
      <c r="C15" t="s">
        <v>27</v>
      </c>
      <c r="E15" s="7">
        <f>E2/E13/E14</f>
        <v>2930.4029304029305</v>
      </c>
      <c r="F15" t="s">
        <v>27</v>
      </c>
    </row>
    <row r="16" spans="1:6" x14ac:dyDescent="0.2">
      <c r="A16" t="s">
        <v>28</v>
      </c>
      <c r="B16">
        <v>1.4</v>
      </c>
      <c r="C16" t="s">
        <v>22</v>
      </c>
      <c r="E16">
        <v>1.3</v>
      </c>
      <c r="F16" t="s">
        <v>22</v>
      </c>
    </row>
    <row r="17" spans="1:6" x14ac:dyDescent="0.2">
      <c r="A17" t="s">
        <v>29</v>
      </c>
      <c r="B17">
        <v>1.1000000000000001</v>
      </c>
      <c r="C17" t="s">
        <v>30</v>
      </c>
      <c r="E17">
        <v>1.1000000000000001</v>
      </c>
      <c r="F17" t="s">
        <v>30</v>
      </c>
    </row>
    <row r="18" spans="1:6" x14ac:dyDescent="0.2">
      <c r="A18" t="s">
        <v>31</v>
      </c>
      <c r="B18" s="7">
        <f>B15*B16*B17</f>
        <v>3666.666666666667</v>
      </c>
      <c r="C18" t="s">
        <v>20</v>
      </c>
      <c r="E18" s="7">
        <f>E15*E16*E17</f>
        <v>4190.4761904761908</v>
      </c>
      <c r="F18" t="s">
        <v>20</v>
      </c>
    </row>
    <row r="19" spans="1:6" x14ac:dyDescent="0.2">
      <c r="A19" t="s">
        <v>52</v>
      </c>
      <c r="B19" s="1">
        <f>B2*B17</f>
        <v>660000000</v>
      </c>
      <c r="C19" t="s">
        <v>53</v>
      </c>
      <c r="E19" s="1">
        <f>E2*E17</f>
        <v>1760000000.0000002</v>
      </c>
      <c r="F1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CO2 Threshold Price estimating</vt:lpstr>
      <vt:lpstr>Tornado Plot</vt:lpstr>
      <vt:lpstr>Cost estimating</vt:lpstr>
      <vt:lpstr>Cost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Joseph Buznitsky</dc:creator>
  <cp:lastModifiedBy>Kyle Buznitsky</cp:lastModifiedBy>
  <dcterms:created xsi:type="dcterms:W3CDTF">2024-09-23T20:17:46Z</dcterms:created>
  <dcterms:modified xsi:type="dcterms:W3CDTF">2025-05-19T21:32:58Z</dcterms:modified>
</cp:coreProperties>
</file>