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10/"/>
    </mc:Choice>
  </mc:AlternateContent>
  <xr:revisionPtr revIDLastSave="7567" documentId="8_{24C4D10D-FC61-4C58-9579-1DD438F5566E}" xr6:coauthVersionLast="47" xr6:coauthVersionMax="47" xr10:uidLastSave="{56375692-8F60-411C-9535-CF980514E7D3}"/>
  <bookViews>
    <workbookView minimized="1" xWindow="9430" yWindow="30" windowWidth="9780" windowHeight="9900" activeTab="1" xr2:uid="{DF819881-0B5E-46EF-8BFD-C6090F2C8E97}"/>
  </bookViews>
  <sheets>
    <sheet name="Linearity Report 1" sheetId="10" r:id="rId1"/>
    <sheet name="model1 (3)" sheetId="9" r:id="rId2"/>
    <sheet name="model1" sheetId="5" r:id="rId3"/>
    <sheet name="data1" sheetId="2" r:id="rId4"/>
    <sheet name="data" sheetId="3" r:id="rId5"/>
  </sheets>
  <definedNames>
    <definedName name="solver_adj" localSheetId="2" hidden="1">model1!$B$4:$B$27,model1!$U$19</definedName>
    <definedName name="solver_adj" localSheetId="1" hidden="1">'model1 (3)'!$B$4:$B$27,'model1 (3)'!$U$19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model1!$B$4:$B$27</definedName>
    <definedName name="solver_lhs1" localSheetId="1" hidden="1">'model1 (3)'!$B$4:$B$27</definedName>
    <definedName name="solver_lhs2" localSheetId="2" hidden="1">model1!$W$4:$W$10</definedName>
    <definedName name="solver_lhs2" localSheetId="1" hidden="1">'model1 (3)'!$W$4:$W$10</definedName>
    <definedName name="solver_lhs3" localSheetId="2" hidden="1">model1!$Z$13:$Z$16</definedName>
    <definedName name="solver_lhs3" localSheetId="1" hidden="1">'model1 (3)'!$Z$13:$Z$16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model1!$U$19</definedName>
    <definedName name="solver_opt" localSheetId="1" hidden="1">'model1 (3)'!$U$19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3</definedName>
    <definedName name="solver_rel1" localSheetId="1" hidden="1">3</definedName>
    <definedName name="solver_rel2" localSheetId="2" hidden="1">3</definedName>
    <definedName name="solver_rel2" localSheetId="1" hidden="1">3</definedName>
    <definedName name="solver_rel3" localSheetId="2" hidden="1">1</definedName>
    <definedName name="solver_rel3" localSheetId="1" hidden="1">1</definedName>
    <definedName name="solver_rhs1" localSheetId="2" hidden="1">0</definedName>
    <definedName name="solver_rhs1" localSheetId="1" hidden="1">0</definedName>
    <definedName name="solver_rhs2" localSheetId="2" hidden="1">model1!$X$4:$X$10</definedName>
    <definedName name="solver_rhs2" localSheetId="1" hidden="1">'model1 (3)'!$X$4:$X$10</definedName>
    <definedName name="solver_rhs3" localSheetId="2" hidden="1">model1!$U$19</definedName>
    <definedName name="solver_rhs3" localSheetId="1" hidden="1">'model1 (3)'!$U$19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9" l="1"/>
  <c r="J27" i="9"/>
  <c r="I27" i="9"/>
  <c r="H27" i="9"/>
  <c r="G27" i="9"/>
  <c r="L27" i="9" s="1"/>
  <c r="O26" i="9"/>
  <c r="L26" i="9"/>
  <c r="J26" i="9"/>
  <c r="I26" i="9"/>
  <c r="H26" i="9"/>
  <c r="G26" i="9"/>
  <c r="O25" i="9"/>
  <c r="J25" i="9"/>
  <c r="I25" i="9"/>
  <c r="L25" i="9" s="1"/>
  <c r="H25" i="9"/>
  <c r="G25" i="9"/>
  <c r="O24" i="9"/>
  <c r="J24" i="9"/>
  <c r="I24" i="9"/>
  <c r="H24" i="9"/>
  <c r="G24" i="9"/>
  <c r="L24" i="9" s="1"/>
  <c r="O23" i="9"/>
  <c r="J23" i="9"/>
  <c r="I23" i="9"/>
  <c r="H23" i="9"/>
  <c r="G23" i="9"/>
  <c r="L23" i="9" s="1"/>
  <c r="O22" i="9"/>
  <c r="L22" i="9"/>
  <c r="J22" i="9"/>
  <c r="I22" i="9"/>
  <c r="H22" i="9"/>
  <c r="G22" i="9"/>
  <c r="O21" i="9"/>
  <c r="J21" i="9"/>
  <c r="I21" i="9"/>
  <c r="L21" i="9" s="1"/>
  <c r="H21" i="9"/>
  <c r="G21" i="9"/>
  <c r="O20" i="9"/>
  <c r="J20" i="9"/>
  <c r="I20" i="9"/>
  <c r="H20" i="9"/>
  <c r="G20" i="9"/>
  <c r="L20" i="9" s="1"/>
  <c r="O19" i="9"/>
  <c r="J19" i="9"/>
  <c r="I19" i="9"/>
  <c r="H19" i="9"/>
  <c r="G19" i="9"/>
  <c r="L19" i="9" s="1"/>
  <c r="O18" i="9"/>
  <c r="L18" i="9"/>
  <c r="J18" i="9"/>
  <c r="I18" i="9"/>
  <c r="H18" i="9"/>
  <c r="G18" i="9"/>
  <c r="O17" i="9"/>
  <c r="J17" i="9"/>
  <c r="I17" i="9"/>
  <c r="L17" i="9" s="1"/>
  <c r="H17" i="9"/>
  <c r="G17" i="9"/>
  <c r="O16" i="9"/>
  <c r="J16" i="9"/>
  <c r="L16" i="9" s="1"/>
  <c r="I16" i="9"/>
  <c r="H16" i="9"/>
  <c r="G16" i="9"/>
  <c r="O15" i="9"/>
  <c r="L15" i="9"/>
  <c r="J15" i="9"/>
  <c r="I15" i="9"/>
  <c r="H15" i="9"/>
  <c r="G15" i="9"/>
  <c r="Z14" i="9"/>
  <c r="U14" i="9"/>
  <c r="W14" i="9" s="1"/>
  <c r="O14" i="9"/>
  <c r="J14" i="9"/>
  <c r="I14" i="9"/>
  <c r="H14" i="9"/>
  <c r="G14" i="9"/>
  <c r="L14" i="9" s="1"/>
  <c r="U13" i="9"/>
  <c r="W13" i="9" s="1"/>
  <c r="X13" i="9" s="1"/>
  <c r="Z13" i="9" s="1"/>
  <c r="O13" i="9"/>
  <c r="J13" i="9"/>
  <c r="I13" i="9"/>
  <c r="H13" i="9"/>
  <c r="G13" i="9"/>
  <c r="L13" i="9" s="1"/>
  <c r="O12" i="9"/>
  <c r="J12" i="9"/>
  <c r="I12" i="9"/>
  <c r="H12" i="9"/>
  <c r="G12" i="9"/>
  <c r="L12" i="9" s="1"/>
  <c r="O11" i="9"/>
  <c r="L11" i="9"/>
  <c r="J11" i="9"/>
  <c r="I11" i="9"/>
  <c r="H11" i="9"/>
  <c r="G11" i="9"/>
  <c r="V10" i="9"/>
  <c r="U10" i="9"/>
  <c r="O10" i="9"/>
  <c r="U15" i="9" s="1"/>
  <c r="W15" i="9" s="1"/>
  <c r="X15" i="9" s="1"/>
  <c r="Z15" i="9" s="1"/>
  <c r="L10" i="9"/>
  <c r="J10" i="9"/>
  <c r="I10" i="9"/>
  <c r="H10" i="9"/>
  <c r="G10" i="9"/>
  <c r="V9" i="9"/>
  <c r="U9" i="9"/>
  <c r="O9" i="9"/>
  <c r="J9" i="9"/>
  <c r="I9" i="9"/>
  <c r="H9" i="9"/>
  <c r="G9" i="9"/>
  <c r="L9" i="9" s="1"/>
  <c r="V8" i="9"/>
  <c r="U8" i="9"/>
  <c r="O8" i="9"/>
  <c r="J8" i="9"/>
  <c r="I8" i="9"/>
  <c r="H8" i="9"/>
  <c r="G8" i="9"/>
  <c r="L8" i="9" s="1"/>
  <c r="V7" i="9"/>
  <c r="U7" i="9"/>
  <c r="O7" i="9"/>
  <c r="J7" i="9"/>
  <c r="I7" i="9"/>
  <c r="H7" i="9"/>
  <c r="G7" i="9"/>
  <c r="L7" i="9" s="1"/>
  <c r="V6" i="9"/>
  <c r="U6" i="9"/>
  <c r="O6" i="9"/>
  <c r="J6" i="9"/>
  <c r="I6" i="9"/>
  <c r="H6" i="9"/>
  <c r="G6" i="9"/>
  <c r="L6" i="9" s="1"/>
  <c r="V5" i="9"/>
  <c r="U5" i="9"/>
  <c r="O5" i="9"/>
  <c r="J5" i="9"/>
  <c r="I5" i="9"/>
  <c r="L5" i="9" s="1"/>
  <c r="H5" i="9"/>
  <c r="G5" i="9"/>
  <c r="V4" i="9"/>
  <c r="U4" i="9"/>
  <c r="O4" i="9"/>
  <c r="J4" i="9"/>
  <c r="L4" i="9" s="1"/>
  <c r="I4" i="9"/>
  <c r="H4" i="9"/>
  <c r="G4" i="9"/>
  <c r="Z14" i="5"/>
  <c r="Z15" i="5"/>
  <c r="Z16" i="5"/>
  <c r="Z13" i="5"/>
  <c r="U16" i="5"/>
  <c r="W16" i="5" s="1"/>
  <c r="G24" i="5"/>
  <c r="L24" i="5" s="1"/>
  <c r="H24" i="5"/>
  <c r="I24" i="5"/>
  <c r="J24" i="5"/>
  <c r="O24" i="5"/>
  <c r="G25" i="5"/>
  <c r="L25" i="5" s="1"/>
  <c r="H25" i="5"/>
  <c r="I25" i="5"/>
  <c r="J25" i="5"/>
  <c r="O25" i="5"/>
  <c r="G26" i="5"/>
  <c r="L26" i="5" s="1"/>
  <c r="H26" i="5"/>
  <c r="I26" i="5"/>
  <c r="J26" i="5"/>
  <c r="O26" i="5"/>
  <c r="G27" i="5"/>
  <c r="L27" i="5" s="1"/>
  <c r="H27" i="5"/>
  <c r="I27" i="5"/>
  <c r="J27" i="5"/>
  <c r="O27" i="5"/>
  <c r="U14" i="5"/>
  <c r="W14" i="5" s="1"/>
  <c r="U13" i="5"/>
  <c r="W13" i="5" s="1"/>
  <c r="X13" i="5" s="1"/>
  <c r="W9" i="9" l="1"/>
  <c r="W10" i="9"/>
  <c r="W4" i="9"/>
  <c r="W7" i="9"/>
  <c r="W6" i="9"/>
  <c r="W8" i="9"/>
  <c r="W5" i="9"/>
  <c r="U16" i="9"/>
  <c r="W16" i="9" s="1"/>
  <c r="X16" i="9" s="1"/>
  <c r="Z16" i="9" s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4" i="5"/>
  <c r="U15" i="5" l="1"/>
  <c r="W15" i="5" s="1"/>
  <c r="X15" i="5" s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5" i="5"/>
  <c r="H4" i="5"/>
  <c r="G5" i="5"/>
  <c r="G6" i="5"/>
  <c r="G7" i="5"/>
  <c r="G8" i="5"/>
  <c r="G9" i="5"/>
  <c r="G10" i="5"/>
  <c r="G11" i="5"/>
  <c r="G12" i="5"/>
  <c r="G13" i="5"/>
  <c r="G14" i="5"/>
  <c r="L14" i="5" s="1"/>
  <c r="G15" i="5"/>
  <c r="G16" i="5"/>
  <c r="G17" i="5"/>
  <c r="G18" i="5"/>
  <c r="G19" i="5"/>
  <c r="G20" i="5"/>
  <c r="G21" i="5"/>
  <c r="G22" i="5"/>
  <c r="L22" i="5" s="1"/>
  <c r="G23" i="5"/>
  <c r="G4" i="5"/>
  <c r="L23" i="5" l="1"/>
  <c r="L15" i="5"/>
  <c r="L19" i="5"/>
  <c r="L11" i="5"/>
  <c r="L20" i="5"/>
  <c r="L17" i="5"/>
  <c r="L9" i="5"/>
  <c r="L12" i="5"/>
  <c r="L16" i="5"/>
  <c r="L8" i="5"/>
  <c r="L7" i="5"/>
  <c r="L6" i="5"/>
  <c r="L18" i="5"/>
  <c r="L10" i="5"/>
  <c r="L4" i="5"/>
  <c r="L21" i="5"/>
  <c r="L13" i="5"/>
  <c r="L5" i="5"/>
  <c r="V5" i="5"/>
  <c r="V6" i="5"/>
  <c r="V7" i="5"/>
  <c r="V8" i="5"/>
  <c r="V9" i="5"/>
  <c r="V10" i="5"/>
  <c r="V4" i="5"/>
  <c r="U4" i="5"/>
  <c r="U5" i="5"/>
  <c r="U6" i="5"/>
  <c r="U7" i="5"/>
  <c r="U8" i="5"/>
  <c r="U9" i="5"/>
  <c r="U10" i="5"/>
  <c r="W10" i="5" l="1"/>
  <c r="W5" i="5"/>
  <c r="W9" i="5"/>
  <c r="W7" i="5"/>
  <c r="W8" i="5"/>
  <c r="W6" i="5"/>
  <c r="W4" i="5"/>
</calcChain>
</file>

<file path=xl/sharedStrings.xml><?xml version="1.0" encoding="utf-8"?>
<sst xmlns="http://schemas.openxmlformats.org/spreadsheetml/2006/main" count="414" uniqueCount="132">
  <si>
    <t>Target Value</t>
  </si>
  <si>
    <t>Constraints</t>
  </si>
  <si>
    <t>from</t>
  </si>
  <si>
    <t>to</t>
  </si>
  <si>
    <t>cost_per_unit_shipped</t>
  </si>
  <si>
    <t>transportation_method</t>
  </si>
  <si>
    <t>congestion_level</t>
  </si>
  <si>
    <t>Diesel Trucks</t>
  </si>
  <si>
    <t>Air Freight</t>
  </si>
  <si>
    <t>Electric/Hybrid Trucks</t>
  </si>
  <si>
    <t>Electrified Rail</t>
  </si>
  <si>
    <t>Diesel Rail</t>
  </si>
  <si>
    <t>Slow Steaming Cargo Ships</t>
  </si>
  <si>
    <t>Cargo Ships (Heavy Fuel Oil)</t>
  </si>
  <si>
    <t>Wind-powered Ships</t>
  </si>
  <si>
    <t>location_id</t>
  </si>
  <si>
    <t>location_name</t>
  </si>
  <si>
    <t>latitude</t>
  </si>
  <si>
    <t>longitude</t>
  </si>
  <si>
    <t>supply</t>
  </si>
  <si>
    <t>demand</t>
  </si>
  <si>
    <t>Candy Cane Canyon</t>
  </si>
  <si>
    <t>Gummy Grotto</t>
  </si>
  <si>
    <t>Lava Lollipop Land</t>
  </si>
  <si>
    <t>Licorice Labyrinth</t>
  </si>
  <si>
    <t>Lollipop Lagoon</t>
  </si>
  <si>
    <t>Malted Milk Manor</t>
  </si>
  <si>
    <t>Milkshake Mire</t>
  </si>
  <si>
    <t xml:space="preserve">Ship </t>
  </si>
  <si>
    <t xml:space="preserve">From </t>
  </si>
  <si>
    <t xml:space="preserve">To </t>
  </si>
  <si>
    <t xml:space="preserve">Unit Cost </t>
  </si>
  <si>
    <t xml:space="preserve">Nodes </t>
  </si>
  <si>
    <t xml:space="preserve">Inflow </t>
  </si>
  <si>
    <t xml:space="preserve">Outflow </t>
  </si>
  <si>
    <t xml:space="preserve">Net Flow </t>
  </si>
  <si>
    <t xml:space="preserve">Supply/demand </t>
  </si>
  <si>
    <t xml:space="preserve">Distance </t>
  </si>
  <si>
    <t xml:space="preserve">Lat from </t>
  </si>
  <si>
    <t xml:space="preserve">Long from </t>
  </si>
  <si>
    <t xml:space="preserve">Lat to </t>
  </si>
  <si>
    <t xml:space="preserve">Long to </t>
  </si>
  <si>
    <t xml:space="preserve">method </t>
  </si>
  <si>
    <t xml:space="preserve">Eco friendly </t>
  </si>
  <si>
    <t>Congestion</t>
  </si>
  <si>
    <t>non eco</t>
  </si>
  <si>
    <t xml:space="preserve">totals </t>
  </si>
  <si>
    <t>objectives</t>
  </si>
  <si>
    <t>min cost</t>
  </si>
  <si>
    <t xml:space="preserve">min cong </t>
  </si>
  <si>
    <t xml:space="preserve">% Deviation </t>
  </si>
  <si>
    <t xml:space="preserve">Deviation </t>
  </si>
  <si>
    <t xml:space="preserve">weight </t>
  </si>
  <si>
    <t>weighted dev%</t>
  </si>
  <si>
    <t xml:space="preserve">objective: </t>
  </si>
  <si>
    <t>MiniMax</t>
  </si>
  <si>
    <t xml:space="preserve">max eco friendlies: </t>
  </si>
  <si>
    <t xml:space="preserve">min total distance traveled: </t>
  </si>
  <si>
    <t>Microsoft Excel 16.0 Linearity Report</t>
  </si>
  <si>
    <t>Worksheet: [mod 10 workshop.xlsx]model1 (3)</t>
  </si>
  <si>
    <t>Report Created: 4/23/2025 12:01:08 PM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</si>
  <si>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</si>
  <si>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</si>
  <si>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</si>
  <si>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</si>
  <si>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</si>
  <si>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</si>
  <si>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</si>
  <si>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</si>
  <si>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Cell Value</t>
  </si>
  <si>
    <t>Formula</t>
  </si>
  <si>
    <t>$U$19</t>
  </si>
  <si>
    <t xml:space="preserve">MiniMax totals </t>
  </si>
  <si>
    <t>Yes</t>
  </si>
  <si>
    <t>$B$4</t>
  </si>
  <si>
    <t>No</t>
  </si>
  <si>
    <t>$B$5</t>
  </si>
  <si>
    <t>$B$6</t>
  </si>
  <si>
    <t>$B$7</t>
  </si>
  <si>
    <t>$B$8</t>
  </si>
  <si>
    <t>$B$9</t>
  </si>
  <si>
    <t>$B$10</t>
  </si>
  <si>
    <t>$B$11</t>
  </si>
  <si>
    <t>$B$12</t>
  </si>
  <si>
    <t>$B$13</t>
  </si>
  <si>
    <t>$B$14</t>
  </si>
  <si>
    <t>$B$15</t>
  </si>
  <si>
    <t>$B$16</t>
  </si>
  <si>
    <t>$B$17</t>
  </si>
  <si>
    <t>$B$18</t>
  </si>
  <si>
    <t>$B$19</t>
  </si>
  <si>
    <t>$B$20</t>
  </si>
  <si>
    <t>$B$21</t>
  </si>
  <si>
    <t>$B$22</t>
  </si>
  <si>
    <t>$B$23</t>
  </si>
  <si>
    <t>$B$24</t>
  </si>
  <si>
    <t>$B$25</t>
  </si>
  <si>
    <t>$B$26</t>
  </si>
  <si>
    <t>$B$27</t>
  </si>
  <si>
    <t>$W$4</t>
  </si>
  <si>
    <t xml:space="preserve">Candy Cane Canyon Net Flow </t>
  </si>
  <si>
    <t>$W$4&gt;=$X$4</t>
  </si>
  <si>
    <t>$W$5</t>
  </si>
  <si>
    <t xml:space="preserve">Gummy Grotto Net Flow </t>
  </si>
  <si>
    <t>$W$5&gt;=$X$5</t>
  </si>
  <si>
    <t>$W$6</t>
  </si>
  <si>
    <t xml:space="preserve">Lava Lollipop Land Net Flow </t>
  </si>
  <si>
    <t>$W$6&gt;=$X$6</t>
  </si>
  <si>
    <t>$W$7</t>
  </si>
  <si>
    <t xml:space="preserve">Licorice Labyrinth Net Flow </t>
  </si>
  <si>
    <t>$W$7&gt;=$X$7</t>
  </si>
  <si>
    <t>$W$8</t>
  </si>
  <si>
    <t xml:space="preserve">Lollipop Lagoon Net Flow </t>
  </si>
  <si>
    <t>$W$8&gt;=$X$8</t>
  </si>
  <si>
    <t>$W$9</t>
  </si>
  <si>
    <t xml:space="preserve">Malted Milk Manor Net Flow </t>
  </si>
  <si>
    <t>$W$9&gt;=$X$9</t>
  </si>
  <si>
    <t>$W$10</t>
  </si>
  <si>
    <t xml:space="preserve">Milkshake Mire Net Flow </t>
  </si>
  <si>
    <t>$W$10&gt;=$X$10</t>
  </si>
  <si>
    <t>$Z$13</t>
  </si>
  <si>
    <t>min cost weighted dev%</t>
  </si>
  <si>
    <t>$Z$13&lt;=$U$19</t>
  </si>
  <si>
    <t>$Z$14</t>
  </si>
  <si>
    <t>min cong  weighted dev%</t>
  </si>
  <si>
    <t>$Z$14&lt;=$U$19</t>
  </si>
  <si>
    <t>$Z$15</t>
  </si>
  <si>
    <t>max eco friendlies:  weighted dev%</t>
  </si>
  <si>
    <t>$Z$15&lt;=$U$19</t>
  </si>
  <si>
    <t>$Z$16</t>
  </si>
  <si>
    <t>min total distance traveled:  weighted dev%</t>
  </si>
  <si>
    <t>$Z$16&lt;=$U$19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</si>
</sst>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0" fillId="2" borderId="0" xfId="0" applyFill="1"/>
    <xf numFmtId="0" fontId="2" fillId="0" borderId="0" xfId="0" applyFont="1" applyAlignment="1">
      <alignment wrapText="1"/>
    </xf>
    <xf numFmtId="10" fontId="0" fillId="0" borderId="0" xfId="0" applyNumberFormat="1"/>
    <xf numFmtId="9" fontId="0" fillId="0" borderId="0" xfId="2" applyFont="1"/>
    <xf numFmtId="9" fontId="0" fillId="0" borderId="0" xfId="0" applyNumberFormat="1"/>
    <xf numFmtId="10" fontId="3" fillId="0" borderId="0" xfId="2" applyNumberFormat="1" applyFont="1" applyFill="1" applyAlignment="1">
      <alignment horizontal="center"/>
    </xf>
    <xf numFmtId="0" fontId="0" fillId="0" borderId="0" xfId="0" applyFill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9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3" xfId="0" applyFont="1" applyFill="1" applyBorder="1" applyAlignment="1"/>
    <xf numFmtId="9" fontId="0" fillId="0" borderId="3" xfId="0" applyNumberFormat="1" applyFill="1" applyBorder="1" applyAlignment="1"/>
    <xf numFmtId="0" fontId="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673-CDD6-414C-975F-DC7DCB1914FE}">
  <dimension ref="A1:F52"/>
  <sheetViews>
    <sheetView showGridLines="0" workbookViewId="0"/>
  </sheetViews>
  <sheetFormatPr defaultRowHeight="14.5" x14ac:dyDescent="0.35"/>
  <cols>
    <col min="1" max="1" width="2.1796875" customWidth="1"/>
    <col min="2" max="2" width="6.453125" bestFit="1" customWidth="1"/>
    <col min="3" max="3" width="36" bestFit="1" customWidth="1"/>
    <col min="4" max="4" width="12.453125" bestFit="1" customWidth="1"/>
    <col min="5" max="5" width="13.54296875" bestFit="1" customWidth="1"/>
    <col min="6" max="6" width="13.90625" bestFit="1" customWidth="1"/>
  </cols>
  <sheetData>
    <row r="1" spans="1:6" x14ac:dyDescent="0.35">
      <c r="A1" s="4" t="s">
        <v>58</v>
      </c>
    </row>
    <row r="2" spans="1:6" x14ac:dyDescent="0.35">
      <c r="A2" s="4" t="s">
        <v>59</v>
      </c>
    </row>
    <row r="3" spans="1:6" x14ac:dyDescent="0.35">
      <c r="A3" s="4" t="s">
        <v>60</v>
      </c>
    </row>
    <row r="6" spans="1:6" ht="15" thickBot="1" x14ac:dyDescent="0.4">
      <c r="A6" t="s">
        <v>61</v>
      </c>
    </row>
    <row r="7" spans="1:6" ht="15" thickBot="1" x14ac:dyDescent="0.4">
      <c r="B7" s="20" t="s">
        <v>62</v>
      </c>
      <c r="C7" s="20" t="s">
        <v>63</v>
      </c>
      <c r="D7" s="20" t="s">
        <v>64</v>
      </c>
      <c r="E7" s="20" t="s">
        <v>65</v>
      </c>
      <c r="F7" s="20" t="s">
        <v>66</v>
      </c>
    </row>
    <row r="8" spans="1:6" ht="15" thickBot="1" x14ac:dyDescent="0.4">
      <c r="B8" s="19" t="s">
        <v>71</v>
      </c>
      <c r="C8" s="19" t="s">
        <v>72</v>
      </c>
      <c r="D8" s="22">
        <v>0</v>
      </c>
      <c r="E8" s="22">
        <v>0</v>
      </c>
      <c r="F8" s="19" t="s">
        <v>73</v>
      </c>
    </row>
    <row r="11" spans="1:6" ht="15" thickBot="1" x14ac:dyDescent="0.4">
      <c r="A11" t="s">
        <v>67</v>
      </c>
    </row>
    <row r="12" spans="1:6" ht="15" thickBot="1" x14ac:dyDescent="0.4">
      <c r="B12" s="20" t="s">
        <v>62</v>
      </c>
      <c r="C12" s="20" t="s">
        <v>63</v>
      </c>
      <c r="D12" s="20" t="s">
        <v>64</v>
      </c>
      <c r="E12" s="20" t="s">
        <v>65</v>
      </c>
      <c r="F12" s="20" t="s">
        <v>68</v>
      </c>
    </row>
    <row r="13" spans="1:6" x14ac:dyDescent="0.35">
      <c r="B13" s="21" t="s">
        <v>74</v>
      </c>
      <c r="C13" s="21" t="s">
        <v>28</v>
      </c>
      <c r="D13" s="23">
        <v>3056</v>
      </c>
      <c r="E13" s="23">
        <v>3056</v>
      </c>
      <c r="F13" s="24" t="s">
        <v>75</v>
      </c>
    </row>
    <row r="14" spans="1:6" x14ac:dyDescent="0.35">
      <c r="B14" s="21" t="s">
        <v>76</v>
      </c>
      <c r="C14" s="21" t="s">
        <v>28</v>
      </c>
      <c r="D14" s="23">
        <v>2911</v>
      </c>
      <c r="E14" s="23">
        <v>2911</v>
      </c>
      <c r="F14" s="24" t="s">
        <v>75</v>
      </c>
    </row>
    <row r="15" spans="1:6" x14ac:dyDescent="0.35">
      <c r="B15" s="21" t="s">
        <v>77</v>
      </c>
      <c r="C15" s="21" t="s">
        <v>28</v>
      </c>
      <c r="D15" s="23">
        <v>1205</v>
      </c>
      <c r="E15" s="23">
        <v>1205</v>
      </c>
      <c r="F15" s="24" t="s">
        <v>75</v>
      </c>
    </row>
    <row r="16" spans="1:6" x14ac:dyDescent="0.35">
      <c r="B16" s="21" t="s">
        <v>78</v>
      </c>
      <c r="C16" s="21" t="s">
        <v>28</v>
      </c>
      <c r="D16" s="23">
        <v>1951</v>
      </c>
      <c r="E16" s="23">
        <v>1951</v>
      </c>
      <c r="F16" s="24" t="s">
        <v>75</v>
      </c>
    </row>
    <row r="17" spans="2:6" x14ac:dyDescent="0.35">
      <c r="B17" s="21" t="s">
        <v>79</v>
      </c>
      <c r="C17" s="21" t="s">
        <v>28</v>
      </c>
      <c r="D17" s="23">
        <v>0</v>
      </c>
      <c r="E17" s="23">
        <v>0</v>
      </c>
      <c r="F17" s="21" t="s">
        <v>73</v>
      </c>
    </row>
    <row r="18" spans="2:6" x14ac:dyDescent="0.35">
      <c r="B18" s="21" t="s">
        <v>80</v>
      </c>
      <c r="C18" s="21" t="s">
        <v>28</v>
      </c>
      <c r="D18" s="23">
        <v>1262</v>
      </c>
      <c r="E18" s="23">
        <v>1262</v>
      </c>
      <c r="F18" s="21" t="s">
        <v>73</v>
      </c>
    </row>
    <row r="19" spans="2:6" x14ac:dyDescent="0.35">
      <c r="B19" s="21" t="s">
        <v>81</v>
      </c>
      <c r="C19" s="21" t="s">
        <v>28</v>
      </c>
      <c r="D19" s="23">
        <v>0</v>
      </c>
      <c r="E19" s="23">
        <v>0</v>
      </c>
      <c r="F19" s="21" t="s">
        <v>73</v>
      </c>
    </row>
    <row r="20" spans="2:6" x14ac:dyDescent="0.35">
      <c r="B20" s="21" t="s">
        <v>82</v>
      </c>
      <c r="C20" s="21" t="s">
        <v>28</v>
      </c>
      <c r="D20" s="23">
        <v>0</v>
      </c>
      <c r="E20" s="23">
        <v>0</v>
      </c>
      <c r="F20" s="24" t="s">
        <v>75</v>
      </c>
    </row>
    <row r="21" spans="2:6" x14ac:dyDescent="0.35">
      <c r="B21" s="21" t="s">
        <v>83</v>
      </c>
      <c r="C21" s="21" t="s">
        <v>28</v>
      </c>
      <c r="D21" s="23">
        <v>0</v>
      </c>
      <c r="E21" s="23">
        <v>0</v>
      </c>
      <c r="F21" s="21" t="s">
        <v>73</v>
      </c>
    </row>
    <row r="22" spans="2:6" x14ac:dyDescent="0.35">
      <c r="B22" s="21" t="s">
        <v>84</v>
      </c>
      <c r="C22" s="21" t="s">
        <v>28</v>
      </c>
      <c r="D22" s="23">
        <v>0</v>
      </c>
      <c r="E22" s="23">
        <v>0</v>
      </c>
      <c r="F22" s="24" t="s">
        <v>75</v>
      </c>
    </row>
    <row r="23" spans="2:6" x14ac:dyDescent="0.35">
      <c r="B23" s="21" t="s">
        <v>85</v>
      </c>
      <c r="C23" s="21" t="s">
        <v>28</v>
      </c>
      <c r="D23" s="23">
        <v>0</v>
      </c>
      <c r="E23" s="23">
        <v>0</v>
      </c>
      <c r="F23" s="24" t="s">
        <v>75</v>
      </c>
    </row>
    <row r="24" spans="2:6" x14ac:dyDescent="0.35">
      <c r="B24" s="21" t="s">
        <v>86</v>
      </c>
      <c r="C24" s="21" t="s">
        <v>28</v>
      </c>
      <c r="D24" s="23">
        <v>0</v>
      </c>
      <c r="E24" s="23">
        <v>0</v>
      </c>
      <c r="F24" s="24" t="s">
        <v>75</v>
      </c>
    </row>
    <row r="25" spans="2:6" x14ac:dyDescent="0.35">
      <c r="B25" s="21" t="s">
        <v>87</v>
      </c>
      <c r="C25" s="21" t="s">
        <v>28</v>
      </c>
      <c r="D25" s="23">
        <v>0</v>
      </c>
      <c r="E25" s="23">
        <v>0</v>
      </c>
      <c r="F25" s="24" t="s">
        <v>75</v>
      </c>
    </row>
    <row r="26" spans="2:6" x14ac:dyDescent="0.35">
      <c r="B26" s="21" t="s">
        <v>88</v>
      </c>
      <c r="C26" s="21" t="s">
        <v>28</v>
      </c>
      <c r="D26" s="23">
        <v>0</v>
      </c>
      <c r="E26" s="23">
        <v>0</v>
      </c>
      <c r="F26" s="24" t="s">
        <v>75</v>
      </c>
    </row>
    <row r="27" spans="2:6" x14ac:dyDescent="0.35">
      <c r="B27" s="21" t="s">
        <v>89</v>
      </c>
      <c r="C27" s="21" t="s">
        <v>28</v>
      </c>
      <c r="D27" s="23">
        <v>0</v>
      </c>
      <c r="E27" s="23">
        <v>0</v>
      </c>
      <c r="F27" s="24" t="s">
        <v>75</v>
      </c>
    </row>
    <row r="28" spans="2:6" x14ac:dyDescent="0.35">
      <c r="B28" s="21" t="s">
        <v>90</v>
      </c>
      <c r="C28" s="21" t="s">
        <v>28</v>
      </c>
      <c r="D28" s="23">
        <v>0</v>
      </c>
      <c r="E28" s="23">
        <v>0</v>
      </c>
      <c r="F28" s="24" t="s">
        <v>75</v>
      </c>
    </row>
    <row r="29" spans="2:6" x14ac:dyDescent="0.35">
      <c r="B29" s="21" t="s">
        <v>91</v>
      </c>
      <c r="C29" s="21" t="s">
        <v>28</v>
      </c>
      <c r="D29" s="23">
        <v>1343</v>
      </c>
      <c r="E29" s="23">
        <v>1343</v>
      </c>
      <c r="F29" s="24" t="s">
        <v>75</v>
      </c>
    </row>
    <row r="30" spans="2:6" x14ac:dyDescent="0.35">
      <c r="B30" s="21" t="s">
        <v>92</v>
      </c>
      <c r="C30" s="21" t="s">
        <v>28</v>
      </c>
      <c r="D30" s="23">
        <v>0</v>
      </c>
      <c r="E30" s="23">
        <v>0</v>
      </c>
      <c r="F30" s="24" t="s">
        <v>75</v>
      </c>
    </row>
    <row r="31" spans="2:6" x14ac:dyDescent="0.35">
      <c r="B31" s="21" t="s">
        <v>93</v>
      </c>
      <c r="C31" s="21" t="s">
        <v>28</v>
      </c>
      <c r="D31" s="23">
        <v>0</v>
      </c>
      <c r="E31" s="23">
        <v>0</v>
      </c>
      <c r="F31" s="24" t="s">
        <v>75</v>
      </c>
    </row>
    <row r="32" spans="2:6" x14ac:dyDescent="0.35">
      <c r="B32" s="21" t="s">
        <v>94</v>
      </c>
      <c r="C32" s="21" t="s">
        <v>28</v>
      </c>
      <c r="D32" s="23">
        <v>0</v>
      </c>
      <c r="E32" s="23">
        <v>0</v>
      </c>
      <c r="F32" s="24" t="s">
        <v>75</v>
      </c>
    </row>
    <row r="33" spans="1:6" x14ac:dyDescent="0.35">
      <c r="B33" s="21" t="s">
        <v>95</v>
      </c>
      <c r="C33" s="21" t="s">
        <v>28</v>
      </c>
      <c r="D33" s="23">
        <v>0</v>
      </c>
      <c r="E33" s="23">
        <v>0</v>
      </c>
      <c r="F33" s="24" t="s">
        <v>75</v>
      </c>
    </row>
    <row r="34" spans="1:6" x14ac:dyDescent="0.35">
      <c r="B34" s="21" t="s">
        <v>96</v>
      </c>
      <c r="C34" s="21" t="s">
        <v>28</v>
      </c>
      <c r="D34" s="23">
        <v>0</v>
      </c>
      <c r="E34" s="23">
        <v>0</v>
      </c>
      <c r="F34" s="24" t="s">
        <v>75</v>
      </c>
    </row>
    <row r="35" spans="1:6" x14ac:dyDescent="0.35">
      <c r="B35" s="21" t="s">
        <v>97</v>
      </c>
      <c r="C35" s="21" t="s">
        <v>28</v>
      </c>
      <c r="D35" s="23">
        <v>0</v>
      </c>
      <c r="E35" s="23">
        <v>0</v>
      </c>
      <c r="F35" s="24" t="s">
        <v>75</v>
      </c>
    </row>
    <row r="36" spans="1:6" x14ac:dyDescent="0.35">
      <c r="B36" s="21" t="s">
        <v>98</v>
      </c>
      <c r="C36" s="21" t="s">
        <v>28</v>
      </c>
      <c r="D36" s="23">
        <v>0</v>
      </c>
      <c r="E36" s="23">
        <v>0</v>
      </c>
      <c r="F36" s="24" t="s">
        <v>75</v>
      </c>
    </row>
    <row r="37" spans="1:6" ht="15" thickBot="1" x14ac:dyDescent="0.4">
      <c r="B37" s="19" t="s">
        <v>71</v>
      </c>
      <c r="C37" s="19" t="s">
        <v>72</v>
      </c>
      <c r="D37" s="22">
        <v>0</v>
      </c>
      <c r="E37" s="22">
        <v>0</v>
      </c>
      <c r="F37" s="19" t="s">
        <v>73</v>
      </c>
    </row>
    <row r="40" spans="1:6" ht="15" thickBot="1" x14ac:dyDescent="0.4">
      <c r="A40" t="s">
        <v>1</v>
      </c>
    </row>
    <row r="41" spans="1:6" ht="15" thickBot="1" x14ac:dyDescent="0.4">
      <c r="B41" s="20" t="s">
        <v>62</v>
      </c>
      <c r="C41" s="20" t="s">
        <v>63</v>
      </c>
      <c r="D41" s="20" t="s">
        <v>69</v>
      </c>
      <c r="E41" s="20" t="s">
        <v>70</v>
      </c>
      <c r="F41" s="20" t="s">
        <v>66</v>
      </c>
    </row>
    <row r="42" spans="1:6" x14ac:dyDescent="0.35">
      <c r="B42" s="21" t="s">
        <v>99</v>
      </c>
      <c r="C42" s="21" t="s">
        <v>100</v>
      </c>
      <c r="D42" s="23">
        <v>-9123</v>
      </c>
      <c r="E42" s="21" t="s">
        <v>101</v>
      </c>
      <c r="F42" s="21" t="s">
        <v>73</v>
      </c>
    </row>
    <row r="43" spans="1:6" x14ac:dyDescent="0.35">
      <c r="B43" s="21" t="s">
        <v>102</v>
      </c>
      <c r="C43" s="21" t="s">
        <v>103</v>
      </c>
      <c r="D43" s="23">
        <v>1794</v>
      </c>
      <c r="E43" s="21" t="s">
        <v>104</v>
      </c>
      <c r="F43" s="21" t="s">
        <v>73</v>
      </c>
    </row>
    <row r="44" spans="1:6" x14ac:dyDescent="0.35">
      <c r="B44" s="21" t="s">
        <v>105</v>
      </c>
      <c r="C44" s="21" t="s">
        <v>106</v>
      </c>
      <c r="D44" s="23">
        <v>1343</v>
      </c>
      <c r="E44" s="21" t="s">
        <v>107</v>
      </c>
      <c r="F44" s="21" t="s">
        <v>73</v>
      </c>
    </row>
    <row r="45" spans="1:6" x14ac:dyDescent="0.35">
      <c r="B45" s="21" t="s">
        <v>108</v>
      </c>
      <c r="C45" s="21" t="s">
        <v>109</v>
      </c>
      <c r="D45" s="23">
        <v>1568</v>
      </c>
      <c r="E45" s="21" t="s">
        <v>110</v>
      </c>
      <c r="F45" s="21" t="s">
        <v>73</v>
      </c>
    </row>
    <row r="46" spans="1:6" x14ac:dyDescent="0.35">
      <c r="B46" s="21" t="s">
        <v>111</v>
      </c>
      <c r="C46" s="21" t="s">
        <v>112</v>
      </c>
      <c r="D46" s="23">
        <v>1262</v>
      </c>
      <c r="E46" s="21" t="s">
        <v>113</v>
      </c>
      <c r="F46" s="21" t="s">
        <v>73</v>
      </c>
    </row>
    <row r="47" spans="1:6" x14ac:dyDescent="0.35">
      <c r="B47" s="21" t="s">
        <v>114</v>
      </c>
      <c r="C47" s="21" t="s">
        <v>115</v>
      </c>
      <c r="D47" s="23">
        <v>1205</v>
      </c>
      <c r="E47" s="21" t="s">
        <v>116</v>
      </c>
      <c r="F47" s="21" t="s">
        <v>73</v>
      </c>
    </row>
    <row r="48" spans="1:6" x14ac:dyDescent="0.35">
      <c r="B48" s="21" t="s">
        <v>117</v>
      </c>
      <c r="C48" s="21" t="s">
        <v>118</v>
      </c>
      <c r="D48" s="23">
        <v>1951</v>
      </c>
      <c r="E48" s="21" t="s">
        <v>119</v>
      </c>
      <c r="F48" s="21" t="s">
        <v>73</v>
      </c>
    </row>
    <row r="49" spans="2:6" x14ac:dyDescent="0.35">
      <c r="B49" s="21" t="s">
        <v>120</v>
      </c>
      <c r="C49" s="21" t="s">
        <v>121</v>
      </c>
      <c r="D49" s="25">
        <v>29.043103448275861</v>
      </c>
      <c r="E49" s="21" t="s">
        <v>122</v>
      </c>
      <c r="F49" s="24" t="s">
        <v>75</v>
      </c>
    </row>
    <row r="50" spans="2:6" x14ac:dyDescent="0.35">
      <c r="B50" s="21" t="s">
        <v>123</v>
      </c>
      <c r="C50" s="21" t="s">
        <v>124</v>
      </c>
      <c r="D50" s="25">
        <v>0</v>
      </c>
      <c r="E50" s="21" t="s">
        <v>125</v>
      </c>
      <c r="F50" s="21" t="s">
        <v>73</v>
      </c>
    </row>
    <row r="51" spans="2:6" x14ac:dyDescent="0.35">
      <c r="B51" s="21" t="s">
        <v>126</v>
      </c>
      <c r="C51" s="21" t="s">
        <v>127</v>
      </c>
      <c r="D51" s="25">
        <v>4.2397320128167779</v>
      </c>
      <c r="E51" s="21" t="s">
        <v>128</v>
      </c>
      <c r="F51" s="24" t="s">
        <v>75</v>
      </c>
    </row>
    <row r="52" spans="2:6" ht="15" thickBot="1" x14ac:dyDescent="0.4">
      <c r="B52" s="19" t="s">
        <v>129</v>
      </c>
      <c r="C52" s="19" t="s">
        <v>130</v>
      </c>
      <c r="D52" s="22">
        <v>0</v>
      </c>
      <c r="E52" s="19" t="s">
        <v>131</v>
      </c>
      <c r="F52" s="19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1DC3-03F9-4E4F-91D6-DD25EE332EE0}">
  <dimension ref="B3:Z32"/>
  <sheetViews>
    <sheetView tabSelected="1" topLeftCell="V6" zoomScale="75" zoomScaleNormal="70" workbookViewId="0">
      <selection activeCell="W19" sqref="W19"/>
    </sheetView>
  </sheetViews>
  <sheetFormatPr defaultRowHeight="14.5" x14ac:dyDescent="0.35"/>
  <cols>
    <col min="1" max="2" width="8.7265625" style="2"/>
    <col min="3" max="3" width="3.90625" style="2" customWidth="1"/>
    <col min="4" max="4" width="17.1796875" style="2" bestFit="1" customWidth="1"/>
    <col min="5" max="5" width="3.26953125" style="2" customWidth="1"/>
    <col min="6" max="6" width="17.1796875" style="2" bestFit="1" customWidth="1"/>
    <col min="7" max="7" width="17.1796875" style="2" customWidth="1"/>
    <col min="8" max="9" width="15.1796875" style="2" customWidth="1"/>
    <col min="10" max="10" width="8.7265625" style="2" customWidth="1"/>
    <col min="11" max="11" width="8.7265625" style="2"/>
    <col min="12" max="12" width="11.1796875" style="2" bestFit="1" customWidth="1"/>
    <col min="13" max="13" width="23.6328125" style="2" bestFit="1" customWidth="1"/>
    <col min="14" max="15" width="9.26953125" style="2" customWidth="1"/>
    <col min="16" max="16" width="10.81640625" style="2" customWidth="1"/>
    <col min="17" max="17" width="14.90625" style="2" bestFit="1" customWidth="1"/>
    <col min="18" max="18" width="14.90625" style="2" customWidth="1"/>
    <col min="19" max="19" width="3" style="2" customWidth="1"/>
    <col min="20" max="20" width="27.7265625" style="2" bestFit="1" customWidth="1"/>
    <col min="21" max="21" width="12.1796875" style="2" bestFit="1" customWidth="1"/>
    <col min="22" max="22" width="15.1796875" style="2" bestFit="1" customWidth="1"/>
    <col min="23" max="23" width="13.08984375" style="2" bestFit="1" customWidth="1"/>
    <col min="24" max="24" width="14.7265625" style="2" bestFit="1" customWidth="1"/>
    <col min="25" max="16384" width="8.7265625" style="2"/>
  </cols>
  <sheetData>
    <row r="3" spans="2:26" ht="29" x14ac:dyDescent="0.35">
      <c r="B3" s="4" t="s">
        <v>28</v>
      </c>
      <c r="C3" s="4"/>
      <c r="D3" s="4" t="s">
        <v>29</v>
      </c>
      <c r="E3" s="4"/>
      <c r="F3" s="4" t="s">
        <v>30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31</v>
      </c>
      <c r="L3" s="4" t="s">
        <v>37</v>
      </c>
      <c r="M3" s="4" t="s">
        <v>42</v>
      </c>
      <c r="N3" s="13" t="s">
        <v>43</v>
      </c>
      <c r="O3" s="13" t="s">
        <v>45</v>
      </c>
      <c r="P3" s="4" t="s">
        <v>44</v>
      </c>
      <c r="Q3" s="2" t="s">
        <v>6</v>
      </c>
      <c r="T3" s="4" t="s">
        <v>32</v>
      </c>
      <c r="U3" s="4" t="s">
        <v>33</v>
      </c>
      <c r="V3" s="4" t="s">
        <v>34</v>
      </c>
      <c r="W3" s="4" t="s">
        <v>35</v>
      </c>
      <c r="X3" s="4" t="s">
        <v>36</v>
      </c>
      <c r="Y3" s="4"/>
    </row>
    <row r="4" spans="2:26" x14ac:dyDescent="0.35">
      <c r="B4" s="2">
        <v>3056</v>
      </c>
      <c r="C4" s="2">
        <v>1</v>
      </c>
      <c r="D4" s="2" t="s">
        <v>21</v>
      </c>
      <c r="E4" s="2">
        <v>2</v>
      </c>
      <c r="F4" s="2" t="s">
        <v>22</v>
      </c>
      <c r="G4" s="2">
        <f>_xlfn.XLOOKUP(C4,data!$A$2:$A$8,data!$C$2:$C$8)</f>
        <v>37.5</v>
      </c>
      <c r="H4" s="2">
        <f>_xlfn.XLOOKUP(C4,data!$A$2:$A$8,data!$D$2:$D$8)</f>
        <v>-102.5</v>
      </c>
      <c r="I4" s="2">
        <f>_xlfn.XLOOKUP(E4,data!$A$2:$A$8,data!$C$2:$C$8)</f>
        <v>44.8</v>
      </c>
      <c r="J4" s="2">
        <f>_xlfn.XLOOKUP(E4,data!$A$2:$A$8,data!$D$2:$D$8)</f>
        <v>-94.58</v>
      </c>
      <c r="K4" s="1">
        <v>8</v>
      </c>
      <c r="L4" s="9">
        <f>SQRT((G4-I4)^2+(H4-J4)^2)</f>
        <v>10.771090938247619</v>
      </c>
      <c r="M4" s="2" t="s">
        <v>7</v>
      </c>
      <c r="N4" s="2">
        <v>0</v>
      </c>
      <c r="O4" s="2">
        <f>INT(NOT(N4))</f>
        <v>1</v>
      </c>
      <c r="P4" s="2">
        <v>0</v>
      </c>
      <c r="Q4" s="2">
        <v>23</v>
      </c>
      <c r="S4" s="2">
        <v>1</v>
      </c>
      <c r="T4" s="2" t="s">
        <v>21</v>
      </c>
      <c r="U4" s="2">
        <f>SUMIF($E$4:$E$27,S4,$B$4:$B$27)</f>
        <v>0</v>
      </c>
      <c r="V4" s="2">
        <f>SUMIF($C$4:$C$27,S4,B4:B27)</f>
        <v>9123</v>
      </c>
      <c r="W4" s="2">
        <f>U4-V4</f>
        <v>-9123</v>
      </c>
      <c r="X4" s="2">
        <v>-9123</v>
      </c>
    </row>
    <row r="5" spans="2:26" x14ac:dyDescent="0.35">
      <c r="B5" s="2">
        <v>2911</v>
      </c>
      <c r="C5" s="2">
        <v>1</v>
      </c>
      <c r="D5" s="2" t="s">
        <v>21</v>
      </c>
      <c r="E5" s="2">
        <v>4</v>
      </c>
      <c r="F5" s="2" t="s">
        <v>24</v>
      </c>
      <c r="G5" s="2">
        <f>_xlfn.XLOOKUP(C5,data!$A$2:$A$8,data!$C$2:$C$8)</f>
        <v>37.5</v>
      </c>
      <c r="H5" s="2">
        <f>_xlfn.XLOOKUP(C5,data!$A$2:$A$8,data!$D$2:$D$8)</f>
        <v>-102.5</v>
      </c>
      <c r="I5" s="2">
        <f>_xlfn.XLOOKUP(E5,data!$A$2:$A$8,data!$C$2:$C$8)</f>
        <v>37.39</v>
      </c>
      <c r="J5" s="2">
        <f>_xlfn.XLOOKUP(E5,data!$A$2:$A$8,data!$D$2:$D$8)</f>
        <v>-116.62</v>
      </c>
      <c r="K5" s="1">
        <v>8</v>
      </c>
      <c r="L5" s="9">
        <f t="shared" ref="L5:L27" si="0">SQRT((G5-I5)^2+(H5-J5)^2)</f>
        <v>14.120428463754212</v>
      </c>
      <c r="M5" s="2" t="s">
        <v>8</v>
      </c>
      <c r="N5" s="2">
        <v>0</v>
      </c>
      <c r="O5" s="2">
        <f t="shared" ref="O5:O27" si="1">INT(NOT(N5))</f>
        <v>1</v>
      </c>
      <c r="P5" s="2">
        <v>1</v>
      </c>
      <c r="Q5" s="2">
        <v>84</v>
      </c>
      <c r="S5" s="2">
        <v>2</v>
      </c>
      <c r="T5" s="2" t="s">
        <v>22</v>
      </c>
      <c r="U5" s="2">
        <f>SUMIF($E$4:$E$27,S5,$B$4:$B$27)</f>
        <v>3056</v>
      </c>
      <c r="V5" s="2">
        <f>SUMIF($C$4:$C$27,S5,B5:B28)</f>
        <v>1262</v>
      </c>
      <c r="W5" s="2">
        <f t="shared" ref="W5:W10" si="2">U5-V5</f>
        <v>1794</v>
      </c>
      <c r="X5" s="2">
        <v>1794</v>
      </c>
    </row>
    <row r="6" spans="2:26" x14ac:dyDescent="0.35">
      <c r="B6" s="2">
        <v>1205</v>
      </c>
      <c r="C6" s="2">
        <v>1</v>
      </c>
      <c r="D6" s="2" t="s">
        <v>21</v>
      </c>
      <c r="E6" s="2">
        <v>6</v>
      </c>
      <c r="F6" s="2" t="s">
        <v>26</v>
      </c>
      <c r="G6" s="2">
        <f>_xlfn.XLOOKUP(C6,data!$A$2:$A$8,data!$C$2:$C$8)</f>
        <v>37.5</v>
      </c>
      <c r="H6" s="2">
        <f>_xlfn.XLOOKUP(C6,data!$A$2:$A$8,data!$D$2:$D$8)</f>
        <v>-102.5</v>
      </c>
      <c r="I6" s="2">
        <f>_xlfn.XLOOKUP(E6,data!$A$2:$A$8,data!$C$2:$C$8)</f>
        <v>44.57</v>
      </c>
      <c r="J6" s="2">
        <f>_xlfn.XLOOKUP(E6,data!$A$2:$A$8,data!$D$2:$D$8)</f>
        <v>-98.82</v>
      </c>
      <c r="K6" s="1">
        <v>14</v>
      </c>
      <c r="L6" s="9">
        <f t="shared" si="0"/>
        <v>7.9704014955333369</v>
      </c>
      <c r="M6" s="2" t="s">
        <v>7</v>
      </c>
      <c r="N6" s="2">
        <v>0</v>
      </c>
      <c r="O6" s="2">
        <f t="shared" si="1"/>
        <v>1</v>
      </c>
      <c r="P6" s="2">
        <v>1</v>
      </c>
      <c r="Q6" s="2">
        <v>81</v>
      </c>
      <c r="S6" s="2">
        <v>3</v>
      </c>
      <c r="T6" s="2" t="s">
        <v>23</v>
      </c>
      <c r="U6" s="2">
        <f>SUMIF($E$4:$E$27,S6,$B$4:$B$27)</f>
        <v>1343</v>
      </c>
      <c r="V6" s="2">
        <f>SUMIF($C$4:$C$27,S6,B6:B29)</f>
        <v>0</v>
      </c>
      <c r="W6" s="2">
        <f t="shared" si="2"/>
        <v>1343</v>
      </c>
      <c r="X6" s="2">
        <v>1343</v>
      </c>
    </row>
    <row r="7" spans="2:26" x14ac:dyDescent="0.35">
      <c r="B7" s="2">
        <v>1951</v>
      </c>
      <c r="C7" s="2">
        <v>1</v>
      </c>
      <c r="D7" s="2" t="s">
        <v>21</v>
      </c>
      <c r="E7" s="2">
        <v>7</v>
      </c>
      <c r="F7" s="2" t="s">
        <v>27</v>
      </c>
      <c r="G7" s="2">
        <f>_xlfn.XLOOKUP(C7,data!$A$2:$A$8,data!$C$2:$C$8)</f>
        <v>37.5</v>
      </c>
      <c r="H7" s="2">
        <f>_xlfn.XLOOKUP(C7,data!$A$2:$A$8,data!$D$2:$D$8)</f>
        <v>-102.5</v>
      </c>
      <c r="I7" s="2">
        <f>_xlfn.XLOOKUP(E7,data!$A$2:$A$8,data!$C$2:$C$8)</f>
        <v>32.340000000000003</v>
      </c>
      <c r="J7" s="2">
        <f>_xlfn.XLOOKUP(E7,data!$A$2:$A$8,data!$D$2:$D$8)</f>
        <v>-115.95</v>
      </c>
      <c r="K7" s="1">
        <v>23</v>
      </c>
      <c r="L7" s="9">
        <f t="shared" si="0"/>
        <v>14.405835623107743</v>
      </c>
      <c r="M7" s="12" t="s">
        <v>9</v>
      </c>
      <c r="N7" s="12">
        <v>1</v>
      </c>
      <c r="O7" s="2">
        <f t="shared" si="1"/>
        <v>0</v>
      </c>
      <c r="P7" s="2">
        <v>1</v>
      </c>
      <c r="Q7" s="2">
        <v>84</v>
      </c>
      <c r="S7" s="2">
        <v>4</v>
      </c>
      <c r="T7" s="2" t="s">
        <v>24</v>
      </c>
      <c r="U7" s="2">
        <f>SUMIF($E$4:$E$27,S7,$B$4:$B$27)</f>
        <v>2911</v>
      </c>
      <c r="V7" s="2">
        <f>SUMIF($C$4:$C$27,S7,B7:B30)</f>
        <v>1343</v>
      </c>
      <c r="W7" s="2">
        <f t="shared" si="2"/>
        <v>1568</v>
      </c>
      <c r="X7" s="2">
        <v>1568</v>
      </c>
    </row>
    <row r="8" spans="2:26" x14ac:dyDescent="0.35">
      <c r="B8" s="2">
        <v>0</v>
      </c>
      <c r="C8" s="2">
        <v>2</v>
      </c>
      <c r="D8" s="2" t="s">
        <v>22</v>
      </c>
      <c r="E8" s="2">
        <v>1</v>
      </c>
      <c r="F8" s="2" t="s">
        <v>21</v>
      </c>
      <c r="G8" s="2">
        <f>_xlfn.XLOOKUP(C8,data!$A$2:$A$8,data!$C$2:$C$8)</f>
        <v>44.8</v>
      </c>
      <c r="H8" s="2">
        <f>_xlfn.XLOOKUP(C8,data!$A$2:$A$8,data!$D$2:$D$8)</f>
        <v>-94.58</v>
      </c>
      <c r="I8" s="2">
        <f>_xlfn.XLOOKUP(E8,data!$A$2:$A$8,data!$C$2:$C$8)</f>
        <v>37.5</v>
      </c>
      <c r="J8" s="2">
        <f>_xlfn.XLOOKUP(E8,data!$A$2:$A$8,data!$D$2:$D$8)</f>
        <v>-102.5</v>
      </c>
      <c r="K8" s="1">
        <v>11</v>
      </c>
      <c r="L8" s="9">
        <f t="shared" si="0"/>
        <v>10.771090938247619</v>
      </c>
      <c r="M8" s="12" t="s">
        <v>10</v>
      </c>
      <c r="N8" s="12">
        <v>1</v>
      </c>
      <c r="O8" s="2">
        <f t="shared" si="1"/>
        <v>0</v>
      </c>
      <c r="P8" s="2">
        <v>0</v>
      </c>
      <c r="Q8" s="2">
        <v>37</v>
      </c>
      <c r="S8" s="2">
        <v>5</v>
      </c>
      <c r="T8" s="2" t="s">
        <v>25</v>
      </c>
      <c r="U8" s="2">
        <f>SUMIF($E$4:$E$27,S8,$B$4:$B$27)</f>
        <v>1262</v>
      </c>
      <c r="V8" s="2">
        <f>SUMIF($C$4:$C$27,S8,B8:B31)</f>
        <v>0</v>
      </c>
      <c r="W8" s="2">
        <f t="shared" si="2"/>
        <v>1262</v>
      </c>
      <c r="X8" s="2">
        <v>1262</v>
      </c>
    </row>
    <row r="9" spans="2:26" x14ac:dyDescent="0.35">
      <c r="B9" s="2">
        <v>1262</v>
      </c>
      <c r="C9" s="2">
        <v>2</v>
      </c>
      <c r="D9" s="2" t="s">
        <v>22</v>
      </c>
      <c r="E9" s="2">
        <v>5</v>
      </c>
      <c r="F9" s="2" t="s">
        <v>25</v>
      </c>
      <c r="G9" s="2">
        <f>_xlfn.XLOOKUP(C9,data!$A$2:$A$8,data!$C$2:$C$8)</f>
        <v>44.8</v>
      </c>
      <c r="H9" s="2">
        <f>_xlfn.XLOOKUP(C9,data!$A$2:$A$8,data!$D$2:$D$8)</f>
        <v>-94.58</v>
      </c>
      <c r="I9" s="2">
        <f>_xlfn.XLOOKUP(E9,data!$A$2:$A$8,data!$C$2:$C$8)</f>
        <v>38.36</v>
      </c>
      <c r="J9" s="2">
        <f>_xlfn.XLOOKUP(E9,data!$A$2:$A$8,data!$D$2:$D$8)</f>
        <v>-105.33</v>
      </c>
      <c r="K9" s="1">
        <v>10</v>
      </c>
      <c r="L9" s="9">
        <f t="shared" si="0"/>
        <v>12.531404550169146</v>
      </c>
      <c r="M9" s="2" t="s">
        <v>11</v>
      </c>
      <c r="N9" s="2">
        <v>0</v>
      </c>
      <c r="O9" s="2">
        <f t="shared" si="1"/>
        <v>1</v>
      </c>
      <c r="P9" s="2">
        <v>0</v>
      </c>
      <c r="Q9" s="2">
        <v>28</v>
      </c>
      <c r="S9" s="2">
        <v>6</v>
      </c>
      <c r="T9" s="2" t="s">
        <v>26</v>
      </c>
      <c r="U9" s="2">
        <f>SUMIF($E$4:$E$27,S9,$B$4:$B$27)</f>
        <v>1205</v>
      </c>
      <c r="V9" s="2">
        <f>SUMIF($C$4:$C$27,S9,B9:B32)</f>
        <v>0</v>
      </c>
      <c r="W9" s="2">
        <f t="shared" si="2"/>
        <v>1205</v>
      </c>
      <c r="X9" s="2">
        <v>1205</v>
      </c>
    </row>
    <row r="10" spans="2:26" x14ac:dyDescent="0.35">
      <c r="B10" s="2">
        <v>0</v>
      </c>
      <c r="C10" s="2">
        <v>2</v>
      </c>
      <c r="D10" s="2" t="s">
        <v>22</v>
      </c>
      <c r="E10" s="2">
        <v>6</v>
      </c>
      <c r="F10" s="2" t="s">
        <v>26</v>
      </c>
      <c r="G10" s="2">
        <f>_xlfn.XLOOKUP(C10,data!$A$2:$A$8,data!$C$2:$C$8)</f>
        <v>44.8</v>
      </c>
      <c r="H10" s="2">
        <f>_xlfn.XLOOKUP(C10,data!$A$2:$A$8,data!$D$2:$D$8)</f>
        <v>-94.58</v>
      </c>
      <c r="I10" s="2">
        <f>_xlfn.XLOOKUP(E10,data!$A$2:$A$8,data!$C$2:$C$8)</f>
        <v>44.57</v>
      </c>
      <c r="J10" s="2">
        <f>_xlfn.XLOOKUP(E10,data!$A$2:$A$8,data!$D$2:$D$8)</f>
        <v>-98.82</v>
      </c>
      <c r="K10" s="1">
        <v>22</v>
      </c>
      <c r="L10" s="9">
        <f t="shared" si="0"/>
        <v>4.2462336252260018</v>
      </c>
      <c r="M10" s="2" t="s">
        <v>11</v>
      </c>
      <c r="N10" s="2">
        <v>0</v>
      </c>
      <c r="O10" s="2">
        <f t="shared" si="1"/>
        <v>1</v>
      </c>
      <c r="P10" s="2">
        <v>0</v>
      </c>
      <c r="Q10" s="2">
        <v>30</v>
      </c>
      <c r="S10" s="2">
        <v>7</v>
      </c>
      <c r="T10" s="2" t="s">
        <v>27</v>
      </c>
      <c r="U10" s="2">
        <f>SUMIF($E$4:$E$27,S10,$B$4:$B$27)</f>
        <v>1951</v>
      </c>
      <c r="V10" s="2">
        <f>SUMIF($C$4:$C$27,S10,B10:B33)</f>
        <v>0</v>
      </c>
      <c r="W10" s="2">
        <f t="shared" si="2"/>
        <v>1951</v>
      </c>
      <c r="X10" s="2">
        <v>1951</v>
      </c>
    </row>
    <row r="11" spans="2:26" x14ac:dyDescent="0.35">
      <c r="B11" s="2">
        <v>0</v>
      </c>
      <c r="C11" s="2">
        <v>3</v>
      </c>
      <c r="D11" s="2" t="s">
        <v>23</v>
      </c>
      <c r="E11" s="2">
        <v>1</v>
      </c>
      <c r="F11" s="2" t="s">
        <v>21</v>
      </c>
      <c r="G11" s="2">
        <f>_xlfn.XLOOKUP(C11,data!$A$2:$A$8,data!$C$2:$C$8)</f>
        <v>39.76</v>
      </c>
      <c r="H11" s="2">
        <f>_xlfn.XLOOKUP(C11,data!$A$2:$A$8,data!$D$2:$D$8)</f>
        <v>-113.07</v>
      </c>
      <c r="I11" s="2">
        <f>_xlfn.XLOOKUP(E11,data!$A$2:$A$8,data!$C$2:$C$8)</f>
        <v>37.5</v>
      </c>
      <c r="J11" s="2">
        <f>_xlfn.XLOOKUP(E11,data!$A$2:$A$8,data!$D$2:$D$8)</f>
        <v>-102.5</v>
      </c>
      <c r="K11" s="1">
        <v>16</v>
      </c>
      <c r="L11" s="9">
        <f t="shared" si="0"/>
        <v>10.808908363012421</v>
      </c>
      <c r="M11" s="2" t="s">
        <v>8</v>
      </c>
      <c r="N11" s="2">
        <v>0</v>
      </c>
      <c r="O11" s="2">
        <f t="shared" si="1"/>
        <v>1</v>
      </c>
      <c r="P11" s="2">
        <v>1</v>
      </c>
      <c r="Q11" s="2">
        <v>99</v>
      </c>
    </row>
    <row r="12" spans="2:26" x14ac:dyDescent="0.35">
      <c r="B12" s="2">
        <v>0</v>
      </c>
      <c r="C12" s="2">
        <v>3</v>
      </c>
      <c r="D12" s="2" t="s">
        <v>23</v>
      </c>
      <c r="E12" s="2">
        <v>2</v>
      </c>
      <c r="F12" s="2" t="s">
        <v>22</v>
      </c>
      <c r="G12" s="2">
        <f>_xlfn.XLOOKUP(C12,data!$A$2:$A$8,data!$C$2:$C$8)</f>
        <v>39.76</v>
      </c>
      <c r="H12" s="2">
        <f>_xlfn.XLOOKUP(C12,data!$A$2:$A$8,data!$D$2:$D$8)</f>
        <v>-113.07</v>
      </c>
      <c r="I12" s="2">
        <f>_xlfn.XLOOKUP(E12,data!$A$2:$A$8,data!$C$2:$C$8)</f>
        <v>44.8</v>
      </c>
      <c r="J12" s="2">
        <f>_xlfn.XLOOKUP(E12,data!$A$2:$A$8,data!$D$2:$D$8)</f>
        <v>-94.58</v>
      </c>
      <c r="K12" s="1">
        <v>5</v>
      </c>
      <c r="L12" s="9">
        <f t="shared" si="0"/>
        <v>19.164594960499421</v>
      </c>
      <c r="M12" s="12" t="s">
        <v>12</v>
      </c>
      <c r="N12" s="12">
        <v>1</v>
      </c>
      <c r="O12" s="2">
        <f t="shared" si="1"/>
        <v>0</v>
      </c>
      <c r="P12" s="2">
        <v>1</v>
      </c>
      <c r="Q12" s="2">
        <v>97</v>
      </c>
      <c r="T12" s="4" t="s">
        <v>47</v>
      </c>
      <c r="U12" s="4" t="s">
        <v>46</v>
      </c>
      <c r="V12" s="4" t="s">
        <v>0</v>
      </c>
      <c r="W12" s="4" t="s">
        <v>51</v>
      </c>
      <c r="X12" s="4" t="s">
        <v>50</v>
      </c>
      <c r="Y12" s="4" t="s">
        <v>52</v>
      </c>
      <c r="Z12" s="4" t="s">
        <v>53</v>
      </c>
    </row>
    <row r="13" spans="2:26" ht="14.5" customHeight="1" x14ac:dyDescent="0.35">
      <c r="B13" s="2">
        <v>0</v>
      </c>
      <c r="C13" s="2">
        <v>3</v>
      </c>
      <c r="D13" s="2" t="s">
        <v>23</v>
      </c>
      <c r="E13" s="2">
        <v>4</v>
      </c>
      <c r="F13" s="2" t="s">
        <v>24</v>
      </c>
      <c r="G13" s="2">
        <f>_xlfn.XLOOKUP(C13,data!$A$2:$A$8,data!$C$2:$C$8)</f>
        <v>39.76</v>
      </c>
      <c r="H13" s="2">
        <f>_xlfn.XLOOKUP(C13,data!$A$2:$A$8,data!$D$2:$D$8)</f>
        <v>-113.07</v>
      </c>
      <c r="I13" s="2">
        <f>_xlfn.XLOOKUP(E13,data!$A$2:$A$8,data!$C$2:$C$8)</f>
        <v>37.39</v>
      </c>
      <c r="J13" s="2">
        <f>_xlfn.XLOOKUP(E13,data!$A$2:$A$8,data!$D$2:$D$8)</f>
        <v>-116.62</v>
      </c>
      <c r="K13" s="1">
        <v>19</v>
      </c>
      <c r="L13" s="9">
        <f t="shared" si="0"/>
        <v>4.2684189110254946</v>
      </c>
      <c r="M13" s="2" t="s">
        <v>7</v>
      </c>
      <c r="N13" s="2">
        <v>0</v>
      </c>
      <c r="O13" s="2">
        <f t="shared" si="1"/>
        <v>1</v>
      </c>
      <c r="P13" s="2">
        <v>1</v>
      </c>
      <c r="Q13" s="2">
        <v>89</v>
      </c>
      <c r="T13" s="18" t="s">
        <v>48</v>
      </c>
      <c r="U13" s="18">
        <f>SUMPRODUCT(B4:B27,K4:K27)</f>
        <v>138215</v>
      </c>
      <c r="V13" s="26">
        <v>117915</v>
      </c>
      <c r="W13" s="2">
        <f>U13-V13</f>
        <v>20300</v>
      </c>
      <c r="X13" s="15">
        <f>V13/W13</f>
        <v>5.8086206896551724</v>
      </c>
      <c r="Y13" s="2">
        <v>1</v>
      </c>
      <c r="Z13" s="16">
        <f>X13*Y13</f>
        <v>5.8086206896551724</v>
      </c>
    </row>
    <row r="14" spans="2:26" x14ac:dyDescent="0.35">
      <c r="B14" s="2">
        <v>0</v>
      </c>
      <c r="C14" s="2">
        <v>3</v>
      </c>
      <c r="D14" s="2" t="s">
        <v>23</v>
      </c>
      <c r="E14" s="2">
        <v>5</v>
      </c>
      <c r="F14" s="2" t="s">
        <v>25</v>
      </c>
      <c r="G14" s="2">
        <f>_xlfn.XLOOKUP(C14,data!$A$2:$A$8,data!$C$2:$C$8)</f>
        <v>39.76</v>
      </c>
      <c r="H14" s="2">
        <f>_xlfn.XLOOKUP(C14,data!$A$2:$A$8,data!$D$2:$D$8)</f>
        <v>-113.07</v>
      </c>
      <c r="I14" s="2">
        <f>_xlfn.XLOOKUP(E14,data!$A$2:$A$8,data!$C$2:$C$8)</f>
        <v>38.36</v>
      </c>
      <c r="J14" s="2">
        <f>_xlfn.XLOOKUP(E14,data!$A$2:$A$8,data!$D$2:$D$8)</f>
        <v>-105.33</v>
      </c>
      <c r="K14" s="1">
        <v>11</v>
      </c>
      <c r="L14" s="9">
        <f t="shared" si="0"/>
        <v>7.8655959723341953</v>
      </c>
      <c r="M14" s="2" t="s">
        <v>13</v>
      </c>
      <c r="N14" s="2">
        <v>0</v>
      </c>
      <c r="O14" s="2">
        <f t="shared" si="1"/>
        <v>1</v>
      </c>
      <c r="P14" s="2">
        <v>1</v>
      </c>
      <c r="Q14" s="2">
        <v>99</v>
      </c>
      <c r="T14" s="2" t="s">
        <v>49</v>
      </c>
      <c r="U14" s="2">
        <f>SUMPRODUCT(B4:B27,P4:P27)</f>
        <v>7410</v>
      </c>
      <c r="V14" s="4">
        <v>0</v>
      </c>
      <c r="W14" s="2">
        <f>U14-V14</f>
        <v>7410</v>
      </c>
      <c r="X14" s="15">
        <v>0</v>
      </c>
      <c r="Y14" s="2">
        <v>2</v>
      </c>
      <c r="Z14" s="16">
        <f t="shared" ref="Z14:Z16" si="3">X14*Y14</f>
        <v>0</v>
      </c>
    </row>
    <row r="15" spans="2:26" x14ac:dyDescent="0.35">
      <c r="B15" s="2">
        <v>0</v>
      </c>
      <c r="C15" s="2">
        <v>4</v>
      </c>
      <c r="D15" s="2" t="s">
        <v>24</v>
      </c>
      <c r="E15" s="2">
        <v>1</v>
      </c>
      <c r="F15" s="2" t="s">
        <v>21</v>
      </c>
      <c r="G15" s="2">
        <f>_xlfn.XLOOKUP(C15,data!$A$2:$A$8,data!$C$2:$C$8)</f>
        <v>37.39</v>
      </c>
      <c r="H15" s="2">
        <f>_xlfn.XLOOKUP(C15,data!$A$2:$A$8,data!$D$2:$D$8)</f>
        <v>-116.62</v>
      </c>
      <c r="I15" s="2">
        <f>_xlfn.XLOOKUP(E15,data!$A$2:$A$8,data!$C$2:$C$8)</f>
        <v>37.5</v>
      </c>
      <c r="J15" s="2">
        <f>_xlfn.XLOOKUP(E15,data!$A$2:$A$8,data!$D$2:$D$8)</f>
        <v>-102.5</v>
      </c>
      <c r="K15" s="1">
        <v>7</v>
      </c>
      <c r="L15" s="9">
        <f t="shared" si="0"/>
        <v>14.120428463754212</v>
      </c>
      <c r="M15" s="2" t="s">
        <v>8</v>
      </c>
      <c r="N15" s="2">
        <v>0</v>
      </c>
      <c r="O15" s="2">
        <f t="shared" si="1"/>
        <v>1</v>
      </c>
      <c r="P15" s="2">
        <v>1</v>
      </c>
      <c r="Q15" s="2">
        <v>81</v>
      </c>
      <c r="T15" s="2" t="s">
        <v>56</v>
      </c>
      <c r="U15" s="11">
        <f>SUMPRODUCT(B4:B27,O4:O27)</f>
        <v>9777</v>
      </c>
      <c r="V15" s="2">
        <v>2911</v>
      </c>
      <c r="W15" s="11">
        <f>U15-V15</f>
        <v>6866</v>
      </c>
      <c r="X15" s="15">
        <f t="shared" ref="X15:X16" si="4">V15/W15</f>
        <v>0.42397320128167781</v>
      </c>
      <c r="Y15" s="2">
        <v>1</v>
      </c>
      <c r="Z15" s="16">
        <f t="shared" si="3"/>
        <v>0.42397320128167781</v>
      </c>
    </row>
    <row r="16" spans="2:26" x14ac:dyDescent="0.35">
      <c r="B16" s="2">
        <v>0</v>
      </c>
      <c r="C16" s="2">
        <v>4</v>
      </c>
      <c r="D16" s="2" t="s">
        <v>24</v>
      </c>
      <c r="E16" s="2">
        <v>2</v>
      </c>
      <c r="F16" s="2" t="s">
        <v>22</v>
      </c>
      <c r="G16" s="2">
        <f>_xlfn.XLOOKUP(C16,data!$A$2:$A$8,data!$C$2:$C$8)</f>
        <v>37.39</v>
      </c>
      <c r="H16" s="2">
        <f>_xlfn.XLOOKUP(C16,data!$A$2:$A$8,data!$D$2:$D$8)</f>
        <v>-116.62</v>
      </c>
      <c r="I16" s="2">
        <f>_xlfn.XLOOKUP(E16,data!$A$2:$A$8,data!$C$2:$C$8)</f>
        <v>44.8</v>
      </c>
      <c r="J16" s="2">
        <f>_xlfn.XLOOKUP(E16,data!$A$2:$A$8,data!$D$2:$D$8)</f>
        <v>-94.58</v>
      </c>
      <c r="K16" s="1">
        <v>14</v>
      </c>
      <c r="L16" s="9">
        <f t="shared" si="0"/>
        <v>23.252305262059508</v>
      </c>
      <c r="M16" s="2" t="s">
        <v>7</v>
      </c>
      <c r="N16" s="2">
        <v>0</v>
      </c>
      <c r="O16" s="2">
        <f t="shared" si="1"/>
        <v>1</v>
      </c>
      <c r="P16" s="2">
        <v>1</v>
      </c>
      <c r="Q16" s="2">
        <v>85</v>
      </c>
      <c r="T16" s="2" t="s">
        <v>57</v>
      </c>
      <c r="U16" s="11">
        <f>SUMPRODUCT(B4:B27,L4:L27)</f>
        <v>138109.26820123239</v>
      </c>
      <c r="V16" s="26">
        <v>115989</v>
      </c>
      <c r="W16" s="11">
        <f>U16-V16</f>
        <v>22120.268201232393</v>
      </c>
      <c r="X16" s="15">
        <f t="shared" si="4"/>
        <v>5.2435621008219906</v>
      </c>
      <c r="Y16" s="2">
        <v>1</v>
      </c>
      <c r="Z16" s="16">
        <f>X16*Y16</f>
        <v>5.2435621008219906</v>
      </c>
    </row>
    <row r="17" spans="2:26" x14ac:dyDescent="0.35">
      <c r="B17" s="2">
        <v>0</v>
      </c>
      <c r="C17" s="2">
        <v>4</v>
      </c>
      <c r="D17" s="2" t="s">
        <v>24</v>
      </c>
      <c r="E17" s="2">
        <v>6</v>
      </c>
      <c r="F17" s="2" t="s">
        <v>26</v>
      </c>
      <c r="G17" s="2">
        <f>_xlfn.XLOOKUP(C17,data!$A$2:$A$8,data!$C$2:$C$8)</f>
        <v>37.39</v>
      </c>
      <c r="H17" s="2">
        <f>_xlfn.XLOOKUP(C17,data!$A$2:$A$8,data!$D$2:$D$8)</f>
        <v>-116.62</v>
      </c>
      <c r="I17" s="2">
        <f>_xlfn.XLOOKUP(E17,data!$A$2:$A$8,data!$C$2:$C$8)</f>
        <v>44.57</v>
      </c>
      <c r="J17" s="2">
        <f>_xlfn.XLOOKUP(E17,data!$A$2:$A$8,data!$D$2:$D$8)</f>
        <v>-98.82</v>
      </c>
      <c r="K17" s="1">
        <v>8</v>
      </c>
      <c r="L17" s="9">
        <f t="shared" si="0"/>
        <v>19.193551000270908</v>
      </c>
      <c r="M17" s="12" t="s">
        <v>14</v>
      </c>
      <c r="N17" s="12">
        <v>1</v>
      </c>
      <c r="O17" s="2">
        <f t="shared" si="1"/>
        <v>0</v>
      </c>
      <c r="P17" s="2">
        <v>1</v>
      </c>
      <c r="Q17" s="2">
        <v>99</v>
      </c>
    </row>
    <row r="18" spans="2:26" x14ac:dyDescent="0.35">
      <c r="B18" s="2">
        <v>0</v>
      </c>
      <c r="C18" s="2">
        <v>5</v>
      </c>
      <c r="D18" s="2" t="s">
        <v>25</v>
      </c>
      <c r="E18" s="2">
        <v>1</v>
      </c>
      <c r="F18" s="2" t="s">
        <v>21</v>
      </c>
      <c r="G18" s="2">
        <f>_xlfn.XLOOKUP(C18,data!$A$2:$A$8,data!$C$2:$C$8)</f>
        <v>38.36</v>
      </c>
      <c r="H18" s="2">
        <f>_xlfn.XLOOKUP(C18,data!$A$2:$A$8,data!$D$2:$D$8)</f>
        <v>-105.33</v>
      </c>
      <c r="I18" s="2">
        <f>_xlfn.XLOOKUP(E18,data!$A$2:$A$8,data!$C$2:$C$8)</f>
        <v>37.5</v>
      </c>
      <c r="J18" s="2">
        <f>_xlfn.XLOOKUP(E18,data!$A$2:$A$8,data!$D$2:$D$8)</f>
        <v>-102.5</v>
      </c>
      <c r="K18" s="1">
        <v>15</v>
      </c>
      <c r="L18" s="9">
        <f t="shared" si="0"/>
        <v>2.9577863344061872</v>
      </c>
      <c r="M18" s="2" t="s">
        <v>8</v>
      </c>
      <c r="N18" s="2">
        <v>0</v>
      </c>
      <c r="O18" s="2">
        <f t="shared" si="1"/>
        <v>1</v>
      </c>
      <c r="P18" s="2">
        <v>0</v>
      </c>
      <c r="Q18" s="2">
        <v>33</v>
      </c>
      <c r="T18" s="4" t="s">
        <v>54</v>
      </c>
    </row>
    <row r="19" spans="2:26" x14ac:dyDescent="0.35">
      <c r="B19" s="2">
        <v>0</v>
      </c>
      <c r="C19" s="2">
        <v>5</v>
      </c>
      <c r="D19" s="2" t="s">
        <v>25</v>
      </c>
      <c r="E19" s="2">
        <v>2</v>
      </c>
      <c r="F19" s="2" t="s">
        <v>22</v>
      </c>
      <c r="G19" s="2">
        <f>_xlfn.XLOOKUP(C19,data!$A$2:$A$8,data!$C$2:$C$8)</f>
        <v>38.36</v>
      </c>
      <c r="H19" s="2">
        <f>_xlfn.XLOOKUP(C19,data!$A$2:$A$8,data!$D$2:$D$8)</f>
        <v>-105.33</v>
      </c>
      <c r="I19" s="2">
        <f>_xlfn.XLOOKUP(E19,data!$A$2:$A$8,data!$C$2:$C$8)</f>
        <v>44.8</v>
      </c>
      <c r="J19" s="2">
        <f>_xlfn.XLOOKUP(E19,data!$A$2:$A$8,data!$D$2:$D$8)</f>
        <v>-94.58</v>
      </c>
      <c r="K19" s="1">
        <v>22</v>
      </c>
      <c r="L19" s="9">
        <f t="shared" si="0"/>
        <v>12.531404550169146</v>
      </c>
      <c r="M19" s="2" t="s">
        <v>13</v>
      </c>
      <c r="N19" s="2">
        <v>0</v>
      </c>
      <c r="O19" s="2">
        <f t="shared" si="1"/>
        <v>1</v>
      </c>
      <c r="P19" s="2">
        <v>0</v>
      </c>
      <c r="Q19" s="2">
        <v>74</v>
      </c>
      <c r="T19" s="2" t="s">
        <v>55</v>
      </c>
      <c r="U19" s="15">
        <v>0</v>
      </c>
    </row>
    <row r="20" spans="2:26" x14ac:dyDescent="0.35">
      <c r="B20" s="2">
        <v>1343</v>
      </c>
      <c r="C20" s="2">
        <v>5</v>
      </c>
      <c r="D20" s="2" t="s">
        <v>25</v>
      </c>
      <c r="E20" s="2">
        <v>3</v>
      </c>
      <c r="F20" s="2" t="s">
        <v>23</v>
      </c>
      <c r="G20" s="2">
        <f>_xlfn.XLOOKUP(C20,data!$A$2:$A$8,data!$C$2:$C$8)</f>
        <v>38.36</v>
      </c>
      <c r="H20" s="2">
        <f>_xlfn.XLOOKUP(C20,data!$A$2:$A$8,data!$D$2:$D$8)</f>
        <v>-105.33</v>
      </c>
      <c r="I20" s="2">
        <f>_xlfn.XLOOKUP(E20,data!$A$2:$A$8,data!$C$2:$C$8)</f>
        <v>39.76</v>
      </c>
      <c r="J20" s="2">
        <f>_xlfn.XLOOKUP(E20,data!$A$2:$A$8,data!$D$2:$D$8)</f>
        <v>-113.07</v>
      </c>
      <c r="K20" s="1">
        <v>12</v>
      </c>
      <c r="L20" s="9">
        <f t="shared" si="0"/>
        <v>7.8655959723341953</v>
      </c>
      <c r="M20" s="2" t="s">
        <v>13</v>
      </c>
      <c r="N20" s="2">
        <v>0</v>
      </c>
      <c r="O20" s="2">
        <f t="shared" si="1"/>
        <v>1</v>
      </c>
      <c r="P20" s="2">
        <v>1</v>
      </c>
      <c r="Q20" s="2">
        <v>89</v>
      </c>
    </row>
    <row r="21" spans="2:26" x14ac:dyDescent="0.35">
      <c r="B21" s="2">
        <v>0</v>
      </c>
      <c r="C21" s="2">
        <v>5</v>
      </c>
      <c r="D21" s="2" t="s">
        <v>25</v>
      </c>
      <c r="E21" s="2">
        <v>4</v>
      </c>
      <c r="F21" s="2" t="s">
        <v>24</v>
      </c>
      <c r="G21" s="2">
        <f>_xlfn.XLOOKUP(C21,data!$A$2:$A$8,data!$C$2:$C$8)</f>
        <v>38.36</v>
      </c>
      <c r="H21" s="2">
        <f>_xlfn.XLOOKUP(C21,data!$A$2:$A$8,data!$D$2:$D$8)</f>
        <v>-105.33</v>
      </c>
      <c r="I21" s="2">
        <f>_xlfn.XLOOKUP(E21,data!$A$2:$A$8,data!$C$2:$C$8)</f>
        <v>37.39</v>
      </c>
      <c r="J21" s="2">
        <f>_xlfn.XLOOKUP(E21,data!$A$2:$A$8,data!$D$2:$D$8)</f>
        <v>-116.62</v>
      </c>
      <c r="K21" s="1">
        <v>14</v>
      </c>
      <c r="L21" s="9">
        <f t="shared" si="0"/>
        <v>11.331593003633696</v>
      </c>
      <c r="M21" s="2" t="s">
        <v>13</v>
      </c>
      <c r="N21" s="2">
        <v>0</v>
      </c>
      <c r="O21" s="2">
        <f t="shared" si="1"/>
        <v>1</v>
      </c>
      <c r="P21" s="2">
        <v>0</v>
      </c>
      <c r="Q21" s="2">
        <v>77</v>
      </c>
    </row>
    <row r="22" spans="2:26" x14ac:dyDescent="0.35">
      <c r="B22" s="2">
        <v>0</v>
      </c>
      <c r="C22" s="2">
        <v>5</v>
      </c>
      <c r="D22" s="2" t="s">
        <v>25</v>
      </c>
      <c r="E22" s="2">
        <v>7</v>
      </c>
      <c r="F22" s="2" t="s">
        <v>27</v>
      </c>
      <c r="G22" s="2">
        <f>_xlfn.XLOOKUP(C22,data!$A$2:$A$8,data!$C$2:$C$8)</f>
        <v>38.36</v>
      </c>
      <c r="H22" s="2">
        <f>_xlfn.XLOOKUP(C22,data!$A$2:$A$8,data!$D$2:$D$8)</f>
        <v>-105.33</v>
      </c>
      <c r="I22" s="2">
        <f>_xlfn.XLOOKUP(E22,data!$A$2:$A$8,data!$C$2:$C$8)</f>
        <v>32.340000000000003</v>
      </c>
      <c r="J22" s="2">
        <f>_xlfn.XLOOKUP(E22,data!$A$2:$A$8,data!$D$2:$D$8)</f>
        <v>-115.95</v>
      </c>
      <c r="K22" s="1">
        <v>6</v>
      </c>
      <c r="L22" s="9">
        <f t="shared" si="0"/>
        <v>12.207571421048497</v>
      </c>
      <c r="M22" s="2" t="s">
        <v>8</v>
      </c>
      <c r="N22" s="2">
        <v>0</v>
      </c>
      <c r="O22" s="2">
        <f t="shared" si="1"/>
        <v>1</v>
      </c>
      <c r="P22" s="2">
        <v>1</v>
      </c>
      <c r="Q22" s="2">
        <v>96</v>
      </c>
    </row>
    <row r="23" spans="2:26" x14ac:dyDescent="0.35">
      <c r="B23" s="2">
        <v>0</v>
      </c>
      <c r="C23" s="2">
        <v>6</v>
      </c>
      <c r="D23" s="2" t="s">
        <v>26</v>
      </c>
      <c r="E23" s="2">
        <v>1</v>
      </c>
      <c r="F23" s="2" t="s">
        <v>21</v>
      </c>
      <c r="G23" s="2">
        <f>_xlfn.XLOOKUP(C23,data!$A$2:$A$8,data!$C$2:$C$8)</f>
        <v>44.57</v>
      </c>
      <c r="H23" s="2">
        <f>_xlfn.XLOOKUP(C23,data!$A$2:$A$8,data!$D$2:$D$8)</f>
        <v>-98.82</v>
      </c>
      <c r="I23" s="2">
        <f>_xlfn.XLOOKUP(E23,data!$A$2:$A$8,data!$C$2:$C$8)</f>
        <v>37.5</v>
      </c>
      <c r="J23" s="2">
        <f>_xlfn.XLOOKUP(E23,data!$A$2:$A$8,data!$D$2:$D$8)</f>
        <v>-102.5</v>
      </c>
      <c r="K23" s="1">
        <v>17</v>
      </c>
      <c r="L23" s="9">
        <f t="shared" si="0"/>
        <v>7.9704014955333369</v>
      </c>
      <c r="M23" s="2" t="s">
        <v>13</v>
      </c>
      <c r="N23" s="2">
        <v>0</v>
      </c>
      <c r="O23" s="2">
        <f t="shared" si="1"/>
        <v>1</v>
      </c>
      <c r="P23" s="2">
        <v>1</v>
      </c>
      <c r="Q23" s="2">
        <v>99</v>
      </c>
    </row>
    <row r="24" spans="2:26" x14ac:dyDescent="0.35">
      <c r="B24" s="2">
        <v>0</v>
      </c>
      <c r="C24" s="2">
        <v>6</v>
      </c>
      <c r="D24" s="2" t="s">
        <v>26</v>
      </c>
      <c r="E24" s="2">
        <v>5</v>
      </c>
      <c r="F24" s="2" t="s">
        <v>25</v>
      </c>
      <c r="G24" s="2">
        <f>_xlfn.XLOOKUP(C24,data!$A$2:$A$8,data!$C$2:$C$8)</f>
        <v>44.57</v>
      </c>
      <c r="H24" s="2">
        <f>_xlfn.XLOOKUP(C24,data!$A$2:$A$8,data!$D$2:$D$8)</f>
        <v>-98.82</v>
      </c>
      <c r="I24" s="2">
        <f>_xlfn.XLOOKUP(E24,data!$A$2:$A$8,data!$C$2:$C$8)</f>
        <v>38.36</v>
      </c>
      <c r="J24" s="2">
        <f>_xlfn.XLOOKUP(E24,data!$A$2:$A$8,data!$D$2:$D$8)</f>
        <v>-105.33</v>
      </c>
      <c r="K24" s="1">
        <v>24</v>
      </c>
      <c r="L24" s="9">
        <f t="shared" si="0"/>
        <v>8.9968994659271413</v>
      </c>
      <c r="M24" s="2" t="s">
        <v>8</v>
      </c>
      <c r="N24" s="2">
        <v>0</v>
      </c>
      <c r="O24" s="2">
        <f t="shared" si="1"/>
        <v>1</v>
      </c>
      <c r="P24" s="2">
        <v>0</v>
      </c>
      <c r="Q24" s="2">
        <v>30</v>
      </c>
      <c r="V24" s="7"/>
      <c r="W24" s="8"/>
      <c r="X24" s="7"/>
      <c r="Y24" s="5"/>
      <c r="Z24" s="7"/>
    </row>
    <row r="25" spans="2:26" x14ac:dyDescent="0.35">
      <c r="B25" s="2">
        <v>0</v>
      </c>
      <c r="C25" s="2">
        <v>6</v>
      </c>
      <c r="D25" s="2" t="s">
        <v>26</v>
      </c>
      <c r="E25" s="2">
        <v>7</v>
      </c>
      <c r="F25" s="2" t="s">
        <v>27</v>
      </c>
      <c r="G25" s="2">
        <f>_xlfn.XLOOKUP(C25,data!$A$2:$A$8,data!$C$2:$C$8)</f>
        <v>44.57</v>
      </c>
      <c r="H25" s="2">
        <f>_xlfn.XLOOKUP(C25,data!$A$2:$A$8,data!$D$2:$D$8)</f>
        <v>-98.82</v>
      </c>
      <c r="I25" s="2">
        <f>_xlfn.XLOOKUP(E25,data!$A$2:$A$8,data!$C$2:$C$8)</f>
        <v>32.340000000000003</v>
      </c>
      <c r="J25" s="2">
        <f>_xlfn.XLOOKUP(E25,data!$A$2:$A$8,data!$D$2:$D$8)</f>
        <v>-115.95</v>
      </c>
      <c r="K25" s="1">
        <v>18</v>
      </c>
      <c r="L25" s="9">
        <f t="shared" si="0"/>
        <v>21.047797984587373</v>
      </c>
      <c r="M25" s="2" t="s">
        <v>8</v>
      </c>
      <c r="N25" s="2">
        <v>0</v>
      </c>
      <c r="O25" s="2">
        <f t="shared" si="1"/>
        <v>1</v>
      </c>
      <c r="P25" s="2">
        <v>0</v>
      </c>
      <c r="Q25" s="2">
        <v>27</v>
      </c>
      <c r="W25" s="8"/>
      <c r="X25" s="7"/>
      <c r="Z25" s="7"/>
    </row>
    <row r="26" spans="2:26" x14ac:dyDescent="0.35">
      <c r="B26" s="2">
        <v>0</v>
      </c>
      <c r="C26" s="2">
        <v>7</v>
      </c>
      <c r="D26" s="2" t="s">
        <v>27</v>
      </c>
      <c r="E26" s="2">
        <v>3</v>
      </c>
      <c r="F26" s="2" t="s">
        <v>23</v>
      </c>
      <c r="G26" s="2">
        <f>_xlfn.XLOOKUP(C26,data!$A$2:$A$8,data!$C$2:$C$8)</f>
        <v>32.340000000000003</v>
      </c>
      <c r="H26" s="2">
        <f>_xlfn.XLOOKUP(C26,data!$A$2:$A$8,data!$D$2:$D$8)</f>
        <v>-115.95</v>
      </c>
      <c r="I26" s="2">
        <f>_xlfn.XLOOKUP(E26,data!$A$2:$A$8,data!$C$2:$C$8)</f>
        <v>39.76</v>
      </c>
      <c r="J26" s="2">
        <f>_xlfn.XLOOKUP(E26,data!$A$2:$A$8,data!$D$2:$D$8)</f>
        <v>-113.07</v>
      </c>
      <c r="K26" s="1">
        <v>13</v>
      </c>
      <c r="L26" s="9">
        <f t="shared" si="0"/>
        <v>7.9593215791297176</v>
      </c>
      <c r="M26" s="2" t="s">
        <v>7</v>
      </c>
      <c r="N26" s="2">
        <v>0</v>
      </c>
      <c r="O26" s="2">
        <f t="shared" si="1"/>
        <v>1</v>
      </c>
      <c r="P26" s="2">
        <v>0</v>
      </c>
      <c r="Q26" s="2">
        <v>78</v>
      </c>
      <c r="U26" s="10"/>
      <c r="W26" s="10"/>
      <c r="X26" s="6"/>
      <c r="Y26" s="3"/>
      <c r="Z26" s="17"/>
    </row>
    <row r="27" spans="2:26" x14ac:dyDescent="0.35">
      <c r="B27" s="2">
        <v>0</v>
      </c>
      <c r="C27" s="2">
        <v>7</v>
      </c>
      <c r="D27" s="2" t="s">
        <v>27</v>
      </c>
      <c r="E27" s="2">
        <v>5</v>
      </c>
      <c r="F27" s="2" t="s">
        <v>25</v>
      </c>
      <c r="G27" s="2">
        <f>_xlfn.XLOOKUP(C27,data!$A$2:$A$8,data!$C$2:$C$8)</f>
        <v>32.340000000000003</v>
      </c>
      <c r="H27" s="2">
        <f>_xlfn.XLOOKUP(C27,data!$A$2:$A$8,data!$D$2:$D$8)</f>
        <v>-115.95</v>
      </c>
      <c r="I27" s="2">
        <f>_xlfn.XLOOKUP(E27,data!$A$2:$A$8,data!$C$2:$C$8)</f>
        <v>38.36</v>
      </c>
      <c r="J27" s="2">
        <f>_xlfn.XLOOKUP(E27,data!$A$2:$A$8,data!$D$2:$D$8)</f>
        <v>-105.33</v>
      </c>
      <c r="K27" s="1">
        <v>16</v>
      </c>
      <c r="L27" s="9">
        <f t="shared" si="0"/>
        <v>12.207571421048497</v>
      </c>
      <c r="M27" s="12" t="s">
        <v>12</v>
      </c>
      <c r="N27" s="12">
        <v>1</v>
      </c>
      <c r="O27" s="2">
        <f t="shared" si="1"/>
        <v>0</v>
      </c>
      <c r="P27" s="2">
        <v>1</v>
      </c>
      <c r="Q27" s="2">
        <v>104</v>
      </c>
      <c r="U27" s="10"/>
      <c r="W27" s="10"/>
      <c r="X27" s="6"/>
      <c r="Y27" s="3"/>
      <c r="Z27" s="17"/>
    </row>
    <row r="28" spans="2:26" x14ac:dyDescent="0.35">
      <c r="W28" s="10"/>
      <c r="X28" s="6"/>
      <c r="Y28" s="3"/>
      <c r="Z28" s="17"/>
    </row>
    <row r="29" spans="2:26" x14ac:dyDescent="0.35">
      <c r="W29" s="10"/>
      <c r="X29" s="6"/>
      <c r="Y29" s="3"/>
      <c r="Z29" s="17"/>
    </row>
    <row r="30" spans="2:26" x14ac:dyDescent="0.35">
      <c r="Z30" s="18"/>
    </row>
    <row r="32" spans="2:26" x14ac:dyDescent="0.35">
      <c r="W3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C1F4-D008-4ECF-B428-D697D78EC634}">
  <dimension ref="B3:Z33"/>
  <sheetViews>
    <sheetView topLeftCell="I2" zoomScale="70" zoomScaleNormal="70" workbookViewId="0">
      <selection activeCell="Z18" sqref="Z18"/>
    </sheetView>
  </sheetViews>
  <sheetFormatPr defaultRowHeight="14.5" x14ac:dyDescent="0.35"/>
  <cols>
    <col min="3" max="3" width="3.90625" style="2" customWidth="1"/>
    <col min="4" max="4" width="17.1796875" bestFit="1" customWidth="1"/>
    <col min="5" max="5" width="3.26953125" style="2" customWidth="1"/>
    <col min="6" max="6" width="17.1796875" bestFit="1" customWidth="1"/>
    <col min="7" max="7" width="17.1796875" style="2" customWidth="1"/>
    <col min="8" max="8" width="15.1796875" customWidth="1"/>
    <col min="9" max="9" width="15.1796875" style="2" customWidth="1"/>
    <col min="10" max="10" width="8.7265625" style="2" customWidth="1"/>
    <col min="12" max="12" width="11.1796875" style="2" bestFit="1" customWidth="1"/>
    <col min="13" max="13" width="23.6328125" bestFit="1" customWidth="1"/>
    <col min="14" max="15" width="9.26953125" style="2" customWidth="1"/>
    <col min="16" max="16" width="10.81640625" style="2" customWidth="1"/>
    <col min="17" max="17" width="14.90625" style="2" bestFit="1" customWidth="1"/>
    <col min="18" max="18" width="14.90625" style="2" customWidth="1"/>
    <col min="19" max="19" width="3" customWidth="1"/>
    <col min="20" max="20" width="27.7265625" bestFit="1" customWidth="1"/>
    <col min="21" max="21" width="12.1796875" bestFit="1" customWidth="1"/>
    <col min="22" max="22" width="15.1796875" bestFit="1" customWidth="1"/>
    <col min="23" max="23" width="13.08984375" bestFit="1" customWidth="1"/>
    <col min="24" max="24" width="14.7265625" bestFit="1" customWidth="1"/>
  </cols>
  <sheetData>
    <row r="3" spans="2:26" ht="29" x14ac:dyDescent="0.35">
      <c r="B3" s="4" t="s">
        <v>28</v>
      </c>
      <c r="C3" s="4"/>
      <c r="D3" s="4" t="s">
        <v>29</v>
      </c>
      <c r="E3" s="4"/>
      <c r="F3" s="4" t="s">
        <v>30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31</v>
      </c>
      <c r="L3" s="4" t="s">
        <v>37</v>
      </c>
      <c r="M3" s="4" t="s">
        <v>42</v>
      </c>
      <c r="N3" s="13" t="s">
        <v>43</v>
      </c>
      <c r="O3" s="13" t="s">
        <v>45</v>
      </c>
      <c r="P3" s="4" t="s">
        <v>44</v>
      </c>
      <c r="Q3" s="2" t="s">
        <v>6</v>
      </c>
      <c r="T3" s="4" t="s">
        <v>32</v>
      </c>
      <c r="U3" s="4" t="s">
        <v>33</v>
      </c>
      <c r="V3" s="4" t="s">
        <v>34</v>
      </c>
      <c r="W3" s="4" t="s">
        <v>35</v>
      </c>
      <c r="X3" s="4" t="s">
        <v>36</v>
      </c>
      <c r="Y3" s="4"/>
    </row>
    <row r="4" spans="2:26" x14ac:dyDescent="0.35">
      <c r="B4">
        <v>3056</v>
      </c>
      <c r="C4" s="2">
        <v>1</v>
      </c>
      <c r="D4" s="2" t="s">
        <v>21</v>
      </c>
      <c r="E4" s="2">
        <v>2</v>
      </c>
      <c r="F4" s="2" t="s">
        <v>22</v>
      </c>
      <c r="G4" s="2">
        <f>_xlfn.XLOOKUP(C4,data!$A$2:$A$8,data!$C$2:$C$8)</f>
        <v>37.5</v>
      </c>
      <c r="H4">
        <f>_xlfn.XLOOKUP(C4,data!$A$2:$A$8,data!$D$2:$D$8)</f>
        <v>-102.5</v>
      </c>
      <c r="I4" s="2">
        <f>_xlfn.XLOOKUP(E4,data!$A$2:$A$8,data!$C$2:$C$8)</f>
        <v>44.8</v>
      </c>
      <c r="J4" s="2">
        <f>_xlfn.XLOOKUP(E4,data!$A$2:$A$8,data!$D$2:$D$8)</f>
        <v>-94.58</v>
      </c>
      <c r="K4" s="1">
        <v>8</v>
      </c>
      <c r="L4" s="9">
        <f>SQRT((G4-I4)^2+(H4-J4)^2)</f>
        <v>10.771090938247619</v>
      </c>
      <c r="M4" s="2" t="s">
        <v>7</v>
      </c>
      <c r="N4" s="2">
        <v>0</v>
      </c>
      <c r="O4" s="2">
        <f>INT(NOT(N4))</f>
        <v>1</v>
      </c>
      <c r="P4" s="2">
        <v>0</v>
      </c>
      <c r="Q4" s="2">
        <v>23</v>
      </c>
      <c r="S4">
        <v>1</v>
      </c>
      <c r="T4" s="2" t="s">
        <v>21</v>
      </c>
      <c r="U4">
        <f>SUMIF($E$4:$E$27,S4,$B$4:$B$27)</f>
        <v>0</v>
      </c>
      <c r="V4">
        <f>SUMIF($C$4:$C$27,S4,B4:B27)</f>
        <v>9123</v>
      </c>
      <c r="W4">
        <f>U4-V4</f>
        <v>-9123</v>
      </c>
      <c r="X4" s="2">
        <v>-9123</v>
      </c>
    </row>
    <row r="5" spans="2:26" x14ac:dyDescent="0.35">
      <c r="B5">
        <v>2911</v>
      </c>
      <c r="C5" s="2">
        <v>1</v>
      </c>
      <c r="D5" s="2" t="s">
        <v>21</v>
      </c>
      <c r="E5" s="2">
        <v>4</v>
      </c>
      <c r="F5" s="2" t="s">
        <v>24</v>
      </c>
      <c r="G5" s="2">
        <f>_xlfn.XLOOKUP(C5,data!$A$2:$A$8,data!$C$2:$C$8)</f>
        <v>37.5</v>
      </c>
      <c r="H5" s="2">
        <f>_xlfn.XLOOKUP(C5,data!$A$2:$A$8,data!$D$2:$D$8)</f>
        <v>-102.5</v>
      </c>
      <c r="I5" s="2">
        <f>_xlfn.XLOOKUP(E5,data!$A$2:$A$8,data!$C$2:$C$8)</f>
        <v>37.39</v>
      </c>
      <c r="J5" s="2">
        <f>_xlfn.XLOOKUP(E5,data!$A$2:$A$8,data!$D$2:$D$8)</f>
        <v>-116.62</v>
      </c>
      <c r="K5" s="1">
        <v>8</v>
      </c>
      <c r="L5" s="9">
        <f t="shared" ref="L5:L27" si="0">SQRT((G5-I5)^2+(H5-J5)^2)</f>
        <v>14.120428463754212</v>
      </c>
      <c r="M5" s="2" t="s">
        <v>8</v>
      </c>
      <c r="N5" s="2">
        <v>0</v>
      </c>
      <c r="O5" s="2">
        <f t="shared" ref="O5:O27" si="1">INT(NOT(N5))</f>
        <v>1</v>
      </c>
      <c r="P5" s="2">
        <v>1</v>
      </c>
      <c r="Q5" s="2">
        <v>84</v>
      </c>
      <c r="S5" s="2">
        <v>2</v>
      </c>
      <c r="T5" s="2" t="s">
        <v>22</v>
      </c>
      <c r="U5" s="2">
        <f>SUMIF($E$4:$E$27,S5,$B$4:$B$27)</f>
        <v>3056</v>
      </c>
      <c r="V5" s="2">
        <f>SUMIF($C$4:$C$27,S5,B5:B28)</f>
        <v>1262</v>
      </c>
      <c r="W5" s="2">
        <f t="shared" ref="W5:W10" si="2">U5-V5</f>
        <v>1794</v>
      </c>
      <c r="X5" s="2">
        <v>1794</v>
      </c>
    </row>
    <row r="6" spans="2:26" x14ac:dyDescent="0.35">
      <c r="B6">
        <v>1205</v>
      </c>
      <c r="C6" s="2">
        <v>1</v>
      </c>
      <c r="D6" s="2" t="s">
        <v>21</v>
      </c>
      <c r="E6" s="2">
        <v>6</v>
      </c>
      <c r="F6" s="2" t="s">
        <v>26</v>
      </c>
      <c r="G6" s="2">
        <f>_xlfn.XLOOKUP(C6,data!$A$2:$A$8,data!$C$2:$C$8)</f>
        <v>37.5</v>
      </c>
      <c r="H6" s="2">
        <f>_xlfn.XLOOKUP(C6,data!$A$2:$A$8,data!$D$2:$D$8)</f>
        <v>-102.5</v>
      </c>
      <c r="I6" s="2">
        <f>_xlfn.XLOOKUP(E6,data!$A$2:$A$8,data!$C$2:$C$8)</f>
        <v>44.57</v>
      </c>
      <c r="J6" s="2">
        <f>_xlfn.XLOOKUP(E6,data!$A$2:$A$8,data!$D$2:$D$8)</f>
        <v>-98.82</v>
      </c>
      <c r="K6" s="1">
        <v>14</v>
      </c>
      <c r="L6" s="9">
        <f t="shared" si="0"/>
        <v>7.9704014955333369</v>
      </c>
      <c r="M6" s="2" t="s">
        <v>7</v>
      </c>
      <c r="N6" s="2">
        <v>0</v>
      </c>
      <c r="O6" s="2">
        <f t="shared" si="1"/>
        <v>1</v>
      </c>
      <c r="P6" s="2">
        <v>1</v>
      </c>
      <c r="Q6" s="2">
        <v>81</v>
      </c>
      <c r="S6" s="2">
        <v>3</v>
      </c>
      <c r="T6" s="2" t="s">
        <v>23</v>
      </c>
      <c r="U6" s="2">
        <f>SUMIF($E$4:$E$27,S6,$B$4:$B$27)</f>
        <v>1343</v>
      </c>
      <c r="V6" s="2">
        <f>SUMIF($C$4:$C$27,S6,B6:B29)</f>
        <v>0</v>
      </c>
      <c r="W6" s="2">
        <f t="shared" si="2"/>
        <v>1343</v>
      </c>
      <c r="X6" s="2">
        <v>1343</v>
      </c>
    </row>
    <row r="7" spans="2:26" x14ac:dyDescent="0.35">
      <c r="B7" s="2">
        <v>1951</v>
      </c>
      <c r="C7" s="2">
        <v>1</v>
      </c>
      <c r="D7" s="2" t="s">
        <v>21</v>
      </c>
      <c r="E7" s="2">
        <v>7</v>
      </c>
      <c r="F7" s="2" t="s">
        <v>27</v>
      </c>
      <c r="G7" s="2">
        <f>_xlfn.XLOOKUP(C7,data!$A$2:$A$8,data!$C$2:$C$8)</f>
        <v>37.5</v>
      </c>
      <c r="H7" s="2">
        <f>_xlfn.XLOOKUP(C7,data!$A$2:$A$8,data!$D$2:$D$8)</f>
        <v>-102.5</v>
      </c>
      <c r="I7" s="2">
        <f>_xlfn.XLOOKUP(E7,data!$A$2:$A$8,data!$C$2:$C$8)</f>
        <v>32.340000000000003</v>
      </c>
      <c r="J7" s="2">
        <f>_xlfn.XLOOKUP(E7,data!$A$2:$A$8,data!$D$2:$D$8)</f>
        <v>-115.95</v>
      </c>
      <c r="K7" s="1">
        <v>23</v>
      </c>
      <c r="L7" s="9">
        <f t="shared" si="0"/>
        <v>14.405835623107743</v>
      </c>
      <c r="M7" s="12" t="s">
        <v>9</v>
      </c>
      <c r="N7" s="12">
        <v>1</v>
      </c>
      <c r="O7" s="2">
        <f t="shared" si="1"/>
        <v>0</v>
      </c>
      <c r="P7" s="2">
        <v>1</v>
      </c>
      <c r="Q7" s="2">
        <v>84</v>
      </c>
      <c r="S7" s="2">
        <v>4</v>
      </c>
      <c r="T7" s="2" t="s">
        <v>24</v>
      </c>
      <c r="U7" s="2">
        <f>SUMIF($E$4:$E$27,S7,$B$4:$B$27)</f>
        <v>2911</v>
      </c>
      <c r="V7" s="2">
        <f>SUMIF($C$4:$C$27,S7,B7:B30)</f>
        <v>1343</v>
      </c>
      <c r="W7" s="2">
        <f t="shared" si="2"/>
        <v>1568</v>
      </c>
      <c r="X7" s="2">
        <v>1568</v>
      </c>
    </row>
    <row r="8" spans="2:26" x14ac:dyDescent="0.35">
      <c r="B8" s="2">
        <v>0</v>
      </c>
      <c r="C8" s="2">
        <v>2</v>
      </c>
      <c r="D8" s="2" t="s">
        <v>22</v>
      </c>
      <c r="E8" s="2">
        <v>1</v>
      </c>
      <c r="F8" s="2" t="s">
        <v>21</v>
      </c>
      <c r="G8" s="2">
        <f>_xlfn.XLOOKUP(C8,data!$A$2:$A$8,data!$C$2:$C$8)</f>
        <v>44.8</v>
      </c>
      <c r="H8" s="2">
        <f>_xlfn.XLOOKUP(C8,data!$A$2:$A$8,data!$D$2:$D$8)</f>
        <v>-94.58</v>
      </c>
      <c r="I8" s="2">
        <f>_xlfn.XLOOKUP(E8,data!$A$2:$A$8,data!$C$2:$C$8)</f>
        <v>37.5</v>
      </c>
      <c r="J8" s="2">
        <f>_xlfn.XLOOKUP(E8,data!$A$2:$A$8,data!$D$2:$D$8)</f>
        <v>-102.5</v>
      </c>
      <c r="K8" s="1">
        <v>11</v>
      </c>
      <c r="L8" s="9">
        <f t="shared" si="0"/>
        <v>10.771090938247619</v>
      </c>
      <c r="M8" s="12" t="s">
        <v>10</v>
      </c>
      <c r="N8" s="12">
        <v>1</v>
      </c>
      <c r="O8" s="2">
        <f t="shared" si="1"/>
        <v>0</v>
      </c>
      <c r="P8" s="2">
        <v>0</v>
      </c>
      <c r="Q8" s="2">
        <v>37</v>
      </c>
      <c r="S8" s="2">
        <v>5</v>
      </c>
      <c r="T8" s="2" t="s">
        <v>25</v>
      </c>
      <c r="U8" s="2">
        <f>SUMIF($E$4:$E$27,S8,$B$4:$B$27)</f>
        <v>1262</v>
      </c>
      <c r="V8" s="2">
        <f>SUMIF($C$4:$C$27,S8,B8:B31)</f>
        <v>0</v>
      </c>
      <c r="W8" s="2">
        <f t="shared" si="2"/>
        <v>1262</v>
      </c>
      <c r="X8" s="2">
        <v>1262</v>
      </c>
    </row>
    <row r="9" spans="2:26" x14ac:dyDescent="0.35">
      <c r="B9" s="2">
        <v>1262</v>
      </c>
      <c r="C9" s="2">
        <v>2</v>
      </c>
      <c r="D9" s="2" t="s">
        <v>22</v>
      </c>
      <c r="E9" s="2">
        <v>5</v>
      </c>
      <c r="F9" s="2" t="s">
        <v>25</v>
      </c>
      <c r="G9" s="2">
        <f>_xlfn.XLOOKUP(C9,data!$A$2:$A$8,data!$C$2:$C$8)</f>
        <v>44.8</v>
      </c>
      <c r="H9" s="2">
        <f>_xlfn.XLOOKUP(C9,data!$A$2:$A$8,data!$D$2:$D$8)</f>
        <v>-94.58</v>
      </c>
      <c r="I9" s="2">
        <f>_xlfn.XLOOKUP(E9,data!$A$2:$A$8,data!$C$2:$C$8)</f>
        <v>38.36</v>
      </c>
      <c r="J9" s="2">
        <f>_xlfn.XLOOKUP(E9,data!$A$2:$A$8,data!$D$2:$D$8)</f>
        <v>-105.33</v>
      </c>
      <c r="K9" s="1">
        <v>10</v>
      </c>
      <c r="L9" s="9">
        <f t="shared" si="0"/>
        <v>12.531404550169146</v>
      </c>
      <c r="M9" s="2" t="s">
        <v>11</v>
      </c>
      <c r="N9" s="2">
        <v>0</v>
      </c>
      <c r="O9" s="2">
        <f t="shared" si="1"/>
        <v>1</v>
      </c>
      <c r="P9" s="2">
        <v>0</v>
      </c>
      <c r="Q9" s="2">
        <v>28</v>
      </c>
      <c r="S9" s="2">
        <v>6</v>
      </c>
      <c r="T9" s="2" t="s">
        <v>26</v>
      </c>
      <c r="U9" s="2">
        <f>SUMIF($E$4:$E$27,S9,$B$4:$B$27)</f>
        <v>1205</v>
      </c>
      <c r="V9" s="2">
        <f>SUMIF($C$4:$C$27,S9,B9:B32)</f>
        <v>0</v>
      </c>
      <c r="W9" s="2">
        <f t="shared" si="2"/>
        <v>1205</v>
      </c>
      <c r="X9" s="2">
        <v>1205</v>
      </c>
    </row>
    <row r="10" spans="2:26" x14ac:dyDescent="0.35">
      <c r="B10" s="2">
        <v>0</v>
      </c>
      <c r="C10" s="2">
        <v>2</v>
      </c>
      <c r="D10" s="2" t="s">
        <v>22</v>
      </c>
      <c r="E10" s="2">
        <v>6</v>
      </c>
      <c r="F10" s="2" t="s">
        <v>26</v>
      </c>
      <c r="G10" s="2">
        <f>_xlfn.XLOOKUP(C10,data!$A$2:$A$8,data!$C$2:$C$8)</f>
        <v>44.8</v>
      </c>
      <c r="H10" s="2">
        <f>_xlfn.XLOOKUP(C10,data!$A$2:$A$8,data!$D$2:$D$8)</f>
        <v>-94.58</v>
      </c>
      <c r="I10" s="2">
        <f>_xlfn.XLOOKUP(E10,data!$A$2:$A$8,data!$C$2:$C$8)</f>
        <v>44.57</v>
      </c>
      <c r="J10" s="2">
        <f>_xlfn.XLOOKUP(E10,data!$A$2:$A$8,data!$D$2:$D$8)</f>
        <v>-98.82</v>
      </c>
      <c r="K10" s="1">
        <v>22</v>
      </c>
      <c r="L10" s="9">
        <f t="shared" si="0"/>
        <v>4.2462336252260018</v>
      </c>
      <c r="M10" s="2" t="s">
        <v>11</v>
      </c>
      <c r="N10" s="2">
        <v>0</v>
      </c>
      <c r="O10" s="2">
        <f t="shared" si="1"/>
        <v>1</v>
      </c>
      <c r="P10" s="2">
        <v>0</v>
      </c>
      <c r="Q10" s="2">
        <v>30</v>
      </c>
      <c r="S10" s="2">
        <v>7</v>
      </c>
      <c r="T10" s="2" t="s">
        <v>27</v>
      </c>
      <c r="U10" s="2">
        <f>SUMIF($E$4:$E$27,S10,$B$4:$B$27)</f>
        <v>1951</v>
      </c>
      <c r="V10" s="2">
        <f>SUMIF($C$4:$C$27,S10,B10:B33)</f>
        <v>0</v>
      </c>
      <c r="W10" s="2">
        <f t="shared" si="2"/>
        <v>1951</v>
      </c>
      <c r="X10" s="2">
        <v>1951</v>
      </c>
    </row>
    <row r="11" spans="2:26" x14ac:dyDescent="0.35">
      <c r="B11" s="2">
        <v>0</v>
      </c>
      <c r="C11" s="2">
        <v>3</v>
      </c>
      <c r="D11" s="2" t="s">
        <v>23</v>
      </c>
      <c r="E11" s="2">
        <v>1</v>
      </c>
      <c r="F11" s="2" t="s">
        <v>21</v>
      </c>
      <c r="G11" s="2">
        <f>_xlfn.XLOOKUP(C11,data!$A$2:$A$8,data!$C$2:$C$8)</f>
        <v>39.76</v>
      </c>
      <c r="H11" s="2">
        <f>_xlfn.XLOOKUP(C11,data!$A$2:$A$8,data!$D$2:$D$8)</f>
        <v>-113.07</v>
      </c>
      <c r="I11" s="2">
        <f>_xlfn.XLOOKUP(E11,data!$A$2:$A$8,data!$C$2:$C$8)</f>
        <v>37.5</v>
      </c>
      <c r="J11" s="2">
        <f>_xlfn.XLOOKUP(E11,data!$A$2:$A$8,data!$D$2:$D$8)</f>
        <v>-102.5</v>
      </c>
      <c r="K11" s="1">
        <v>16</v>
      </c>
      <c r="L11" s="9">
        <f t="shared" si="0"/>
        <v>10.808908363012421</v>
      </c>
      <c r="M11" s="2" t="s">
        <v>8</v>
      </c>
      <c r="N11" s="2">
        <v>0</v>
      </c>
      <c r="O11" s="2">
        <f t="shared" si="1"/>
        <v>1</v>
      </c>
      <c r="P11" s="2">
        <v>1</v>
      </c>
      <c r="Q11" s="2">
        <v>99</v>
      </c>
      <c r="S11" s="2"/>
      <c r="T11" s="2"/>
    </row>
    <row r="12" spans="2:26" x14ac:dyDescent="0.35">
      <c r="B12" s="2">
        <v>0</v>
      </c>
      <c r="C12" s="2">
        <v>3</v>
      </c>
      <c r="D12" s="2" t="s">
        <v>23</v>
      </c>
      <c r="E12" s="2">
        <v>2</v>
      </c>
      <c r="F12" s="2" t="s">
        <v>22</v>
      </c>
      <c r="G12" s="2">
        <f>_xlfn.XLOOKUP(C12,data!$A$2:$A$8,data!$C$2:$C$8)</f>
        <v>39.76</v>
      </c>
      <c r="H12" s="2">
        <f>_xlfn.XLOOKUP(C12,data!$A$2:$A$8,data!$D$2:$D$8)</f>
        <v>-113.07</v>
      </c>
      <c r="I12" s="2">
        <f>_xlfn.XLOOKUP(E12,data!$A$2:$A$8,data!$C$2:$C$8)</f>
        <v>44.8</v>
      </c>
      <c r="J12" s="2">
        <f>_xlfn.XLOOKUP(E12,data!$A$2:$A$8,data!$D$2:$D$8)</f>
        <v>-94.58</v>
      </c>
      <c r="K12" s="1">
        <v>5</v>
      </c>
      <c r="L12" s="9">
        <f t="shared" si="0"/>
        <v>19.164594960499421</v>
      </c>
      <c r="M12" s="12" t="s">
        <v>12</v>
      </c>
      <c r="N12" s="12">
        <v>1</v>
      </c>
      <c r="O12" s="2">
        <f t="shared" si="1"/>
        <v>0</v>
      </c>
      <c r="P12" s="2">
        <v>1</v>
      </c>
      <c r="Q12" s="2">
        <v>97</v>
      </c>
      <c r="T12" s="4" t="s">
        <v>47</v>
      </c>
      <c r="U12" s="4" t="s">
        <v>46</v>
      </c>
      <c r="V12" s="4" t="s">
        <v>0</v>
      </c>
      <c r="W12" s="4" t="s">
        <v>51</v>
      </c>
      <c r="X12" s="4" t="s">
        <v>50</v>
      </c>
      <c r="Y12" s="4" t="s">
        <v>52</v>
      </c>
      <c r="Z12" s="4" t="s">
        <v>53</v>
      </c>
    </row>
    <row r="13" spans="2:26" ht="14.5" customHeight="1" x14ac:dyDescent="0.35">
      <c r="B13" s="2">
        <v>0</v>
      </c>
      <c r="C13" s="2">
        <v>3</v>
      </c>
      <c r="D13" s="2" t="s">
        <v>23</v>
      </c>
      <c r="E13" s="2">
        <v>4</v>
      </c>
      <c r="F13" s="2" t="s">
        <v>24</v>
      </c>
      <c r="G13" s="2">
        <f>_xlfn.XLOOKUP(C13,data!$A$2:$A$8,data!$C$2:$C$8)</f>
        <v>39.76</v>
      </c>
      <c r="H13" s="2">
        <f>_xlfn.XLOOKUP(C13,data!$A$2:$A$8,data!$D$2:$D$8)</f>
        <v>-113.07</v>
      </c>
      <c r="I13" s="2">
        <f>_xlfn.XLOOKUP(E13,data!$A$2:$A$8,data!$C$2:$C$8)</f>
        <v>37.39</v>
      </c>
      <c r="J13" s="2">
        <f>_xlfn.XLOOKUP(E13,data!$A$2:$A$8,data!$D$2:$D$8)</f>
        <v>-116.62</v>
      </c>
      <c r="K13" s="1">
        <v>19</v>
      </c>
      <c r="L13" s="9">
        <f t="shared" si="0"/>
        <v>4.2684189110254946</v>
      </c>
      <c r="M13" s="2" t="s">
        <v>7</v>
      </c>
      <c r="N13" s="2">
        <v>0</v>
      </c>
      <c r="O13" s="2">
        <f t="shared" si="1"/>
        <v>1</v>
      </c>
      <c r="P13" s="2">
        <v>1</v>
      </c>
      <c r="Q13" s="2">
        <v>89</v>
      </c>
      <c r="T13" s="18" t="s">
        <v>48</v>
      </c>
      <c r="U13" s="18">
        <f>SUMPRODUCT(B4:B27,K4:K27)</f>
        <v>138215</v>
      </c>
      <c r="V13" s="4">
        <v>117915</v>
      </c>
      <c r="W13">
        <f>U13-V13</f>
        <v>20300</v>
      </c>
      <c r="X13" s="15">
        <f>V13/W13</f>
        <v>5.8086206896551724</v>
      </c>
      <c r="Y13">
        <v>1</v>
      </c>
      <c r="Z13" s="16">
        <f>X13*Y13</f>
        <v>5.8086206896551724</v>
      </c>
    </row>
    <row r="14" spans="2:26" x14ac:dyDescent="0.35">
      <c r="B14" s="2">
        <v>0</v>
      </c>
      <c r="C14" s="2">
        <v>3</v>
      </c>
      <c r="D14" s="2" t="s">
        <v>23</v>
      </c>
      <c r="E14" s="2">
        <v>5</v>
      </c>
      <c r="F14" s="2" t="s">
        <v>25</v>
      </c>
      <c r="G14" s="2">
        <f>_xlfn.XLOOKUP(C14,data!$A$2:$A$8,data!$C$2:$C$8)</f>
        <v>39.76</v>
      </c>
      <c r="H14" s="2">
        <f>_xlfn.XLOOKUP(C14,data!$A$2:$A$8,data!$D$2:$D$8)</f>
        <v>-113.07</v>
      </c>
      <c r="I14" s="2">
        <f>_xlfn.XLOOKUP(E14,data!$A$2:$A$8,data!$C$2:$C$8)</f>
        <v>38.36</v>
      </c>
      <c r="J14" s="2">
        <f>_xlfn.XLOOKUP(E14,data!$A$2:$A$8,data!$D$2:$D$8)</f>
        <v>-105.33</v>
      </c>
      <c r="K14" s="1">
        <v>11</v>
      </c>
      <c r="L14" s="9">
        <f t="shared" si="0"/>
        <v>7.8655959723341953</v>
      </c>
      <c r="M14" s="2" t="s">
        <v>13</v>
      </c>
      <c r="N14" s="2">
        <v>0</v>
      </c>
      <c r="O14" s="2">
        <f t="shared" si="1"/>
        <v>1</v>
      </c>
      <c r="P14" s="2">
        <v>1</v>
      </c>
      <c r="Q14" s="2">
        <v>99</v>
      </c>
      <c r="T14" t="s">
        <v>49</v>
      </c>
      <c r="U14">
        <f>SUMPRODUCT(B4:B27,P4:P27)</f>
        <v>7410</v>
      </c>
      <c r="V14" s="4">
        <v>0</v>
      </c>
      <c r="W14" s="2">
        <f>U14-V14</f>
        <v>7410</v>
      </c>
      <c r="X14" s="15">
        <v>0</v>
      </c>
      <c r="Y14">
        <v>1</v>
      </c>
      <c r="Z14" s="16">
        <f t="shared" ref="Z14:Z16" si="3">X14*Y14</f>
        <v>0</v>
      </c>
    </row>
    <row r="15" spans="2:26" x14ac:dyDescent="0.35">
      <c r="B15" s="2">
        <v>0</v>
      </c>
      <c r="C15" s="2">
        <v>4</v>
      </c>
      <c r="D15" s="2" t="s">
        <v>24</v>
      </c>
      <c r="E15" s="2">
        <v>1</v>
      </c>
      <c r="F15" s="2" t="s">
        <v>21</v>
      </c>
      <c r="G15" s="2">
        <f>_xlfn.XLOOKUP(C15,data!$A$2:$A$8,data!$C$2:$C$8)</f>
        <v>37.39</v>
      </c>
      <c r="H15" s="2">
        <f>_xlfn.XLOOKUP(C15,data!$A$2:$A$8,data!$D$2:$D$8)</f>
        <v>-116.62</v>
      </c>
      <c r="I15" s="2">
        <f>_xlfn.XLOOKUP(E15,data!$A$2:$A$8,data!$C$2:$C$8)</f>
        <v>37.5</v>
      </c>
      <c r="J15" s="2">
        <f>_xlfn.XLOOKUP(E15,data!$A$2:$A$8,data!$D$2:$D$8)</f>
        <v>-102.5</v>
      </c>
      <c r="K15" s="1">
        <v>7</v>
      </c>
      <c r="L15" s="9">
        <f t="shared" si="0"/>
        <v>14.120428463754212</v>
      </c>
      <c r="M15" s="2" t="s">
        <v>8</v>
      </c>
      <c r="N15" s="2">
        <v>0</v>
      </c>
      <c r="O15" s="2">
        <f t="shared" si="1"/>
        <v>1</v>
      </c>
      <c r="P15" s="2">
        <v>1</v>
      </c>
      <c r="Q15" s="2">
        <v>81</v>
      </c>
      <c r="T15" t="s">
        <v>56</v>
      </c>
      <c r="U15" s="11">
        <f>SUMPRODUCT(B4:B27,O4:O27)</f>
        <v>9777</v>
      </c>
      <c r="V15">
        <v>2911</v>
      </c>
      <c r="W15" s="11">
        <f>U15-V15</f>
        <v>6866</v>
      </c>
      <c r="X15" s="15">
        <f t="shared" ref="X14:X15" si="4">V15/W15</f>
        <v>0.42397320128167781</v>
      </c>
      <c r="Y15">
        <v>1</v>
      </c>
      <c r="Z15" s="16">
        <f t="shared" si="3"/>
        <v>0.42397320128167781</v>
      </c>
    </row>
    <row r="16" spans="2:26" x14ac:dyDescent="0.35">
      <c r="B16" s="2">
        <v>0</v>
      </c>
      <c r="C16" s="2">
        <v>4</v>
      </c>
      <c r="D16" s="2" t="s">
        <v>24</v>
      </c>
      <c r="E16" s="2">
        <v>2</v>
      </c>
      <c r="F16" s="2" t="s">
        <v>22</v>
      </c>
      <c r="G16" s="2">
        <f>_xlfn.XLOOKUP(C16,data!$A$2:$A$8,data!$C$2:$C$8)</f>
        <v>37.39</v>
      </c>
      <c r="H16" s="2">
        <f>_xlfn.XLOOKUP(C16,data!$A$2:$A$8,data!$D$2:$D$8)</f>
        <v>-116.62</v>
      </c>
      <c r="I16" s="2">
        <f>_xlfn.XLOOKUP(E16,data!$A$2:$A$8,data!$C$2:$C$8)</f>
        <v>44.8</v>
      </c>
      <c r="J16" s="2">
        <f>_xlfn.XLOOKUP(E16,data!$A$2:$A$8,data!$D$2:$D$8)</f>
        <v>-94.58</v>
      </c>
      <c r="K16" s="1">
        <v>14</v>
      </c>
      <c r="L16" s="9">
        <f t="shared" si="0"/>
        <v>23.252305262059508</v>
      </c>
      <c r="M16" s="2" t="s">
        <v>7</v>
      </c>
      <c r="N16" s="2">
        <v>0</v>
      </c>
      <c r="O16" s="2">
        <f t="shared" si="1"/>
        <v>1</v>
      </c>
      <c r="P16" s="2">
        <v>1</v>
      </c>
      <c r="Q16" s="2">
        <v>85</v>
      </c>
      <c r="T16" t="s">
        <v>57</v>
      </c>
      <c r="U16" s="11">
        <f>SUMPRODUCT(B4:B27,L4:L27)</f>
        <v>138109.26820123239</v>
      </c>
      <c r="V16" s="4">
        <v>115989</v>
      </c>
      <c r="W16" s="11">
        <f>U16-V16</f>
        <v>22120.268201232393</v>
      </c>
      <c r="X16" s="15">
        <v>0</v>
      </c>
      <c r="Y16" s="2">
        <v>1</v>
      </c>
      <c r="Z16" s="16">
        <f t="shared" si="3"/>
        <v>0</v>
      </c>
    </row>
    <row r="17" spans="2:26" x14ac:dyDescent="0.35">
      <c r="B17" s="2">
        <v>0</v>
      </c>
      <c r="C17" s="2">
        <v>4</v>
      </c>
      <c r="D17" s="2" t="s">
        <v>24</v>
      </c>
      <c r="E17" s="2">
        <v>6</v>
      </c>
      <c r="F17" s="2" t="s">
        <v>26</v>
      </c>
      <c r="G17" s="2">
        <f>_xlfn.XLOOKUP(C17,data!$A$2:$A$8,data!$C$2:$C$8)</f>
        <v>37.39</v>
      </c>
      <c r="H17" s="2">
        <f>_xlfn.XLOOKUP(C17,data!$A$2:$A$8,data!$D$2:$D$8)</f>
        <v>-116.62</v>
      </c>
      <c r="I17" s="2">
        <f>_xlfn.XLOOKUP(E17,data!$A$2:$A$8,data!$C$2:$C$8)</f>
        <v>44.57</v>
      </c>
      <c r="J17" s="2">
        <f>_xlfn.XLOOKUP(E17,data!$A$2:$A$8,data!$D$2:$D$8)</f>
        <v>-98.82</v>
      </c>
      <c r="K17" s="1">
        <v>8</v>
      </c>
      <c r="L17" s="9">
        <f t="shared" si="0"/>
        <v>19.193551000270908</v>
      </c>
      <c r="M17" s="12" t="s">
        <v>14</v>
      </c>
      <c r="N17" s="12">
        <v>1</v>
      </c>
      <c r="O17" s="2">
        <f t="shared" si="1"/>
        <v>0</v>
      </c>
      <c r="P17" s="2">
        <v>1</v>
      </c>
      <c r="Q17" s="2">
        <v>99</v>
      </c>
    </row>
    <row r="18" spans="2:26" x14ac:dyDescent="0.35">
      <c r="B18" s="2">
        <v>0</v>
      </c>
      <c r="C18" s="2">
        <v>5</v>
      </c>
      <c r="D18" s="2" t="s">
        <v>25</v>
      </c>
      <c r="E18" s="2">
        <v>1</v>
      </c>
      <c r="F18" s="2" t="s">
        <v>21</v>
      </c>
      <c r="G18" s="2">
        <f>_xlfn.XLOOKUP(C18,data!$A$2:$A$8,data!$C$2:$C$8)</f>
        <v>38.36</v>
      </c>
      <c r="H18" s="2">
        <f>_xlfn.XLOOKUP(C18,data!$A$2:$A$8,data!$D$2:$D$8)</f>
        <v>-105.33</v>
      </c>
      <c r="I18" s="2">
        <f>_xlfn.XLOOKUP(E18,data!$A$2:$A$8,data!$C$2:$C$8)</f>
        <v>37.5</v>
      </c>
      <c r="J18" s="2">
        <f>_xlfn.XLOOKUP(E18,data!$A$2:$A$8,data!$D$2:$D$8)</f>
        <v>-102.5</v>
      </c>
      <c r="K18" s="1">
        <v>15</v>
      </c>
      <c r="L18" s="9">
        <f t="shared" si="0"/>
        <v>2.9577863344061872</v>
      </c>
      <c r="M18" s="2" t="s">
        <v>8</v>
      </c>
      <c r="N18" s="2">
        <v>0</v>
      </c>
      <c r="O18" s="2">
        <f t="shared" si="1"/>
        <v>1</v>
      </c>
      <c r="P18" s="2">
        <v>0</v>
      </c>
      <c r="Q18" s="2">
        <v>33</v>
      </c>
      <c r="T18" s="4" t="s">
        <v>54</v>
      </c>
    </row>
    <row r="19" spans="2:26" x14ac:dyDescent="0.35">
      <c r="B19">
        <v>0</v>
      </c>
      <c r="C19" s="2">
        <v>5</v>
      </c>
      <c r="D19" s="2" t="s">
        <v>25</v>
      </c>
      <c r="E19" s="2">
        <v>2</v>
      </c>
      <c r="F19" s="2" t="s">
        <v>22</v>
      </c>
      <c r="G19" s="2">
        <f>_xlfn.XLOOKUP(C19,data!$A$2:$A$8,data!$C$2:$C$8)</f>
        <v>38.36</v>
      </c>
      <c r="H19" s="2">
        <f>_xlfn.XLOOKUP(C19,data!$A$2:$A$8,data!$D$2:$D$8)</f>
        <v>-105.33</v>
      </c>
      <c r="I19" s="2">
        <f>_xlfn.XLOOKUP(E19,data!$A$2:$A$8,data!$C$2:$C$8)</f>
        <v>44.8</v>
      </c>
      <c r="J19" s="2">
        <f>_xlfn.XLOOKUP(E19,data!$A$2:$A$8,data!$D$2:$D$8)</f>
        <v>-94.58</v>
      </c>
      <c r="K19" s="1">
        <v>22</v>
      </c>
      <c r="L19" s="9">
        <f t="shared" si="0"/>
        <v>12.531404550169146</v>
      </c>
      <c r="M19" s="2" t="s">
        <v>13</v>
      </c>
      <c r="N19" s="2">
        <v>0</v>
      </c>
      <c r="O19" s="2">
        <f t="shared" si="1"/>
        <v>1</v>
      </c>
      <c r="P19" s="2">
        <v>0</v>
      </c>
      <c r="Q19" s="2">
        <v>74</v>
      </c>
      <c r="T19" t="s">
        <v>55</v>
      </c>
      <c r="U19" s="15">
        <v>0.81</v>
      </c>
    </row>
    <row r="20" spans="2:26" x14ac:dyDescent="0.35">
      <c r="B20" s="2">
        <v>1343</v>
      </c>
      <c r="C20" s="2">
        <v>5</v>
      </c>
      <c r="D20" s="2" t="s">
        <v>25</v>
      </c>
      <c r="E20" s="2">
        <v>3</v>
      </c>
      <c r="F20" s="2" t="s">
        <v>23</v>
      </c>
      <c r="G20" s="2">
        <f>_xlfn.XLOOKUP(C20,data!$A$2:$A$8,data!$C$2:$C$8)</f>
        <v>38.36</v>
      </c>
      <c r="H20" s="2">
        <f>_xlfn.XLOOKUP(C20,data!$A$2:$A$8,data!$D$2:$D$8)</f>
        <v>-105.33</v>
      </c>
      <c r="I20" s="2">
        <f>_xlfn.XLOOKUP(E20,data!$A$2:$A$8,data!$C$2:$C$8)</f>
        <v>39.76</v>
      </c>
      <c r="J20" s="2">
        <f>_xlfn.XLOOKUP(E20,data!$A$2:$A$8,data!$D$2:$D$8)</f>
        <v>-113.07</v>
      </c>
      <c r="K20" s="1">
        <v>12</v>
      </c>
      <c r="L20" s="9">
        <f t="shared" si="0"/>
        <v>7.8655959723341953</v>
      </c>
      <c r="M20" s="2" t="s">
        <v>13</v>
      </c>
      <c r="N20" s="2">
        <v>0</v>
      </c>
      <c r="O20" s="2">
        <f t="shared" si="1"/>
        <v>1</v>
      </c>
      <c r="P20" s="2">
        <v>1</v>
      </c>
      <c r="Q20" s="2">
        <v>89</v>
      </c>
    </row>
    <row r="21" spans="2:26" x14ac:dyDescent="0.35">
      <c r="B21" s="2">
        <v>0</v>
      </c>
      <c r="C21" s="2">
        <v>5</v>
      </c>
      <c r="D21" s="2" t="s">
        <v>25</v>
      </c>
      <c r="E21" s="2">
        <v>4</v>
      </c>
      <c r="F21" s="2" t="s">
        <v>24</v>
      </c>
      <c r="G21" s="2">
        <f>_xlfn.XLOOKUP(C21,data!$A$2:$A$8,data!$C$2:$C$8)</f>
        <v>38.36</v>
      </c>
      <c r="H21" s="2">
        <f>_xlfn.XLOOKUP(C21,data!$A$2:$A$8,data!$D$2:$D$8)</f>
        <v>-105.33</v>
      </c>
      <c r="I21" s="2">
        <f>_xlfn.XLOOKUP(E21,data!$A$2:$A$8,data!$C$2:$C$8)</f>
        <v>37.39</v>
      </c>
      <c r="J21" s="2">
        <f>_xlfn.XLOOKUP(E21,data!$A$2:$A$8,data!$D$2:$D$8)</f>
        <v>-116.62</v>
      </c>
      <c r="K21" s="1">
        <v>14</v>
      </c>
      <c r="L21" s="9">
        <f t="shared" si="0"/>
        <v>11.331593003633696</v>
      </c>
      <c r="M21" s="2" t="s">
        <v>13</v>
      </c>
      <c r="N21" s="2">
        <v>0</v>
      </c>
      <c r="O21" s="2">
        <f t="shared" si="1"/>
        <v>1</v>
      </c>
      <c r="P21" s="2">
        <v>0</v>
      </c>
      <c r="Q21" s="2">
        <v>77</v>
      </c>
    </row>
    <row r="22" spans="2:26" x14ac:dyDescent="0.35">
      <c r="B22" s="2">
        <v>0</v>
      </c>
      <c r="C22" s="2">
        <v>5</v>
      </c>
      <c r="D22" s="2" t="s">
        <v>25</v>
      </c>
      <c r="E22" s="2">
        <v>7</v>
      </c>
      <c r="F22" s="2" t="s">
        <v>27</v>
      </c>
      <c r="G22" s="2">
        <f>_xlfn.XLOOKUP(C22,data!$A$2:$A$8,data!$C$2:$C$8)</f>
        <v>38.36</v>
      </c>
      <c r="H22" s="2">
        <f>_xlfn.XLOOKUP(C22,data!$A$2:$A$8,data!$D$2:$D$8)</f>
        <v>-105.33</v>
      </c>
      <c r="I22" s="2">
        <f>_xlfn.XLOOKUP(E22,data!$A$2:$A$8,data!$C$2:$C$8)</f>
        <v>32.340000000000003</v>
      </c>
      <c r="J22" s="2">
        <f>_xlfn.XLOOKUP(E22,data!$A$2:$A$8,data!$D$2:$D$8)</f>
        <v>-115.95</v>
      </c>
      <c r="K22" s="1">
        <v>6</v>
      </c>
      <c r="L22" s="9">
        <f t="shared" si="0"/>
        <v>12.207571421048497</v>
      </c>
      <c r="M22" s="2" t="s">
        <v>8</v>
      </c>
      <c r="N22" s="2">
        <v>0</v>
      </c>
      <c r="O22" s="2">
        <f t="shared" si="1"/>
        <v>1</v>
      </c>
      <c r="P22" s="2">
        <v>1</v>
      </c>
      <c r="Q22" s="2">
        <v>96</v>
      </c>
    </row>
    <row r="23" spans="2:26" x14ac:dyDescent="0.35">
      <c r="B23" s="2">
        <v>0</v>
      </c>
      <c r="C23" s="2">
        <v>6</v>
      </c>
      <c r="D23" s="2" t="s">
        <v>26</v>
      </c>
      <c r="E23" s="2">
        <v>1</v>
      </c>
      <c r="F23" s="2" t="s">
        <v>21</v>
      </c>
      <c r="G23" s="2">
        <f>_xlfn.XLOOKUP(C23,data!$A$2:$A$8,data!$C$2:$C$8)</f>
        <v>44.57</v>
      </c>
      <c r="H23" s="2">
        <f>_xlfn.XLOOKUP(C23,data!$A$2:$A$8,data!$D$2:$D$8)</f>
        <v>-98.82</v>
      </c>
      <c r="I23" s="2">
        <f>_xlfn.XLOOKUP(E23,data!$A$2:$A$8,data!$C$2:$C$8)</f>
        <v>37.5</v>
      </c>
      <c r="J23" s="2">
        <f>_xlfn.XLOOKUP(E23,data!$A$2:$A$8,data!$D$2:$D$8)</f>
        <v>-102.5</v>
      </c>
      <c r="K23" s="1">
        <v>17</v>
      </c>
      <c r="L23" s="9">
        <f t="shared" si="0"/>
        <v>7.9704014955333369</v>
      </c>
      <c r="M23" s="2" t="s">
        <v>13</v>
      </c>
      <c r="N23" s="2">
        <v>0</v>
      </c>
      <c r="O23" s="2">
        <f t="shared" si="1"/>
        <v>1</v>
      </c>
      <c r="P23" s="2">
        <v>1</v>
      </c>
      <c r="Q23" s="2">
        <v>99</v>
      </c>
    </row>
    <row r="24" spans="2:26" x14ac:dyDescent="0.35">
      <c r="B24" s="2">
        <v>0</v>
      </c>
      <c r="C24" s="2">
        <v>6</v>
      </c>
      <c r="D24" s="2" t="s">
        <v>26</v>
      </c>
      <c r="E24" s="2">
        <v>5</v>
      </c>
      <c r="F24" s="2" t="s">
        <v>25</v>
      </c>
      <c r="G24" s="2">
        <f>_xlfn.XLOOKUP(C24,data!$A$2:$A$8,data!$C$2:$C$8)</f>
        <v>44.57</v>
      </c>
      <c r="H24" s="2">
        <f>_xlfn.XLOOKUP(C24,data!$A$2:$A$8,data!$D$2:$D$8)</f>
        <v>-98.82</v>
      </c>
      <c r="I24" s="2">
        <f>_xlfn.XLOOKUP(E24,data!$A$2:$A$8,data!$C$2:$C$8)</f>
        <v>38.36</v>
      </c>
      <c r="J24" s="2">
        <f>_xlfn.XLOOKUP(E24,data!$A$2:$A$8,data!$D$2:$D$8)</f>
        <v>-105.33</v>
      </c>
      <c r="K24" s="1">
        <v>24</v>
      </c>
      <c r="L24" s="9">
        <f t="shared" si="0"/>
        <v>8.9968994659271413</v>
      </c>
      <c r="M24" s="2" t="s">
        <v>8</v>
      </c>
      <c r="N24" s="2">
        <v>0</v>
      </c>
      <c r="O24" s="2">
        <f t="shared" si="1"/>
        <v>1</v>
      </c>
      <c r="P24" s="2">
        <v>0</v>
      </c>
      <c r="Q24" s="2">
        <v>30</v>
      </c>
      <c r="V24" s="7"/>
      <c r="W24" s="8"/>
      <c r="X24" s="7"/>
      <c r="Y24" s="5"/>
      <c r="Z24" s="7"/>
    </row>
    <row r="25" spans="2:26" x14ac:dyDescent="0.35">
      <c r="B25" s="2">
        <v>0</v>
      </c>
      <c r="C25" s="2">
        <v>6</v>
      </c>
      <c r="D25" s="2" t="s">
        <v>26</v>
      </c>
      <c r="E25" s="2">
        <v>7</v>
      </c>
      <c r="F25" s="2" t="s">
        <v>27</v>
      </c>
      <c r="G25" s="2">
        <f>_xlfn.XLOOKUP(C25,data!$A$2:$A$8,data!$C$2:$C$8)</f>
        <v>44.57</v>
      </c>
      <c r="H25" s="2">
        <f>_xlfn.XLOOKUP(C25,data!$A$2:$A$8,data!$D$2:$D$8)</f>
        <v>-98.82</v>
      </c>
      <c r="I25" s="2">
        <f>_xlfn.XLOOKUP(E25,data!$A$2:$A$8,data!$C$2:$C$8)</f>
        <v>32.340000000000003</v>
      </c>
      <c r="J25" s="2">
        <f>_xlfn.XLOOKUP(E25,data!$A$2:$A$8,data!$D$2:$D$8)</f>
        <v>-115.95</v>
      </c>
      <c r="K25" s="1">
        <v>18</v>
      </c>
      <c r="L25" s="9">
        <f t="shared" si="0"/>
        <v>21.047797984587373</v>
      </c>
      <c r="M25" s="2" t="s">
        <v>8</v>
      </c>
      <c r="N25" s="2">
        <v>0</v>
      </c>
      <c r="O25" s="2">
        <f t="shared" si="1"/>
        <v>1</v>
      </c>
      <c r="P25" s="2">
        <v>0</v>
      </c>
      <c r="Q25" s="2">
        <v>27</v>
      </c>
      <c r="W25" s="8"/>
      <c r="X25" s="7"/>
      <c r="Z25" s="7"/>
    </row>
    <row r="26" spans="2:26" x14ac:dyDescent="0.35">
      <c r="B26" s="2">
        <v>0</v>
      </c>
      <c r="C26" s="2">
        <v>7</v>
      </c>
      <c r="D26" s="2" t="s">
        <v>27</v>
      </c>
      <c r="E26" s="2">
        <v>3</v>
      </c>
      <c r="F26" s="2" t="s">
        <v>23</v>
      </c>
      <c r="G26" s="2">
        <f>_xlfn.XLOOKUP(C26,data!$A$2:$A$8,data!$C$2:$C$8)</f>
        <v>32.340000000000003</v>
      </c>
      <c r="H26" s="2">
        <f>_xlfn.XLOOKUP(C26,data!$A$2:$A$8,data!$D$2:$D$8)</f>
        <v>-115.95</v>
      </c>
      <c r="I26" s="2">
        <f>_xlfn.XLOOKUP(E26,data!$A$2:$A$8,data!$C$2:$C$8)</f>
        <v>39.76</v>
      </c>
      <c r="J26" s="2">
        <f>_xlfn.XLOOKUP(E26,data!$A$2:$A$8,data!$D$2:$D$8)</f>
        <v>-113.07</v>
      </c>
      <c r="K26" s="1">
        <v>13</v>
      </c>
      <c r="L26" s="9">
        <f t="shared" si="0"/>
        <v>7.9593215791297176</v>
      </c>
      <c r="M26" s="2" t="s">
        <v>7</v>
      </c>
      <c r="N26" s="2">
        <v>0</v>
      </c>
      <c r="O26" s="2">
        <f t="shared" si="1"/>
        <v>1</v>
      </c>
      <c r="P26" s="2">
        <v>0</v>
      </c>
      <c r="Q26" s="2">
        <v>78</v>
      </c>
      <c r="U26" s="10"/>
      <c r="V26" s="2"/>
      <c r="W26" s="10"/>
      <c r="X26" s="6"/>
      <c r="Y26" s="3"/>
      <c r="Z26" s="17"/>
    </row>
    <row r="27" spans="2:26" x14ac:dyDescent="0.35">
      <c r="B27" s="2">
        <v>0</v>
      </c>
      <c r="C27" s="2">
        <v>7</v>
      </c>
      <c r="D27" s="2" t="s">
        <v>27</v>
      </c>
      <c r="E27" s="2">
        <v>5</v>
      </c>
      <c r="F27" s="2" t="s">
        <v>25</v>
      </c>
      <c r="G27" s="2">
        <f>_xlfn.XLOOKUP(C27,data!$A$2:$A$8,data!$C$2:$C$8)</f>
        <v>32.340000000000003</v>
      </c>
      <c r="H27" s="2">
        <f>_xlfn.XLOOKUP(C27,data!$A$2:$A$8,data!$D$2:$D$8)</f>
        <v>-115.95</v>
      </c>
      <c r="I27" s="2">
        <f>_xlfn.XLOOKUP(E27,data!$A$2:$A$8,data!$C$2:$C$8)</f>
        <v>38.36</v>
      </c>
      <c r="J27" s="2">
        <f>_xlfn.XLOOKUP(E27,data!$A$2:$A$8,data!$D$2:$D$8)</f>
        <v>-105.33</v>
      </c>
      <c r="K27" s="1">
        <v>16</v>
      </c>
      <c r="L27" s="9">
        <f t="shared" si="0"/>
        <v>12.207571421048497</v>
      </c>
      <c r="M27" s="12" t="s">
        <v>12</v>
      </c>
      <c r="N27" s="12">
        <v>1</v>
      </c>
      <c r="O27" s="2">
        <f t="shared" si="1"/>
        <v>0</v>
      </c>
      <c r="P27" s="2">
        <v>1</v>
      </c>
      <c r="Q27" s="2">
        <v>104</v>
      </c>
      <c r="U27" s="10"/>
      <c r="V27" s="2"/>
      <c r="W27" s="10"/>
      <c r="X27" s="6"/>
      <c r="Y27" s="3"/>
      <c r="Z27" s="17"/>
    </row>
    <row r="28" spans="2:26" x14ac:dyDescent="0.35">
      <c r="B28" s="2"/>
      <c r="V28" s="2"/>
      <c r="W28" s="10"/>
      <c r="X28" s="6"/>
      <c r="Y28" s="3"/>
      <c r="Z28" s="17"/>
    </row>
    <row r="29" spans="2:26" x14ac:dyDescent="0.35">
      <c r="T29" s="2"/>
      <c r="U29" s="2"/>
      <c r="V29" s="2"/>
      <c r="W29" s="10"/>
      <c r="X29" s="6"/>
      <c r="Y29" s="3"/>
      <c r="Z29" s="17"/>
    </row>
    <row r="30" spans="2:26" x14ac:dyDescent="0.35">
      <c r="W30" s="2"/>
      <c r="X30" s="2"/>
      <c r="Y30" s="2"/>
      <c r="Z30" s="18"/>
    </row>
    <row r="31" spans="2:26" x14ac:dyDescent="0.35">
      <c r="T31" s="2"/>
      <c r="U31" s="2"/>
      <c r="V31" s="2"/>
      <c r="W31" s="2"/>
    </row>
    <row r="32" spans="2:26" x14ac:dyDescent="0.35">
      <c r="T32" s="2"/>
      <c r="U32" s="2"/>
      <c r="V32" s="2"/>
      <c r="W32" s="14"/>
    </row>
    <row r="33" spans="20:23" x14ac:dyDescent="0.35">
      <c r="T33" s="2"/>
      <c r="U33" s="2"/>
      <c r="V33" s="2"/>
      <c r="W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D52-71C0-4AFE-886C-2D7BF0282856}">
  <dimension ref="A1:E32"/>
  <sheetViews>
    <sheetView workbookViewId="0">
      <selection activeCell="C27" sqref="C27"/>
    </sheetView>
  </sheetViews>
  <sheetFormatPr defaultRowHeight="14.5" x14ac:dyDescent="0.35"/>
  <cols>
    <col min="1" max="2" width="8.7265625" style="2"/>
    <col min="3" max="3" width="19.08984375" style="2" bestFit="1" customWidth="1"/>
    <col min="4" max="4" width="23.6328125" style="2" bestFit="1" customWidth="1"/>
    <col min="5" max="16384" width="8.7265625" style="2"/>
  </cols>
  <sheetData>
    <row r="1" spans="1:5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5">
      <c r="A2" s="2">
        <v>1</v>
      </c>
      <c r="B2" s="2">
        <v>2</v>
      </c>
      <c r="C2" s="2">
        <v>8</v>
      </c>
      <c r="D2" s="2" t="s">
        <v>7</v>
      </c>
      <c r="E2" s="2">
        <v>23</v>
      </c>
    </row>
    <row r="3" spans="1:5" x14ac:dyDescent="0.35">
      <c r="A3" s="2">
        <v>1</v>
      </c>
      <c r="B3" s="2">
        <v>4</v>
      </c>
      <c r="C3" s="2">
        <v>8</v>
      </c>
      <c r="D3" s="2" t="s">
        <v>8</v>
      </c>
      <c r="E3" s="2">
        <v>84</v>
      </c>
    </row>
    <row r="4" spans="1:5" x14ac:dyDescent="0.35">
      <c r="A4" s="2">
        <v>1</v>
      </c>
      <c r="B4" s="2">
        <v>6</v>
      </c>
      <c r="C4" s="2">
        <v>14</v>
      </c>
      <c r="D4" s="2" t="s">
        <v>7</v>
      </c>
      <c r="E4" s="2">
        <v>81</v>
      </c>
    </row>
    <row r="5" spans="1:5" x14ac:dyDescent="0.35">
      <c r="A5" s="2">
        <v>1</v>
      </c>
      <c r="B5" s="2">
        <v>7</v>
      </c>
      <c r="C5" s="2">
        <v>23</v>
      </c>
      <c r="D5" s="2" t="s">
        <v>9</v>
      </c>
      <c r="E5" s="2">
        <v>84</v>
      </c>
    </row>
    <row r="6" spans="1:5" x14ac:dyDescent="0.35">
      <c r="A6" s="2">
        <v>2</v>
      </c>
      <c r="B6" s="2">
        <v>1</v>
      </c>
      <c r="C6" s="2">
        <v>11</v>
      </c>
      <c r="D6" s="2" t="s">
        <v>10</v>
      </c>
      <c r="E6" s="2">
        <v>37</v>
      </c>
    </row>
    <row r="7" spans="1:5" x14ac:dyDescent="0.35">
      <c r="A7" s="2">
        <v>2</v>
      </c>
      <c r="B7" s="2">
        <v>5</v>
      </c>
      <c r="C7" s="2">
        <v>10</v>
      </c>
      <c r="D7" s="2" t="s">
        <v>11</v>
      </c>
      <c r="E7" s="2">
        <v>28</v>
      </c>
    </row>
    <row r="8" spans="1:5" x14ac:dyDescent="0.35">
      <c r="A8" s="2">
        <v>2</v>
      </c>
      <c r="B8" s="2">
        <v>6</v>
      </c>
      <c r="C8" s="2">
        <v>22</v>
      </c>
      <c r="D8" s="2" t="s">
        <v>11</v>
      </c>
      <c r="E8" s="2">
        <v>30</v>
      </c>
    </row>
    <row r="9" spans="1:5" x14ac:dyDescent="0.35">
      <c r="A9" s="2">
        <v>3</v>
      </c>
      <c r="B9" s="2">
        <v>1</v>
      </c>
      <c r="C9" s="2">
        <v>16</v>
      </c>
      <c r="D9" s="2" t="s">
        <v>8</v>
      </c>
      <c r="E9" s="2">
        <v>99</v>
      </c>
    </row>
    <row r="10" spans="1:5" x14ac:dyDescent="0.35">
      <c r="A10" s="2">
        <v>3</v>
      </c>
      <c r="B10" s="2">
        <v>2</v>
      </c>
      <c r="C10" s="2">
        <v>5</v>
      </c>
      <c r="D10" s="2" t="s">
        <v>12</v>
      </c>
      <c r="E10" s="2">
        <v>97</v>
      </c>
    </row>
    <row r="11" spans="1:5" x14ac:dyDescent="0.35">
      <c r="A11" s="2">
        <v>3</v>
      </c>
      <c r="B11" s="2">
        <v>4</v>
      </c>
      <c r="C11" s="2">
        <v>19</v>
      </c>
      <c r="D11" s="2" t="s">
        <v>7</v>
      </c>
      <c r="E11" s="2">
        <v>89</v>
      </c>
    </row>
    <row r="12" spans="1:5" x14ac:dyDescent="0.35">
      <c r="A12" s="2">
        <v>3</v>
      </c>
      <c r="B12" s="2">
        <v>5</v>
      </c>
      <c r="C12" s="2">
        <v>11</v>
      </c>
      <c r="D12" s="2" t="s">
        <v>13</v>
      </c>
      <c r="E12" s="2">
        <v>99</v>
      </c>
    </row>
    <row r="13" spans="1:5" x14ac:dyDescent="0.35">
      <c r="A13" s="2">
        <v>4</v>
      </c>
      <c r="B13" s="2">
        <v>1</v>
      </c>
      <c r="C13" s="2">
        <v>7</v>
      </c>
      <c r="D13" s="2" t="s">
        <v>8</v>
      </c>
      <c r="E13" s="2">
        <v>81</v>
      </c>
    </row>
    <row r="14" spans="1:5" x14ac:dyDescent="0.35">
      <c r="A14" s="2">
        <v>4</v>
      </c>
      <c r="B14" s="2">
        <v>2</v>
      </c>
      <c r="C14" s="2">
        <v>14</v>
      </c>
      <c r="D14" s="2" t="s">
        <v>7</v>
      </c>
      <c r="E14" s="2">
        <v>85</v>
      </c>
    </row>
    <row r="15" spans="1:5" x14ac:dyDescent="0.35">
      <c r="A15" s="2">
        <v>4</v>
      </c>
      <c r="B15" s="2">
        <v>6</v>
      </c>
      <c r="C15" s="2">
        <v>8</v>
      </c>
      <c r="D15" s="2" t="s">
        <v>14</v>
      </c>
      <c r="E15" s="2">
        <v>99</v>
      </c>
    </row>
    <row r="16" spans="1:5" x14ac:dyDescent="0.35">
      <c r="A16" s="2">
        <v>5</v>
      </c>
      <c r="B16" s="2">
        <v>1</v>
      </c>
      <c r="C16" s="2">
        <v>15</v>
      </c>
      <c r="D16" s="2" t="s">
        <v>8</v>
      </c>
      <c r="E16" s="2">
        <v>33</v>
      </c>
    </row>
    <row r="17" spans="1:5" x14ac:dyDescent="0.35">
      <c r="A17" s="2">
        <v>5</v>
      </c>
      <c r="B17" s="2">
        <v>2</v>
      </c>
      <c r="C17" s="2">
        <v>22</v>
      </c>
      <c r="D17" s="2" t="s">
        <v>13</v>
      </c>
      <c r="E17" s="2">
        <v>74</v>
      </c>
    </row>
    <row r="18" spans="1:5" x14ac:dyDescent="0.35">
      <c r="A18" s="2">
        <v>5</v>
      </c>
      <c r="B18" s="2">
        <v>3</v>
      </c>
      <c r="C18" s="2">
        <v>12</v>
      </c>
      <c r="D18" s="2" t="s">
        <v>13</v>
      </c>
      <c r="E18" s="2">
        <v>89</v>
      </c>
    </row>
    <row r="19" spans="1:5" x14ac:dyDescent="0.35">
      <c r="A19" s="2">
        <v>5</v>
      </c>
      <c r="B19" s="2">
        <v>4</v>
      </c>
      <c r="C19" s="2">
        <v>14</v>
      </c>
      <c r="D19" s="2" t="s">
        <v>13</v>
      </c>
      <c r="E19" s="2">
        <v>77</v>
      </c>
    </row>
    <row r="20" spans="1:5" x14ac:dyDescent="0.35">
      <c r="A20" s="2">
        <v>5</v>
      </c>
      <c r="B20" s="2">
        <v>7</v>
      </c>
      <c r="C20" s="2">
        <v>6</v>
      </c>
      <c r="D20" s="2" t="s">
        <v>8</v>
      </c>
      <c r="E20" s="2">
        <v>96</v>
      </c>
    </row>
    <row r="21" spans="1:5" x14ac:dyDescent="0.35">
      <c r="A21" s="2">
        <v>6</v>
      </c>
      <c r="B21" s="2">
        <v>1</v>
      </c>
      <c r="C21" s="2">
        <v>17</v>
      </c>
      <c r="D21" s="2" t="s">
        <v>13</v>
      </c>
      <c r="E21" s="2">
        <v>99</v>
      </c>
    </row>
    <row r="22" spans="1:5" x14ac:dyDescent="0.35">
      <c r="A22" s="2">
        <v>6</v>
      </c>
      <c r="B22" s="2">
        <v>5</v>
      </c>
      <c r="C22" s="2">
        <v>24</v>
      </c>
      <c r="D22" s="2" t="s">
        <v>8</v>
      </c>
      <c r="E22" s="2">
        <v>30</v>
      </c>
    </row>
    <row r="23" spans="1:5" x14ac:dyDescent="0.35">
      <c r="A23" s="2">
        <v>6</v>
      </c>
      <c r="B23" s="2">
        <v>7</v>
      </c>
      <c r="C23" s="2">
        <v>18</v>
      </c>
      <c r="D23" s="2" t="s">
        <v>8</v>
      </c>
      <c r="E23" s="2">
        <v>27</v>
      </c>
    </row>
    <row r="24" spans="1:5" x14ac:dyDescent="0.35">
      <c r="A24" s="2">
        <v>7</v>
      </c>
      <c r="B24" s="2">
        <v>3</v>
      </c>
      <c r="C24" s="2">
        <v>13</v>
      </c>
      <c r="D24" s="2" t="s">
        <v>7</v>
      </c>
      <c r="E24" s="2">
        <v>78</v>
      </c>
    </row>
    <row r="25" spans="1:5" x14ac:dyDescent="0.35">
      <c r="A25" s="2">
        <v>7</v>
      </c>
      <c r="B25" s="2">
        <v>5</v>
      </c>
      <c r="C25" s="2">
        <v>16</v>
      </c>
      <c r="D25" s="2" t="s">
        <v>12</v>
      </c>
      <c r="E25" s="2">
        <v>104</v>
      </c>
    </row>
    <row r="26" spans="1:5" x14ac:dyDescent="0.35">
      <c r="B26" s="2">
        <v>1</v>
      </c>
      <c r="C26" s="2" t="s">
        <v>21</v>
      </c>
    </row>
    <row r="27" spans="1:5" x14ac:dyDescent="0.35">
      <c r="B27" s="2">
        <v>2</v>
      </c>
      <c r="C27" s="2" t="s">
        <v>22</v>
      </c>
    </row>
    <row r="28" spans="1:5" x14ac:dyDescent="0.35">
      <c r="B28" s="2">
        <v>3</v>
      </c>
      <c r="C28" s="2" t="s">
        <v>23</v>
      </c>
    </row>
    <row r="29" spans="1:5" x14ac:dyDescent="0.35">
      <c r="B29" s="2">
        <v>4</v>
      </c>
      <c r="C29" s="2" t="s">
        <v>24</v>
      </c>
    </row>
    <row r="30" spans="1:5" x14ac:dyDescent="0.35">
      <c r="B30" s="2">
        <v>5</v>
      </c>
      <c r="C30" s="2" t="s">
        <v>25</v>
      </c>
    </row>
    <row r="31" spans="1:5" x14ac:dyDescent="0.35">
      <c r="B31" s="2">
        <v>6</v>
      </c>
      <c r="C31" s="2" t="s">
        <v>26</v>
      </c>
    </row>
    <row r="32" spans="1:5" x14ac:dyDescent="0.35">
      <c r="B32" s="2">
        <v>7</v>
      </c>
      <c r="C32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0275-9A89-4DD3-81C8-FCBCDEAAFEFF}">
  <dimension ref="A1:F8"/>
  <sheetViews>
    <sheetView workbookViewId="0">
      <selection activeCell="A2" sqref="A2:B8"/>
    </sheetView>
  </sheetViews>
  <sheetFormatPr defaultRowHeight="14.5" x14ac:dyDescent="0.35"/>
  <cols>
    <col min="1" max="1" width="9.6328125" style="2" bestFit="1" customWidth="1"/>
    <col min="2" max="2" width="17.1796875" style="2" bestFit="1" customWidth="1"/>
    <col min="3" max="16384" width="8.7265625" style="2"/>
  </cols>
  <sheetData>
    <row r="1" spans="1:6" x14ac:dyDescent="0.3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6" x14ac:dyDescent="0.35">
      <c r="A2" s="2">
        <v>1</v>
      </c>
      <c r="B2" s="2" t="s">
        <v>21</v>
      </c>
      <c r="C2" s="2">
        <v>37.5</v>
      </c>
      <c r="D2" s="2">
        <v>-102.5</v>
      </c>
      <c r="E2" s="2">
        <v>9123</v>
      </c>
    </row>
    <row r="3" spans="1:6" x14ac:dyDescent="0.35">
      <c r="A3" s="2">
        <v>2</v>
      </c>
      <c r="B3" s="2" t="s">
        <v>22</v>
      </c>
      <c r="C3" s="2">
        <v>44.8</v>
      </c>
      <c r="D3" s="2">
        <v>-94.58</v>
      </c>
      <c r="F3" s="2">
        <v>1794</v>
      </c>
    </row>
    <row r="4" spans="1:6" x14ac:dyDescent="0.35">
      <c r="A4" s="2">
        <v>3</v>
      </c>
      <c r="B4" s="2" t="s">
        <v>23</v>
      </c>
      <c r="C4" s="2">
        <v>39.76</v>
      </c>
      <c r="D4" s="2">
        <v>-113.07</v>
      </c>
      <c r="F4" s="2">
        <v>1343</v>
      </c>
    </row>
    <row r="5" spans="1:6" x14ac:dyDescent="0.35">
      <c r="A5" s="2">
        <v>4</v>
      </c>
      <c r="B5" s="2" t="s">
        <v>24</v>
      </c>
      <c r="C5" s="2">
        <v>37.39</v>
      </c>
      <c r="D5" s="2">
        <v>-116.62</v>
      </c>
      <c r="F5" s="2">
        <v>1568</v>
      </c>
    </row>
    <row r="6" spans="1:6" x14ac:dyDescent="0.35">
      <c r="A6" s="2">
        <v>5</v>
      </c>
      <c r="B6" s="2" t="s">
        <v>25</v>
      </c>
      <c r="C6" s="2">
        <v>38.36</v>
      </c>
      <c r="D6" s="2">
        <v>-105.33</v>
      </c>
      <c r="F6" s="2">
        <v>1262</v>
      </c>
    </row>
    <row r="7" spans="1:6" x14ac:dyDescent="0.35">
      <c r="A7" s="2">
        <v>6</v>
      </c>
      <c r="B7" s="2" t="s">
        <v>26</v>
      </c>
      <c r="C7" s="2">
        <v>44.57</v>
      </c>
      <c r="D7" s="2">
        <v>-98.82</v>
      </c>
      <c r="F7" s="2">
        <v>1205</v>
      </c>
    </row>
    <row r="8" spans="1:6" x14ac:dyDescent="0.35">
      <c r="A8" s="2">
        <v>7</v>
      </c>
      <c r="B8" s="2" t="s">
        <v>27</v>
      </c>
      <c r="C8" s="2">
        <v>32.340000000000003</v>
      </c>
      <c r="D8" s="2">
        <v>-115.95</v>
      </c>
      <c r="F8" s="2">
        <v>1951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Linearity Report 1</vt:lpstr>
      <vt:lpstr>model1 (3)</vt:lpstr>
      <vt:lpstr>model1</vt:lpstr>
      <vt:lpstr>data1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Kylee Hicks</dc:creator>
  <cp:lastModifiedBy>Kylee Hicks</cp:lastModifiedBy>
  <dcterms:created xsi:type="dcterms:W3CDTF">2025-04-16T22:54:18Z</dcterms:created>
  <dcterms:modified xsi:type="dcterms:W3CDTF">2025-04-23T16:10:22Z</dcterms:modified>
</cp:coreProperties>
</file>