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Pickthall\Desktop\"/>
    </mc:Choice>
  </mc:AlternateContent>
  <xr:revisionPtr revIDLastSave="0" documentId="13_ncr:1_{BF4FFB7F-959A-4B0E-981C-C8D2D1157C2E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Pole Lookup" sheetId="4" r:id="rId1"/>
    <sheet name="Image" sheetId="6" r:id="rId2"/>
    <sheet name="Pole Data" sheetId="1" r:id="rId3"/>
    <sheet name="Spans" sheetId="3" r:id="rId4"/>
    <sheet name="Clearance Issues" sheetId="5" r:id="rId5"/>
    <sheet name="AEUC" sheetId="2" r:id="rId6"/>
    <sheet name="FEA Setup" sheetId="9" r:id="rId7"/>
    <sheet name="FEA" sheetId="7" r:id="rId8"/>
  </sheets>
  <definedNames>
    <definedName name="solver_adj" localSheetId="7" hidden="1">FEA!$B$8:$D$8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FEA!#REF!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9" l="1"/>
  <c r="F8" i="9" s="1"/>
  <c r="B9" i="9"/>
  <c r="B11" i="9" s="1"/>
  <c r="S2" i="7" s="1"/>
  <c r="G9" i="9"/>
  <c r="R2" i="9"/>
  <c r="M6" i="7"/>
  <c r="M5" i="7"/>
  <c r="I9" i="7"/>
  <c r="G9" i="7" s="1"/>
  <c r="H9" i="7"/>
  <c r="H10" i="7" s="1"/>
  <c r="S4" i="7"/>
  <c r="AJ6" i="9"/>
  <c r="AK6" i="9"/>
  <c r="AM7" i="9"/>
  <c r="AN7" i="9"/>
  <c r="AJ9" i="9"/>
  <c r="AK9" i="9"/>
  <c r="AL9" i="9"/>
  <c r="AN10" i="9"/>
  <c r="AE6" i="9"/>
  <c r="AF6" i="9"/>
  <c r="AH7" i="9"/>
  <c r="AI7" i="9"/>
  <c r="AE9" i="9"/>
  <c r="AF9" i="9"/>
  <c r="AG9" i="9"/>
  <c r="AI10" i="9"/>
  <c r="Z3" i="9"/>
  <c r="AA3" i="9"/>
  <c r="AB3" i="9"/>
  <c r="AC3" i="9"/>
  <c r="AD3" i="9"/>
  <c r="Z4" i="9"/>
  <c r="AA4" i="9"/>
  <c r="AB4" i="9"/>
  <c r="AC4" i="9"/>
  <c r="AD4" i="9"/>
  <c r="AN4" i="9" s="1"/>
  <c r="Z5" i="9"/>
  <c r="AJ5" i="9" s="1"/>
  <c r="AA5" i="9"/>
  <c r="AK5" i="9" s="1"/>
  <c r="AB5" i="9"/>
  <c r="AC5" i="9"/>
  <c r="AD5" i="9"/>
  <c r="Z6" i="9"/>
  <c r="AA6" i="9"/>
  <c r="AB6" i="9"/>
  <c r="AL6" i="9" s="1"/>
  <c r="AC6" i="9"/>
  <c r="AM6" i="9" s="1"/>
  <c r="AD6" i="9"/>
  <c r="AN6" i="9" s="1"/>
  <c r="Z7" i="9"/>
  <c r="AA7" i="9"/>
  <c r="AB7" i="9"/>
  <c r="AC7" i="9"/>
  <c r="AD7" i="9"/>
  <c r="Z8" i="9"/>
  <c r="AJ8" i="9" s="1"/>
  <c r="AA8" i="9"/>
  <c r="AK8" i="9" s="1"/>
  <c r="AB8" i="9"/>
  <c r="AL8" i="9" s="1"/>
  <c r="AC8" i="9"/>
  <c r="AD8" i="9"/>
  <c r="Z9" i="9"/>
  <c r="AA9" i="9"/>
  <c r="AB9" i="9"/>
  <c r="AC9" i="9"/>
  <c r="AM9" i="9" s="1"/>
  <c r="AD9" i="9"/>
  <c r="AN9" i="9" s="1"/>
  <c r="Z10" i="9"/>
  <c r="AJ10" i="9" s="1"/>
  <c r="AA10" i="9"/>
  <c r="AB10" i="9"/>
  <c r="AC10" i="9"/>
  <c r="AD10" i="9"/>
  <c r="Z11" i="9"/>
  <c r="AA11" i="9"/>
  <c r="AK11" i="9" s="1"/>
  <c r="AB11" i="9"/>
  <c r="AL11" i="9" s="1"/>
  <c r="AC11" i="9"/>
  <c r="AM11" i="9" s="1"/>
  <c r="AD11" i="9"/>
  <c r="AA2" i="9"/>
  <c r="AB2" i="9"/>
  <c r="AC2" i="9"/>
  <c r="AD2" i="9"/>
  <c r="P3" i="9"/>
  <c r="S3" i="9"/>
  <c r="T3" i="9"/>
  <c r="P4" i="9"/>
  <c r="Q4" i="9"/>
  <c r="R4" i="9"/>
  <c r="S4" i="9"/>
  <c r="T4" i="9"/>
  <c r="P5" i="9"/>
  <c r="Q5" i="9"/>
  <c r="R5" i="9"/>
  <c r="S5" i="9"/>
  <c r="T5" i="9"/>
  <c r="P6" i="9"/>
  <c r="Q6" i="9"/>
  <c r="R6" i="9"/>
  <c r="S6" i="9"/>
  <c r="T6" i="9"/>
  <c r="P7" i="9"/>
  <c r="Q7" i="9"/>
  <c r="R7" i="9"/>
  <c r="S7" i="9"/>
  <c r="T7" i="9"/>
  <c r="P8" i="9"/>
  <c r="Q8" i="9"/>
  <c r="R8" i="9"/>
  <c r="S8" i="9"/>
  <c r="T8" i="9"/>
  <c r="P9" i="9"/>
  <c r="Q9" i="9"/>
  <c r="R9" i="9"/>
  <c r="S9" i="9"/>
  <c r="T9" i="9"/>
  <c r="P10" i="9"/>
  <c r="Q10" i="9"/>
  <c r="R10" i="9"/>
  <c r="S10" i="9"/>
  <c r="T10" i="9"/>
  <c r="P11" i="9"/>
  <c r="Q11" i="9"/>
  <c r="R11" i="9"/>
  <c r="S11" i="9"/>
  <c r="T11" i="9"/>
  <c r="Q2" i="9"/>
  <c r="S2" i="9"/>
  <c r="T2" i="9"/>
  <c r="P2" i="9"/>
  <c r="Z2" i="9"/>
  <c r="U3" i="9"/>
  <c r="V3" i="9"/>
  <c r="W3" i="9"/>
  <c r="X3" i="9"/>
  <c r="Y3" i="9"/>
  <c r="U4" i="9"/>
  <c r="V4" i="9"/>
  <c r="W4" i="9"/>
  <c r="X4" i="9"/>
  <c r="Y4" i="9"/>
  <c r="U5" i="9"/>
  <c r="V5" i="9"/>
  <c r="W5" i="9"/>
  <c r="X5" i="9"/>
  <c r="Y5" i="9"/>
  <c r="U6" i="9"/>
  <c r="V6" i="9"/>
  <c r="W6" i="9"/>
  <c r="X6" i="9"/>
  <c r="Y6" i="9"/>
  <c r="U7" i="9"/>
  <c r="V7" i="9"/>
  <c r="W7" i="9"/>
  <c r="X7" i="9"/>
  <c r="Y7" i="9"/>
  <c r="U8" i="9"/>
  <c r="V8" i="9"/>
  <c r="W8" i="9"/>
  <c r="X8" i="9"/>
  <c r="Y8" i="9"/>
  <c r="U9" i="9"/>
  <c r="V9" i="9"/>
  <c r="W9" i="9"/>
  <c r="X9" i="9"/>
  <c r="Y9" i="9"/>
  <c r="U10" i="9"/>
  <c r="V10" i="9"/>
  <c r="W10" i="9"/>
  <c r="X10" i="9"/>
  <c r="Y10" i="9"/>
  <c r="U11" i="9"/>
  <c r="V11" i="9"/>
  <c r="W11" i="9"/>
  <c r="X11" i="9"/>
  <c r="Y11" i="9"/>
  <c r="V2" i="9"/>
  <c r="W2" i="9"/>
  <c r="X2" i="9"/>
  <c r="Y2" i="9"/>
  <c r="U2" i="9"/>
  <c r="J4" i="9"/>
  <c r="AG4" i="9" s="1"/>
  <c r="J5" i="9"/>
  <c r="AL5" i="9" s="1"/>
  <c r="J6" i="9"/>
  <c r="J7" i="9"/>
  <c r="AJ7" i="9" s="1"/>
  <c r="J8" i="9"/>
  <c r="AM8" i="9" s="1"/>
  <c r="J9" i="9"/>
  <c r="J10" i="9"/>
  <c r="AH10" i="9" s="1"/>
  <c r="J11" i="9"/>
  <c r="AN11" i="9" s="1"/>
  <c r="E2" i="9" a="1"/>
  <c r="E2" i="9" s="1"/>
  <c r="G2" i="9" s="1" a="1"/>
  <c r="G2" i="9" s="1"/>
  <c r="B7" i="9"/>
  <c r="B6" i="9"/>
  <c r="P2" i="7" s="1"/>
  <c r="P3" i="7" s="1"/>
  <c r="B5" i="9"/>
  <c r="B4" i="9"/>
  <c r="B3" i="9"/>
  <c r="AE11" i="9" l="1"/>
  <c r="AH4" i="9"/>
  <c r="AJ11" i="9"/>
  <c r="AM4" i="9"/>
  <c r="AL4" i="9"/>
  <c r="AG7" i="9"/>
  <c r="AI5" i="9"/>
  <c r="AF4" i="9"/>
  <c r="AM10" i="9"/>
  <c r="AK4" i="9"/>
  <c r="AL7" i="9"/>
  <c r="AN5" i="9"/>
  <c r="AG10" i="9"/>
  <c r="AI8" i="9"/>
  <c r="AF7" i="9"/>
  <c r="AH5" i="9"/>
  <c r="AE4" i="9"/>
  <c r="AL10" i="9"/>
  <c r="AN8" i="9"/>
  <c r="AK7" i="9"/>
  <c r="AM5" i="9"/>
  <c r="AJ4" i="9"/>
  <c r="AI11" i="9"/>
  <c r="AF10" i="9"/>
  <c r="AH8" i="9"/>
  <c r="AE7" i="9"/>
  <c r="AG5" i="9"/>
  <c r="AK10" i="9"/>
  <c r="AH11" i="9"/>
  <c r="AE10" i="9"/>
  <c r="AG8" i="9"/>
  <c r="AI6" i="9"/>
  <c r="AF5" i="9"/>
  <c r="AG11" i="9"/>
  <c r="AI9" i="9"/>
  <c r="AF8" i="9"/>
  <c r="AH6" i="9"/>
  <c r="AE5" i="9"/>
  <c r="I10" i="7"/>
  <c r="AF11" i="9"/>
  <c r="AH9" i="9"/>
  <c r="AE8" i="9"/>
  <c r="AG6" i="9"/>
  <c r="AI4" i="9"/>
  <c r="H11" i="7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H249" i="7" s="1"/>
  <c r="H250" i="7" s="1"/>
  <c r="H251" i="7" s="1"/>
  <c r="H252" i="7" s="1"/>
  <c r="A8" i="7" a="1"/>
  <c r="G8" i="9"/>
  <c r="B10" i="9"/>
  <c r="F10" i="9" s="1"/>
  <c r="F9" i="9"/>
  <c r="R3" i="9"/>
  <c r="Q3" i="9"/>
  <c r="F9" i="7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2" i="9" a="1"/>
  <c r="F2" i="9" s="1"/>
  <c r="H2" i="9" s="1" a="1"/>
  <c r="G10" i="7" l="1"/>
  <c r="I11" i="7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56" i="7" s="1"/>
  <c r="I57" i="7" s="1"/>
  <c r="I58" i="7" s="1"/>
  <c r="I59" i="7" s="1"/>
  <c r="I60" i="7" s="1"/>
  <c r="I61" i="7" s="1"/>
  <c r="I62" i="7" s="1"/>
  <c r="I63" i="7" s="1"/>
  <c r="I64" i="7" s="1"/>
  <c r="I65" i="7" s="1"/>
  <c r="I66" i="7" s="1"/>
  <c r="I67" i="7" s="1"/>
  <c r="I68" i="7" s="1"/>
  <c r="I69" i="7" s="1"/>
  <c r="I70" i="7" s="1"/>
  <c r="I71" i="7" s="1"/>
  <c r="I72" i="7" s="1"/>
  <c r="I73" i="7" s="1"/>
  <c r="I74" i="7" s="1"/>
  <c r="I75" i="7" s="1"/>
  <c r="I76" i="7" s="1"/>
  <c r="I77" i="7" s="1"/>
  <c r="I78" i="7" s="1"/>
  <c r="I79" i="7" s="1"/>
  <c r="I80" i="7" s="1"/>
  <c r="I81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I224" i="7" s="1"/>
  <c r="I225" i="7" s="1"/>
  <c r="I226" i="7" s="1"/>
  <c r="I227" i="7" s="1"/>
  <c r="I228" i="7" s="1"/>
  <c r="I229" i="7" s="1"/>
  <c r="I230" i="7" s="1"/>
  <c r="I231" i="7" s="1"/>
  <c r="I232" i="7" s="1"/>
  <c r="I233" i="7" s="1"/>
  <c r="I234" i="7" s="1"/>
  <c r="I235" i="7" s="1"/>
  <c r="I236" i="7" s="1"/>
  <c r="I237" i="7" s="1"/>
  <c r="I238" i="7" s="1"/>
  <c r="I239" i="7" s="1"/>
  <c r="I240" i="7" s="1"/>
  <c r="I241" i="7" s="1"/>
  <c r="I242" i="7" s="1"/>
  <c r="I243" i="7" s="1"/>
  <c r="I244" i="7" s="1"/>
  <c r="I245" i="7" s="1"/>
  <c r="I246" i="7" s="1"/>
  <c r="I247" i="7" s="1"/>
  <c r="I248" i="7" s="1"/>
  <c r="I249" i="7" s="1"/>
  <c r="I250" i="7" s="1"/>
  <c r="I251" i="7" s="1"/>
  <c r="I252" i="7" s="1"/>
  <c r="L31" i="7"/>
  <c r="L33" i="7"/>
  <c r="L27" i="7"/>
  <c r="L44" i="7"/>
  <c r="F178" i="7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F214" i="7" s="1"/>
  <c r="F215" i="7" s="1"/>
  <c r="F216" i="7" s="1"/>
  <c r="F217" i="7" s="1"/>
  <c r="F218" i="7" s="1"/>
  <c r="F219" i="7" s="1"/>
  <c r="F220" i="7" s="1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31" i="7" s="1"/>
  <c r="F232" i="7" s="1"/>
  <c r="F233" i="7" s="1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A8" i="7"/>
  <c r="H2" i="9"/>
  <c r="I2" i="9" a="1"/>
  <c r="G10" i="9"/>
  <c r="S1" i="7"/>
  <c r="L252" i="7" s="1"/>
  <c r="L28" i="7" l="1"/>
  <c r="L42" i="7"/>
  <c r="L17" i="7"/>
  <c r="L16" i="7"/>
  <c r="L20" i="7"/>
  <c r="L34" i="7"/>
  <c r="L40" i="7"/>
  <c r="L13" i="7"/>
  <c r="L32" i="7"/>
  <c r="L29" i="7"/>
  <c r="L18" i="7"/>
  <c r="L24" i="7"/>
  <c r="L22" i="7"/>
  <c r="L37" i="7"/>
  <c r="L26" i="7"/>
  <c r="L38" i="7"/>
  <c r="L12" i="7"/>
  <c r="L30" i="7"/>
  <c r="L21" i="7"/>
  <c r="L43" i="7"/>
  <c r="L11" i="7"/>
  <c r="L10" i="7"/>
  <c r="L14" i="7"/>
  <c r="L35" i="7"/>
  <c r="L41" i="7"/>
  <c r="L39" i="7"/>
  <c r="L15" i="7"/>
  <c r="L36" i="7"/>
  <c r="L19" i="7"/>
  <c r="L25" i="7"/>
  <c r="L23" i="7"/>
  <c r="G11" i="7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I2" i="9"/>
  <c r="J2" i="9" s="1"/>
  <c r="AM3" i="9"/>
  <c r="AN3" i="9"/>
  <c r="J3" i="9"/>
  <c r="S3" i="7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L71" i="7" s="1"/>
  <c r="L72" i="7" s="1"/>
  <c r="L73" i="7" s="1"/>
  <c r="L74" i="7" s="1"/>
  <c r="L75" i="7" s="1"/>
  <c r="L76" i="7" s="1"/>
  <c r="L77" i="7" s="1"/>
  <c r="L78" i="7" s="1"/>
  <c r="L79" i="7" s="1"/>
  <c r="L80" i="7" s="1"/>
  <c r="L81" i="7" s="1"/>
  <c r="L82" i="7" s="1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127" i="7" s="1"/>
  <c r="L128" i="7" s="1"/>
  <c r="L129" i="7" s="1"/>
  <c r="L130" i="7" s="1"/>
  <c r="L131" i="7" s="1"/>
  <c r="L132" i="7" s="1"/>
  <c r="L133" i="7" s="1"/>
  <c r="L134" i="7" s="1"/>
  <c r="L135" i="7" s="1"/>
  <c r="L136" i="7" s="1"/>
  <c r="L137" i="7" s="1"/>
  <c r="L138" i="7" s="1"/>
  <c r="L139" i="7" s="1"/>
  <c r="L140" i="7" s="1"/>
  <c r="L141" i="7" s="1"/>
  <c r="L142" i="7" s="1"/>
  <c r="L143" i="7" s="1"/>
  <c r="L144" i="7" s="1"/>
  <c r="L145" i="7" s="1"/>
  <c r="L146" i="7" s="1"/>
  <c r="L147" i="7" s="1"/>
  <c r="L148" i="7" s="1"/>
  <c r="L149" i="7" s="1"/>
  <c r="L150" i="7" s="1"/>
  <c r="L151" i="7" s="1"/>
  <c r="L152" i="7" s="1"/>
  <c r="L153" i="7" s="1"/>
  <c r="L154" i="7" s="1"/>
  <c r="L155" i="7" s="1"/>
  <c r="L156" i="7" s="1"/>
  <c r="L157" i="7" s="1"/>
  <c r="L158" i="7" s="1"/>
  <c r="L159" i="7" s="1"/>
  <c r="L160" i="7" s="1"/>
  <c r="L161" i="7" s="1"/>
  <c r="L162" i="7" s="1"/>
  <c r="L163" i="7" s="1"/>
  <c r="L164" i="7" s="1"/>
  <c r="L165" i="7" s="1"/>
  <c r="L166" i="7" s="1"/>
  <c r="L167" i="7" s="1"/>
  <c r="L168" i="7" s="1"/>
  <c r="L169" i="7" s="1"/>
  <c r="L170" i="7" s="1"/>
  <c r="L171" i="7" s="1"/>
  <c r="L172" i="7" s="1"/>
  <c r="L173" i="7" s="1"/>
  <c r="L174" i="7" s="1"/>
  <c r="L175" i="7" s="1"/>
  <c r="L176" i="7" s="1"/>
  <c r="L177" i="7" s="1"/>
  <c r="L178" i="7" s="1"/>
  <c r="L179" i="7" s="1"/>
  <c r="L180" i="7" s="1"/>
  <c r="L181" i="7" s="1"/>
  <c r="L182" i="7" s="1"/>
  <c r="L183" i="7" s="1"/>
  <c r="L184" i="7" s="1"/>
  <c r="L185" i="7" s="1"/>
  <c r="L186" i="7" s="1"/>
  <c r="L187" i="7" s="1"/>
  <c r="L188" i="7" s="1"/>
  <c r="L189" i="7" s="1"/>
  <c r="L190" i="7" s="1"/>
  <c r="L191" i="7" s="1"/>
  <c r="L192" i="7" s="1"/>
  <c r="L193" i="7" s="1"/>
  <c r="L194" i="7" s="1"/>
  <c r="L195" i="7" s="1"/>
  <c r="L196" i="7" s="1"/>
  <c r="L197" i="7" s="1"/>
  <c r="L198" i="7" s="1"/>
  <c r="L199" i="7" s="1"/>
  <c r="L200" i="7" s="1"/>
  <c r="L201" i="7" s="1"/>
  <c r="L202" i="7" s="1"/>
  <c r="L203" i="7" s="1"/>
  <c r="L204" i="7" s="1"/>
  <c r="L205" i="7" s="1"/>
  <c r="L206" i="7" s="1"/>
  <c r="L207" i="7" s="1"/>
  <c r="L208" i="7" s="1"/>
  <c r="L209" i="7" s="1"/>
  <c r="L210" i="7" s="1"/>
  <c r="L211" i="7" s="1"/>
  <c r="L212" i="7" s="1"/>
  <c r="L213" i="7" s="1"/>
  <c r="L214" i="7" s="1"/>
  <c r="L215" i="7" s="1"/>
  <c r="L216" i="7" s="1"/>
  <c r="L217" i="7" s="1"/>
  <c r="L218" i="7" s="1"/>
  <c r="L219" i="7" s="1"/>
  <c r="L220" i="7" s="1"/>
  <c r="L221" i="7" s="1"/>
  <c r="L222" i="7" s="1"/>
  <c r="L223" i="7" s="1"/>
  <c r="L224" i="7" s="1"/>
  <c r="L225" i="7" s="1"/>
  <c r="L226" i="7" s="1"/>
  <c r="L227" i="7" s="1"/>
  <c r="L228" i="7" s="1"/>
  <c r="L229" i="7" s="1"/>
  <c r="L230" i="7" s="1"/>
  <c r="L231" i="7" s="1"/>
  <c r="L232" i="7" s="1"/>
  <c r="L233" i="7" s="1"/>
  <c r="L234" i="7" s="1"/>
  <c r="L235" i="7" s="1"/>
  <c r="L236" i="7" s="1"/>
  <c r="L237" i="7" s="1"/>
  <c r="L238" i="7" s="1"/>
  <c r="L239" i="7" s="1"/>
  <c r="L240" i="7" s="1"/>
  <c r="L241" i="7" s="1"/>
  <c r="L242" i="7" s="1"/>
  <c r="L243" i="7" s="1"/>
  <c r="L244" i="7" s="1"/>
  <c r="L245" i="7" s="1"/>
  <c r="L246" i="7" s="1"/>
  <c r="L247" i="7" s="1"/>
  <c r="L248" i="7" s="1"/>
  <c r="L249" i="7" s="1"/>
  <c r="L250" i="7" s="1"/>
  <c r="L251" i="7" s="1"/>
  <c r="L9" i="7"/>
  <c r="L8" i="7"/>
  <c r="AG2" i="9" l="1"/>
  <c r="AF2" i="9"/>
  <c r="AE2" i="9"/>
  <c r="AH3" i="9"/>
  <c r="AE3" i="9"/>
  <c r="AF3" i="9"/>
  <c r="AI3" i="9"/>
  <c r="AG3" i="9"/>
  <c r="AI2" i="9"/>
  <c r="AL3" i="9"/>
  <c r="AH2" i="9"/>
  <c r="AK3" i="9"/>
  <c r="AJ3" i="9"/>
  <c r="AL2" i="9"/>
  <c r="AM2" i="9"/>
  <c r="AN2" i="9"/>
  <c r="AJ2" i="9"/>
  <c r="AK2" i="9"/>
  <c r="E9" i="7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E113" i="7" s="1"/>
  <c r="E114" i="7" s="1"/>
  <c r="E115" i="7" s="1"/>
  <c r="E116" i="7" s="1"/>
  <c r="E117" i="7" s="1"/>
  <c r="E118" i="7" s="1"/>
  <c r="E119" i="7" s="1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E138" i="7" s="1"/>
  <c r="E139" i="7" s="1"/>
  <c r="E140" i="7" s="1"/>
  <c r="E141" i="7" s="1"/>
  <c r="E142" i="7" s="1"/>
  <c r="E143" i="7" s="1"/>
  <c r="E144" i="7" s="1"/>
  <c r="E145" i="7" s="1"/>
  <c r="E146" i="7" s="1"/>
  <c r="E147" i="7" s="1"/>
  <c r="E148" i="7" s="1"/>
  <c r="E149" i="7" s="1"/>
  <c r="E150" i="7" s="1"/>
  <c r="E151" i="7" s="1"/>
  <c r="E152" i="7" s="1"/>
  <c r="E153" i="7" s="1"/>
  <c r="E154" i="7" s="1"/>
  <c r="E155" i="7" s="1"/>
  <c r="E156" i="7" s="1"/>
  <c r="E157" i="7" s="1"/>
  <c r="E158" i="7" s="1"/>
  <c r="E159" i="7" s="1"/>
  <c r="E160" i="7" s="1"/>
  <c r="E161" i="7" s="1"/>
  <c r="E162" i="7" s="1"/>
  <c r="E163" i="7" s="1"/>
  <c r="E164" i="7" s="1"/>
  <c r="E165" i="7" s="1"/>
  <c r="E166" i="7" s="1"/>
  <c r="E167" i="7" s="1"/>
  <c r="E168" i="7" s="1"/>
  <c r="E169" i="7" s="1"/>
  <c r="E170" i="7" s="1"/>
  <c r="E171" i="7" s="1"/>
  <c r="E172" i="7" s="1"/>
  <c r="E173" i="7" s="1"/>
  <c r="E174" i="7" s="1"/>
  <c r="E175" i="7" s="1"/>
  <c r="E176" i="7" s="1"/>
  <c r="E177" i="7" s="1"/>
  <c r="E178" i="7" s="1"/>
  <c r="E179" i="7" s="1"/>
  <c r="E180" i="7" s="1"/>
  <c r="E181" i="7" s="1"/>
  <c r="E182" i="7" s="1"/>
  <c r="E183" i="7" s="1"/>
  <c r="E184" i="7" s="1"/>
  <c r="E185" i="7" s="1"/>
  <c r="E186" i="7" s="1"/>
  <c r="E187" i="7" s="1"/>
  <c r="E188" i="7" s="1"/>
  <c r="E189" i="7" s="1"/>
  <c r="E190" i="7" s="1"/>
  <c r="E191" i="7" s="1"/>
  <c r="E192" i="7" s="1"/>
  <c r="E193" i="7" s="1"/>
  <c r="E194" i="7" s="1"/>
  <c r="E195" i="7" s="1"/>
  <c r="E196" i="7" s="1"/>
  <c r="E197" i="7" s="1"/>
  <c r="E198" i="7" s="1"/>
  <c r="E199" i="7" s="1"/>
  <c r="E200" i="7" s="1"/>
  <c r="E201" i="7" s="1"/>
  <c r="E202" i="7" s="1"/>
  <c r="E203" i="7" s="1"/>
  <c r="E204" i="7" s="1"/>
  <c r="E205" i="7" s="1"/>
  <c r="E206" i="7" s="1"/>
  <c r="E207" i="7" s="1"/>
  <c r="E208" i="7" s="1"/>
  <c r="E209" i="7" s="1"/>
  <c r="E210" i="7" s="1"/>
  <c r="E211" i="7" s="1"/>
  <c r="E212" i="7" s="1"/>
  <c r="E213" i="7" s="1"/>
  <c r="E214" i="7" s="1"/>
  <c r="E215" i="7" s="1"/>
  <c r="E216" i="7" s="1"/>
  <c r="E217" i="7" s="1"/>
  <c r="E218" i="7" s="1"/>
  <c r="E219" i="7" s="1"/>
  <c r="E220" i="7" s="1"/>
  <c r="E221" i="7" s="1"/>
  <c r="E222" i="7" s="1"/>
  <c r="E223" i="7" s="1"/>
  <c r="E224" i="7" s="1"/>
  <c r="E225" i="7" s="1"/>
  <c r="E226" i="7" s="1"/>
  <c r="E227" i="7" s="1"/>
  <c r="E228" i="7" s="1"/>
  <c r="E229" i="7" s="1"/>
  <c r="E230" i="7" s="1"/>
  <c r="E231" i="7" s="1"/>
  <c r="E232" i="7" s="1"/>
  <c r="E233" i="7" s="1"/>
  <c r="E234" i="7" s="1"/>
  <c r="E235" i="7" s="1"/>
  <c r="E236" i="7" s="1"/>
  <c r="E237" i="7" s="1"/>
  <c r="E238" i="7" s="1"/>
  <c r="E239" i="7" s="1"/>
  <c r="E240" i="7" s="1"/>
  <c r="E241" i="7" s="1"/>
  <c r="E242" i="7" s="1"/>
  <c r="E243" i="7" s="1"/>
  <c r="E244" i="7" s="1"/>
  <c r="E245" i="7" s="1"/>
  <c r="E246" i="7" s="1"/>
  <c r="E247" i="7" s="1"/>
  <c r="E248" i="7" s="1"/>
  <c r="E249" i="7" s="1"/>
  <c r="E250" i="7" s="1"/>
  <c r="E251" i="7" s="1"/>
  <c r="E252" i="7" s="1"/>
  <c r="D9" i="7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B9" i="7" l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C9" i="7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D4" i="3" l="1"/>
  <c r="F4" i="3" s="1"/>
  <c r="BB5" i="1"/>
  <c r="BC5" i="1"/>
  <c r="BD5" i="1"/>
  <c r="BE5" i="1"/>
  <c r="BB4" i="1"/>
  <c r="BC4" i="1"/>
  <c r="BD4" i="1"/>
  <c r="BE4" i="1"/>
  <c r="BB3" i="1"/>
  <c r="BC3" i="1"/>
  <c r="BD3" i="1"/>
  <c r="BE3" i="1"/>
  <c r="BB2" i="1"/>
  <c r="BC2" i="1"/>
  <c r="BD2" i="1"/>
  <c r="BE2" i="1"/>
  <c r="Q9" i="6"/>
  <c r="Q8" i="6"/>
  <c r="P5" i="6"/>
  <c r="P12" i="6" s="1"/>
  <c r="B2" i="5"/>
  <c r="C2" i="5" s="1" a="1"/>
  <c r="C2" i="5" s="1"/>
  <c r="D2" i="5" s="1"/>
  <c r="B3" i="5"/>
  <c r="C3" i="5" s="1" a="1"/>
  <c r="C3" i="5" s="1"/>
  <c r="D3" i="5" s="1"/>
  <c r="B4" i="5"/>
  <c r="C4" i="5" s="1" a="1"/>
  <c r="C4" i="5" s="1"/>
  <c r="D4" i="5" s="1"/>
  <c r="B5" i="5"/>
  <c r="C5" i="5" s="1" a="1"/>
  <c r="C5" i="5" s="1"/>
  <c r="A3" i="5"/>
  <c r="A4" i="5"/>
  <c r="A5" i="5"/>
  <c r="F5" i="5" s="1"/>
  <c r="A2" i="5"/>
  <c r="G2" i="5" s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M2" i="4"/>
  <c r="K2" i="4"/>
  <c r="I2" i="4"/>
  <c r="G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3" i="4"/>
  <c r="D3" i="3"/>
  <c r="F3" i="3" s="1"/>
  <c r="D2" i="3"/>
  <c r="F2" i="3" s="1"/>
  <c r="N16" i="6" a="1"/>
  <c r="N17" i="6" a="1"/>
  <c r="N14" i="6" a="1"/>
  <c r="N15" i="6" a="1"/>
  <c r="N12" i="6" a="1"/>
  <c r="N11" i="6" a="1"/>
  <c r="N21" i="6" a="1"/>
  <c r="N22" i="6" a="1"/>
  <c r="N19" i="6" a="1"/>
  <c r="N13" i="6" a="1"/>
  <c r="N18" i="6" a="1"/>
  <c r="N20" i="6" a="1"/>
  <c r="G3" i="5" l="1"/>
  <c r="F4" i="5"/>
  <c r="P19" i="6"/>
  <c r="P18" i="6"/>
  <c r="P16" i="6"/>
  <c r="P11" i="6"/>
  <c r="P15" i="6"/>
  <c r="P17" i="6"/>
  <c r="P22" i="6"/>
  <c r="P14" i="6"/>
  <c r="P21" i="6"/>
  <c r="P13" i="6"/>
  <c r="P20" i="6"/>
  <c r="E4" i="5"/>
  <c r="E3" i="5"/>
  <c r="D5" i="5"/>
  <c r="E5" i="5" s="1"/>
  <c r="E2" i="5"/>
  <c r="N21" i="6"/>
  <c r="N18" i="6"/>
  <c r="N20" i="6"/>
  <c r="N17" i="6"/>
  <c r="N14" i="6"/>
  <c r="N16" i="6"/>
  <c r="N13" i="6"/>
  <c r="N22" i="6"/>
  <c r="N19" i="6"/>
  <c r="N15" i="6"/>
  <c r="N12" i="6"/>
  <c r="N11" i="6"/>
  <c r="F3" i="5"/>
  <c r="F2" i="5"/>
  <c r="G5" i="5"/>
  <c r="G4" i="5"/>
  <c r="H5" i="5" l="1"/>
  <c r="I5" i="5" s="1"/>
  <c r="H2" i="5"/>
  <c r="I2" i="5" s="1"/>
  <c r="H4" i="5"/>
  <c r="I4" i="5" s="1"/>
  <c r="H3" i="5"/>
  <c r="I3" i="5" s="1"/>
  <c r="F7" i="9"/>
  <c r="G6" i="9"/>
  <c r="D6" i="9"/>
  <c r="C6" i="9"/>
  <c r="F6" i="9"/>
  <c r="E5" i="9"/>
  <c r="G5" i="9"/>
  <c r="D5" i="9"/>
  <c r="C5" i="9"/>
  <c r="F5" i="9"/>
  <c r="E6" i="9" l="1"/>
  <c r="G7" i="9"/>
  <c r="M2" i="7" l="1"/>
  <c r="M4" i="7" s="1"/>
  <c r="M1" i="7" l="1"/>
  <c r="M3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Civil Dell</author>
  </authors>
  <commentList>
    <comment ref="A1" authorId="0" shapeId="0" xr:uid="{51111F67-35D3-412E-A22E-92A42415C831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This should be the SMALLER pole number. (For organizational purposes)</t>
        </r>
      </text>
    </comment>
    <comment ref="B1" authorId="0" shapeId="0" xr:uid="{85F2310E-C05D-483D-A53E-E9E5A3C61271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Civil Dell:
This should be the LARGER pole number. (For organizational purposes)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Civil Dell</author>
  </authors>
  <commentList>
    <comment ref="C1" authorId="0" shapeId="0" xr:uid="{A0006880-37E7-43C0-B8CE-5EEB9E7FAC34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Comms clearance From Secondary.</t>
        </r>
      </text>
    </comment>
    <comment ref="D1" authorId="0" shapeId="0" xr:uid="{89F25927-F553-45A2-B4C2-1AEC5694D775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C clearance minus the requirement.</t>
        </r>
      </text>
    </comment>
    <comment ref="E1" authorId="0" shapeId="0" xr:uid="{B14F739A-7CC7-4CA1-950D-F2A540E675D3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Will return TRUE if there are clearance issues between Comms/Secondary. Highlighted in YELLOW.</t>
        </r>
      </text>
    </comment>
    <comment ref="H1" authorId="0" shapeId="0" xr:uid="{9C4BFF54-260D-4EF3-9C6C-08916D34064E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If there are C clearance issues, this lists the amount of room we have to lower it.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<sst xmlns="http://schemas.openxmlformats.org/spreadsheetml/2006/main" count="290" uniqueCount="178">
  <si>
    <t>Latitude</t>
  </si>
  <si>
    <t>Longitude</t>
  </si>
  <si>
    <t>Elevation (m)</t>
  </si>
  <si>
    <t>P1</t>
  </si>
  <si>
    <t>P2</t>
  </si>
  <si>
    <t>P3</t>
  </si>
  <si>
    <t>S1</t>
  </si>
  <si>
    <t>S2</t>
  </si>
  <si>
    <t>Class</t>
  </si>
  <si>
    <t>Profile #</t>
  </si>
  <si>
    <t>Length</t>
  </si>
  <si>
    <t>Top of Pole</t>
  </si>
  <si>
    <t>Pole Circ</t>
  </si>
  <si>
    <t>Equip</t>
  </si>
  <si>
    <t>Equip Height</t>
  </si>
  <si>
    <t>S3</t>
  </si>
  <si>
    <t>S tension type</t>
  </si>
  <si>
    <t>P1 Tension Type</t>
  </si>
  <si>
    <t>P1 attach type</t>
  </si>
  <si>
    <t>s attach type</t>
  </si>
  <si>
    <t>Tangent</t>
  </si>
  <si>
    <t>Pole Species</t>
  </si>
  <si>
    <t>P4</t>
  </si>
  <si>
    <t>notes</t>
  </si>
  <si>
    <t>guy1 attachment</t>
  </si>
  <si>
    <t>guy1 direction</t>
  </si>
  <si>
    <t>guy1 size</t>
  </si>
  <si>
    <t>guy1 length</t>
  </si>
  <si>
    <t>C1</t>
  </si>
  <si>
    <t>C1 size</t>
  </si>
  <si>
    <t>C2</t>
  </si>
  <si>
    <t>C2 size</t>
  </si>
  <si>
    <t>C3</t>
  </si>
  <si>
    <t>C3 size</t>
  </si>
  <si>
    <t>C tension type</t>
  </si>
  <si>
    <t>Clearance Requirement</t>
  </si>
  <si>
    <t>Clearance Type</t>
  </si>
  <si>
    <t>Walkway</t>
  </si>
  <si>
    <t>Pipeline</t>
  </si>
  <si>
    <t>Road</t>
  </si>
  <si>
    <t>Highway</t>
  </si>
  <si>
    <t>Agriculture</t>
  </si>
  <si>
    <t>Railway</t>
  </si>
  <si>
    <t>Actual Clearance</t>
  </si>
  <si>
    <t>guy2 attachment</t>
  </si>
  <si>
    <t>guy2 direction</t>
  </si>
  <si>
    <t>guy2 size</t>
  </si>
  <si>
    <t>guy2 length</t>
  </si>
  <si>
    <t>P1 # wires</t>
  </si>
  <si>
    <t>guy3 attachment</t>
  </si>
  <si>
    <t>guy3 direction</t>
  </si>
  <si>
    <t>guy3 size</t>
  </si>
  <si>
    <t>guy3 length</t>
  </si>
  <si>
    <t>P2 notes</t>
  </si>
  <si>
    <t>S4</t>
  </si>
  <si>
    <t>25mm</t>
  </si>
  <si>
    <t>S notes</t>
  </si>
  <si>
    <t>C attach type</t>
  </si>
  <si>
    <t>C notes</t>
  </si>
  <si>
    <t>S5</t>
  </si>
  <si>
    <t>guy4 attachment</t>
  </si>
  <si>
    <t>guy4 direction</t>
  </si>
  <si>
    <t>guy4 size</t>
  </si>
  <si>
    <t>guy4 length</t>
  </si>
  <si>
    <t>Structure #</t>
  </si>
  <si>
    <t>S Tension Type</t>
  </si>
  <si>
    <t>s notes</t>
  </si>
  <si>
    <t>Span1</t>
  </si>
  <si>
    <t>Span2</t>
  </si>
  <si>
    <t>Clearance Room</t>
  </si>
  <si>
    <t>C clearance</t>
  </si>
  <si>
    <t>S + C exists?</t>
  </si>
  <si>
    <t>Span1 Clearance Room</t>
  </si>
  <si>
    <t>Span2 Clearance Room</t>
  </si>
  <si>
    <t>C clearance -req</t>
  </si>
  <si>
    <t>Clearance Issue?</t>
  </si>
  <si>
    <t>Space to lower C?</t>
  </si>
  <si>
    <t>Recommendation</t>
  </si>
  <si>
    <t>File Path:</t>
  </si>
  <si>
    <t>Scale Image Length:</t>
  </si>
  <si>
    <t>Scale Actual Length:</t>
  </si>
  <si>
    <t>Scale (A/I):</t>
  </si>
  <si>
    <t>Name</t>
  </si>
  <si>
    <t>Column</t>
  </si>
  <si>
    <t>Initial Height:</t>
  </si>
  <si>
    <t>Profile Number:</t>
  </si>
  <si>
    <t>J</t>
  </si>
  <si>
    <t>K</t>
  </si>
  <si>
    <t>O</t>
  </si>
  <si>
    <t>S</t>
  </si>
  <si>
    <t>T</t>
  </si>
  <si>
    <t>U</t>
  </si>
  <si>
    <t>V</t>
  </si>
  <si>
    <t>W</t>
  </si>
  <si>
    <t>R</t>
  </si>
  <si>
    <t>AA</t>
  </si>
  <si>
    <t>AC</t>
  </si>
  <si>
    <t>AE</t>
  </si>
  <si>
    <t>Actual Height</t>
  </si>
  <si>
    <t>Image Height</t>
  </si>
  <si>
    <t>Col Num</t>
  </si>
  <si>
    <t>Required Info</t>
  </si>
  <si>
    <t>guy1 length?</t>
  </si>
  <si>
    <t>guy2 length?</t>
  </si>
  <si>
    <t>guy3 length?</t>
  </si>
  <si>
    <t>guy4 length2</t>
  </si>
  <si>
    <t>C:\Users\KPickthall\Desktop\Screenshot 2024-07-03 090212.png</t>
  </si>
  <si>
    <t>mm</t>
  </si>
  <si>
    <t>mm^4</t>
  </si>
  <si>
    <t>length</t>
  </si>
  <si>
    <t>E</t>
  </si>
  <si>
    <t>N/mm^2</t>
  </si>
  <si>
    <t>Distance [mm]</t>
  </si>
  <si>
    <t xml:space="preserve"> </t>
  </si>
  <si>
    <t>ID</t>
  </si>
  <si>
    <t>E (Green) [N/mm^2]</t>
  </si>
  <si>
    <t>Top Diameter [mm]</t>
  </si>
  <si>
    <t>6' Diameter [mm]</t>
  </si>
  <si>
    <t>Length [ft]</t>
  </si>
  <si>
    <t>Elevation [m]</t>
  </si>
  <si>
    <t>Main Pole</t>
  </si>
  <si>
    <t>Sub Poles</t>
  </si>
  <si>
    <t>Line 1</t>
  </si>
  <si>
    <t>Line 1 Height</t>
  </si>
  <si>
    <t>Line 1 Type</t>
  </si>
  <si>
    <t>Line 1 Force</t>
  </si>
  <si>
    <t>Line 2</t>
  </si>
  <si>
    <t>Line 2 Height</t>
  </si>
  <si>
    <t>Line 2 Type</t>
  </si>
  <si>
    <t>Line 2 Force</t>
  </si>
  <si>
    <t>Line 3</t>
  </si>
  <si>
    <t>Line 3 Height</t>
  </si>
  <si>
    <t>Line 3 Type</t>
  </si>
  <si>
    <t>Line 3 Force</t>
  </si>
  <si>
    <t>Line 4</t>
  </si>
  <si>
    <t>Line 4 Height</t>
  </si>
  <si>
    <t>Line 4 Type</t>
  </si>
  <si>
    <t>Line 4 Force</t>
  </si>
  <si>
    <t>Line 5</t>
  </si>
  <si>
    <t>Line 5 Height</t>
  </si>
  <si>
    <t>Line 5 Type</t>
  </si>
  <si>
    <t>Line 5 Force</t>
  </si>
  <si>
    <t>x</t>
  </si>
  <si>
    <t>y</t>
  </si>
  <si>
    <t>L</t>
  </si>
  <si>
    <t>Line 1 X Force</t>
  </si>
  <si>
    <t>Line 2 X Force</t>
  </si>
  <si>
    <t>Line 3 X Force</t>
  </si>
  <si>
    <t>Line 4 X Force</t>
  </si>
  <si>
    <t>Line 5 X Force</t>
  </si>
  <si>
    <t>Line 1 Y Force</t>
  </si>
  <si>
    <t>Line 2 Y Force</t>
  </si>
  <si>
    <t>Line 3 Y Force</t>
  </si>
  <si>
    <t>Line 4 Y Force</t>
  </si>
  <si>
    <t>Line 5 Y Force</t>
  </si>
  <si>
    <t>I/dx</t>
  </si>
  <si>
    <t>dx</t>
  </si>
  <si>
    <t>n</t>
  </si>
  <si>
    <t>I top [mm^4]</t>
  </si>
  <si>
    <t>I 6' [mm^4]</t>
  </si>
  <si>
    <t>mm^4/n</t>
  </si>
  <si>
    <t>I [mm^4]</t>
  </si>
  <si>
    <t>applied force X [N]</t>
  </si>
  <si>
    <t>applied force Y [N]</t>
  </si>
  <si>
    <t>moment Y [n*mm]</t>
  </si>
  <si>
    <t>moment X [n*mm]</t>
  </si>
  <si>
    <t>shear  X [N]</t>
  </si>
  <si>
    <t>shear  Y [N]</t>
  </si>
  <si>
    <t>rotation Y [mm/mm]</t>
  </si>
  <si>
    <t>rotation X [mm/mm]</t>
  </si>
  <si>
    <t>displacement X [mm]</t>
  </si>
  <si>
    <t>displacement Y [mm]</t>
  </si>
  <si>
    <t>total applied X</t>
  </si>
  <si>
    <t>moment X @ end</t>
  </si>
  <si>
    <t>moment Y @ end</t>
  </si>
  <si>
    <t>shear + moment X @ end</t>
  </si>
  <si>
    <t>shear + moment Y @ end</t>
  </si>
  <si>
    <t>total applied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</si>
</sst>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6"/>
      <color rgb="FF1A73E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/>
    <xf numFmtId="0" fontId="0" fillId="2" borderId="1" xfId="0" applyFill="1" applyBorder="1"/>
    <xf numFmtId="0" fontId="0" fillId="4" borderId="0" xfId="0" applyFill="1"/>
    <xf numFmtId="0" fontId="0" fillId="3" borderId="1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0" fillId="5" borderId="0" xfId="0" applyFill="1" applyAlignment="1">
      <alignment wrapText="1"/>
    </xf>
    <xf numFmtId="0" fontId="0" fillId="0" borderId="3" xfId="0" applyBorder="1"/>
    <xf numFmtId="0" fontId="0" fillId="5" borderId="0" xfId="0" applyFill="1"/>
    <xf numFmtId="0" fontId="0" fillId="3" borderId="7" xfId="0" applyFill="1" applyBorder="1" applyAlignment="1">
      <alignment wrapText="1"/>
    </xf>
    <xf numFmtId="0" fontId="0" fillId="3" borderId="8" xfId="0" applyFill="1" applyBorder="1" applyAlignment="1">
      <alignment horizontal="centerContinuous" wrapText="1"/>
    </xf>
    <xf numFmtId="0" fontId="0" fillId="3" borderId="7" xfId="0" applyFill="1" applyBorder="1" applyAlignment="1">
      <alignment horizontal="centerContinuous" wrapText="1"/>
    </xf>
    <xf numFmtId="0" fontId="0" fillId="5" borderId="3" xfId="0" applyFill="1" applyBorder="1"/>
    <xf numFmtId="0" fontId="0" fillId="3" borderId="5" xfId="0" applyFill="1" applyBorder="1" applyAlignment="1">
      <alignment wrapText="1"/>
    </xf>
    <xf numFmtId="0" fontId="0" fillId="3" borderId="6" xfId="0" applyFill="1" applyBorder="1" applyAlignment="1">
      <alignment wrapText="1"/>
    </xf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FEA!$H$8:$H$870</c:f>
              <c:numCache>
                <c:formatCode>General</c:formatCode>
                <c:ptCount val="863"/>
                <c:pt idx="0">
                  <c:v>790.62641300459075</c:v>
                </c:pt>
                <c:pt idx="1">
                  <c:v>790.62641300459075</c:v>
                </c:pt>
                <c:pt idx="2">
                  <c:v>790.62641300459075</c:v>
                </c:pt>
                <c:pt idx="3">
                  <c:v>790.62641300459075</c:v>
                </c:pt>
                <c:pt idx="4">
                  <c:v>790.62641300459075</c:v>
                </c:pt>
                <c:pt idx="5">
                  <c:v>790.62641300459075</c:v>
                </c:pt>
                <c:pt idx="6">
                  <c:v>790.62641300459075</c:v>
                </c:pt>
                <c:pt idx="7">
                  <c:v>790.62641300459075</c:v>
                </c:pt>
                <c:pt idx="8">
                  <c:v>790.62641300459075</c:v>
                </c:pt>
                <c:pt idx="9">
                  <c:v>790.62641300459075</c:v>
                </c:pt>
                <c:pt idx="10">
                  <c:v>790.62641300459075</c:v>
                </c:pt>
                <c:pt idx="11">
                  <c:v>790.62641300459075</c:v>
                </c:pt>
                <c:pt idx="12">
                  <c:v>790.62641300459075</c:v>
                </c:pt>
                <c:pt idx="13">
                  <c:v>790.62641300459075</c:v>
                </c:pt>
                <c:pt idx="14">
                  <c:v>790.62641300459075</c:v>
                </c:pt>
                <c:pt idx="15">
                  <c:v>790.62641300459075</c:v>
                </c:pt>
                <c:pt idx="16">
                  <c:v>790.62641300459075</c:v>
                </c:pt>
                <c:pt idx="17">
                  <c:v>790.62641300459075</c:v>
                </c:pt>
                <c:pt idx="18">
                  <c:v>790.62641300459075</c:v>
                </c:pt>
                <c:pt idx="19">
                  <c:v>790.62641300459075</c:v>
                </c:pt>
                <c:pt idx="20">
                  <c:v>790.62641300459075</c:v>
                </c:pt>
                <c:pt idx="21">
                  <c:v>790.62641300459075</c:v>
                </c:pt>
                <c:pt idx="22">
                  <c:v>790.62641300459075</c:v>
                </c:pt>
                <c:pt idx="23">
                  <c:v>790.62641300459075</c:v>
                </c:pt>
                <c:pt idx="24">
                  <c:v>790.62641300459075</c:v>
                </c:pt>
                <c:pt idx="25">
                  <c:v>790.62641300459075</c:v>
                </c:pt>
                <c:pt idx="26">
                  <c:v>790.62641300459075</c:v>
                </c:pt>
                <c:pt idx="27">
                  <c:v>790.62641300459075</c:v>
                </c:pt>
                <c:pt idx="28">
                  <c:v>790.62641300459075</c:v>
                </c:pt>
                <c:pt idx="29">
                  <c:v>790.62641300459075</c:v>
                </c:pt>
                <c:pt idx="30">
                  <c:v>790.62641300459075</c:v>
                </c:pt>
                <c:pt idx="31">
                  <c:v>790.62641300459075</c:v>
                </c:pt>
                <c:pt idx="32">
                  <c:v>790.62641300459075</c:v>
                </c:pt>
                <c:pt idx="33">
                  <c:v>790.62641300459075</c:v>
                </c:pt>
                <c:pt idx="34">
                  <c:v>790.62641300459075</c:v>
                </c:pt>
                <c:pt idx="35">
                  <c:v>790.62641300459075</c:v>
                </c:pt>
                <c:pt idx="36">
                  <c:v>790.62641300459075</c:v>
                </c:pt>
                <c:pt idx="37">
                  <c:v>790.62641300459075</c:v>
                </c:pt>
                <c:pt idx="38">
                  <c:v>790.62641300459075</c:v>
                </c:pt>
                <c:pt idx="39">
                  <c:v>790.62641300459075</c:v>
                </c:pt>
                <c:pt idx="40">
                  <c:v>790.62641300459075</c:v>
                </c:pt>
                <c:pt idx="41">
                  <c:v>790.62641300459075</c:v>
                </c:pt>
                <c:pt idx="42">
                  <c:v>790.62641300459075</c:v>
                </c:pt>
                <c:pt idx="43">
                  <c:v>790.62641300459075</c:v>
                </c:pt>
                <c:pt idx="44">
                  <c:v>790.62641300459075</c:v>
                </c:pt>
                <c:pt idx="45">
                  <c:v>790.62641300459075</c:v>
                </c:pt>
                <c:pt idx="46">
                  <c:v>790.62641300459075</c:v>
                </c:pt>
                <c:pt idx="47">
                  <c:v>790.62641300459075</c:v>
                </c:pt>
                <c:pt idx="48">
                  <c:v>790.62641300459075</c:v>
                </c:pt>
                <c:pt idx="49">
                  <c:v>790.62641300459075</c:v>
                </c:pt>
                <c:pt idx="50">
                  <c:v>790.62641300459075</c:v>
                </c:pt>
                <c:pt idx="51">
                  <c:v>790.62641300459075</c:v>
                </c:pt>
                <c:pt idx="52">
                  <c:v>790.62641300459075</c:v>
                </c:pt>
                <c:pt idx="53">
                  <c:v>790.62641300459075</c:v>
                </c:pt>
                <c:pt idx="54">
                  <c:v>790.62641300459075</c:v>
                </c:pt>
                <c:pt idx="55">
                  <c:v>790.62641300459075</c:v>
                </c:pt>
                <c:pt idx="56">
                  <c:v>790.62641300459075</c:v>
                </c:pt>
                <c:pt idx="57">
                  <c:v>790.62641300459075</c:v>
                </c:pt>
                <c:pt idx="58">
                  <c:v>790.62641300459075</c:v>
                </c:pt>
                <c:pt idx="59">
                  <c:v>790.62641300459075</c:v>
                </c:pt>
                <c:pt idx="60">
                  <c:v>790.62641300459075</c:v>
                </c:pt>
                <c:pt idx="61">
                  <c:v>790.62641300459075</c:v>
                </c:pt>
                <c:pt idx="62">
                  <c:v>790.62641300459075</c:v>
                </c:pt>
                <c:pt idx="63">
                  <c:v>790.62641300459075</c:v>
                </c:pt>
                <c:pt idx="64">
                  <c:v>790.62641300459075</c:v>
                </c:pt>
                <c:pt idx="65">
                  <c:v>790.62641300459075</c:v>
                </c:pt>
                <c:pt idx="66">
                  <c:v>790.62641300459075</c:v>
                </c:pt>
                <c:pt idx="67">
                  <c:v>790.62641300459075</c:v>
                </c:pt>
                <c:pt idx="68">
                  <c:v>790.62641300459075</c:v>
                </c:pt>
                <c:pt idx="69">
                  <c:v>790.62641300459075</c:v>
                </c:pt>
                <c:pt idx="70">
                  <c:v>790.62641300459075</c:v>
                </c:pt>
                <c:pt idx="71">
                  <c:v>790.62641300459075</c:v>
                </c:pt>
                <c:pt idx="72">
                  <c:v>790.62641300459075</c:v>
                </c:pt>
                <c:pt idx="73">
                  <c:v>790.62641300459075</c:v>
                </c:pt>
                <c:pt idx="74">
                  <c:v>790.62641300459075</c:v>
                </c:pt>
                <c:pt idx="75">
                  <c:v>790.62641300459075</c:v>
                </c:pt>
                <c:pt idx="76">
                  <c:v>790.62641300459075</c:v>
                </c:pt>
                <c:pt idx="77">
                  <c:v>790.62641300459075</c:v>
                </c:pt>
                <c:pt idx="78">
                  <c:v>790.62641300459075</c:v>
                </c:pt>
                <c:pt idx="79">
                  <c:v>790.62641300459075</c:v>
                </c:pt>
                <c:pt idx="80">
                  <c:v>790.62641300459075</c:v>
                </c:pt>
                <c:pt idx="81">
                  <c:v>790.62641300459075</c:v>
                </c:pt>
                <c:pt idx="82">
                  <c:v>790.62641300459075</c:v>
                </c:pt>
                <c:pt idx="83">
                  <c:v>790.62641300459075</c:v>
                </c:pt>
                <c:pt idx="84">
                  <c:v>790.62641300459075</c:v>
                </c:pt>
                <c:pt idx="85">
                  <c:v>790.62641300459075</c:v>
                </c:pt>
                <c:pt idx="86">
                  <c:v>790.62641300459075</c:v>
                </c:pt>
                <c:pt idx="87">
                  <c:v>790.62641300459075</c:v>
                </c:pt>
                <c:pt idx="88">
                  <c:v>790.62641300459075</c:v>
                </c:pt>
                <c:pt idx="89">
                  <c:v>790.62641300459075</c:v>
                </c:pt>
                <c:pt idx="90">
                  <c:v>790.62641300459075</c:v>
                </c:pt>
                <c:pt idx="91">
                  <c:v>790.62641300459075</c:v>
                </c:pt>
                <c:pt idx="92">
                  <c:v>790.62641300459075</c:v>
                </c:pt>
                <c:pt idx="93">
                  <c:v>790.62641300459075</c:v>
                </c:pt>
                <c:pt idx="94">
                  <c:v>790.62641300459075</c:v>
                </c:pt>
                <c:pt idx="95">
                  <c:v>790.62641300459075</c:v>
                </c:pt>
                <c:pt idx="96">
                  <c:v>790.62641300459075</c:v>
                </c:pt>
                <c:pt idx="97">
                  <c:v>790.62641300459075</c:v>
                </c:pt>
                <c:pt idx="98">
                  <c:v>790.62641300459075</c:v>
                </c:pt>
                <c:pt idx="99">
                  <c:v>790.62641300459075</c:v>
                </c:pt>
                <c:pt idx="100">
                  <c:v>790.62641300459075</c:v>
                </c:pt>
                <c:pt idx="101">
                  <c:v>790.62641300459075</c:v>
                </c:pt>
                <c:pt idx="102">
                  <c:v>790.62641300459075</c:v>
                </c:pt>
                <c:pt idx="103">
                  <c:v>790.62641300459075</c:v>
                </c:pt>
                <c:pt idx="104">
                  <c:v>790.62641300459075</c:v>
                </c:pt>
                <c:pt idx="105">
                  <c:v>790.62641300459075</c:v>
                </c:pt>
                <c:pt idx="106">
                  <c:v>790.62641300459075</c:v>
                </c:pt>
                <c:pt idx="107">
                  <c:v>790.62641300459075</c:v>
                </c:pt>
                <c:pt idx="108">
                  <c:v>790.62641300459075</c:v>
                </c:pt>
                <c:pt idx="109">
                  <c:v>790.62641300459075</c:v>
                </c:pt>
                <c:pt idx="110">
                  <c:v>790.62641300459075</c:v>
                </c:pt>
                <c:pt idx="111">
                  <c:v>790.62641300459075</c:v>
                </c:pt>
                <c:pt idx="112">
                  <c:v>790.62641300459075</c:v>
                </c:pt>
                <c:pt idx="113">
                  <c:v>790.62641300459075</c:v>
                </c:pt>
                <c:pt idx="114">
                  <c:v>616.64560183451579</c:v>
                </c:pt>
                <c:pt idx="115">
                  <c:v>616.64560183451579</c:v>
                </c:pt>
                <c:pt idx="116">
                  <c:v>616.64560183451579</c:v>
                </c:pt>
                <c:pt idx="117">
                  <c:v>616.64560183451579</c:v>
                </c:pt>
                <c:pt idx="118">
                  <c:v>616.64560183451579</c:v>
                </c:pt>
                <c:pt idx="119">
                  <c:v>616.64560183451579</c:v>
                </c:pt>
                <c:pt idx="120">
                  <c:v>616.64560183451579</c:v>
                </c:pt>
                <c:pt idx="121">
                  <c:v>616.64560183451579</c:v>
                </c:pt>
                <c:pt idx="122">
                  <c:v>616.64560183451579</c:v>
                </c:pt>
                <c:pt idx="123">
                  <c:v>616.64560183451579</c:v>
                </c:pt>
                <c:pt idx="124">
                  <c:v>616.64560183451579</c:v>
                </c:pt>
                <c:pt idx="125">
                  <c:v>616.64560183451579</c:v>
                </c:pt>
                <c:pt idx="126">
                  <c:v>442.66479066444083</c:v>
                </c:pt>
                <c:pt idx="127">
                  <c:v>442.66479066444083</c:v>
                </c:pt>
                <c:pt idx="128">
                  <c:v>442.66479066444083</c:v>
                </c:pt>
                <c:pt idx="129">
                  <c:v>442.66479066444083</c:v>
                </c:pt>
                <c:pt idx="130">
                  <c:v>442.66479066444083</c:v>
                </c:pt>
                <c:pt idx="131">
                  <c:v>442.66479066444083</c:v>
                </c:pt>
                <c:pt idx="132">
                  <c:v>442.66479066444083</c:v>
                </c:pt>
                <c:pt idx="133">
                  <c:v>442.66479066444083</c:v>
                </c:pt>
                <c:pt idx="134">
                  <c:v>442.66479066444083</c:v>
                </c:pt>
                <c:pt idx="135">
                  <c:v>442.66479066444083</c:v>
                </c:pt>
                <c:pt idx="136">
                  <c:v>442.66479066444083</c:v>
                </c:pt>
                <c:pt idx="137">
                  <c:v>442.66479066444083</c:v>
                </c:pt>
                <c:pt idx="138">
                  <c:v>442.66479066444083</c:v>
                </c:pt>
                <c:pt idx="139">
                  <c:v>442.66479066444083</c:v>
                </c:pt>
                <c:pt idx="140">
                  <c:v>442.66479066444083</c:v>
                </c:pt>
                <c:pt idx="141">
                  <c:v>442.66479066444083</c:v>
                </c:pt>
                <c:pt idx="142">
                  <c:v>442.66479066444083</c:v>
                </c:pt>
                <c:pt idx="143">
                  <c:v>442.66479066444083</c:v>
                </c:pt>
                <c:pt idx="144">
                  <c:v>442.66479066444083</c:v>
                </c:pt>
                <c:pt idx="145">
                  <c:v>442.66479066444083</c:v>
                </c:pt>
                <c:pt idx="146">
                  <c:v>442.66479066444083</c:v>
                </c:pt>
                <c:pt idx="147">
                  <c:v>442.66479066444083</c:v>
                </c:pt>
                <c:pt idx="148">
                  <c:v>442.66479066444083</c:v>
                </c:pt>
                <c:pt idx="149">
                  <c:v>442.66479066444083</c:v>
                </c:pt>
                <c:pt idx="150">
                  <c:v>442.66479066444083</c:v>
                </c:pt>
                <c:pt idx="151">
                  <c:v>442.66479066444083</c:v>
                </c:pt>
                <c:pt idx="152">
                  <c:v>442.66479066444083</c:v>
                </c:pt>
                <c:pt idx="153">
                  <c:v>442.66479066444083</c:v>
                </c:pt>
                <c:pt idx="154">
                  <c:v>442.66479066444083</c:v>
                </c:pt>
                <c:pt idx="155">
                  <c:v>442.66479066444083</c:v>
                </c:pt>
                <c:pt idx="156">
                  <c:v>268.68397949436587</c:v>
                </c:pt>
                <c:pt idx="157">
                  <c:v>268.68397949436587</c:v>
                </c:pt>
                <c:pt idx="158">
                  <c:v>268.68397949436587</c:v>
                </c:pt>
                <c:pt idx="159">
                  <c:v>268.68397949436587</c:v>
                </c:pt>
                <c:pt idx="160">
                  <c:v>268.68397949436587</c:v>
                </c:pt>
                <c:pt idx="161">
                  <c:v>268.68397949436587</c:v>
                </c:pt>
                <c:pt idx="162">
                  <c:v>268.68397949436587</c:v>
                </c:pt>
                <c:pt idx="163">
                  <c:v>94.703168324290914</c:v>
                </c:pt>
                <c:pt idx="164">
                  <c:v>94.703168324290914</c:v>
                </c:pt>
                <c:pt idx="165">
                  <c:v>94.703168324290914</c:v>
                </c:pt>
                <c:pt idx="166">
                  <c:v>94.703168324290914</c:v>
                </c:pt>
                <c:pt idx="167">
                  <c:v>94.703168324290914</c:v>
                </c:pt>
                <c:pt idx="168">
                  <c:v>94.703168324290914</c:v>
                </c:pt>
                <c:pt idx="169">
                  <c:v>94.703168324290914</c:v>
                </c:pt>
                <c:pt idx="170">
                  <c:v>-79.277642845784044</c:v>
                </c:pt>
                <c:pt idx="171">
                  <c:v>-79.277642845784044</c:v>
                </c:pt>
                <c:pt idx="172">
                  <c:v>-79.277642845784044</c:v>
                </c:pt>
                <c:pt idx="173">
                  <c:v>-79.277642845784044</c:v>
                </c:pt>
                <c:pt idx="174">
                  <c:v>-79.277642845784044</c:v>
                </c:pt>
                <c:pt idx="175">
                  <c:v>-79.277642845784044</c:v>
                </c:pt>
                <c:pt idx="176">
                  <c:v>-79.277642845784044</c:v>
                </c:pt>
                <c:pt idx="177">
                  <c:v>-79.277642845784044</c:v>
                </c:pt>
                <c:pt idx="178">
                  <c:v>-79.277642845784044</c:v>
                </c:pt>
                <c:pt idx="179">
                  <c:v>-79.277642845784044</c:v>
                </c:pt>
                <c:pt idx="180">
                  <c:v>-79.277642845784044</c:v>
                </c:pt>
                <c:pt idx="181">
                  <c:v>-79.277642845784044</c:v>
                </c:pt>
                <c:pt idx="182">
                  <c:v>-79.277642845784044</c:v>
                </c:pt>
                <c:pt idx="183">
                  <c:v>-79.277642845784044</c:v>
                </c:pt>
                <c:pt idx="184">
                  <c:v>-79.277642845784044</c:v>
                </c:pt>
                <c:pt idx="185">
                  <c:v>-79.277642845784044</c:v>
                </c:pt>
                <c:pt idx="186">
                  <c:v>-79.277642845784044</c:v>
                </c:pt>
                <c:pt idx="187">
                  <c:v>-79.277642845784044</c:v>
                </c:pt>
                <c:pt idx="188">
                  <c:v>-79.277642845784044</c:v>
                </c:pt>
                <c:pt idx="189">
                  <c:v>-79.277642845784044</c:v>
                </c:pt>
                <c:pt idx="190">
                  <c:v>-79.277642845784044</c:v>
                </c:pt>
                <c:pt idx="191">
                  <c:v>-79.277642845784044</c:v>
                </c:pt>
                <c:pt idx="192">
                  <c:v>-79.277642845784044</c:v>
                </c:pt>
                <c:pt idx="193">
                  <c:v>-79.277642845784044</c:v>
                </c:pt>
                <c:pt idx="194">
                  <c:v>-79.277642845784044</c:v>
                </c:pt>
                <c:pt idx="195">
                  <c:v>-79.277642845784044</c:v>
                </c:pt>
                <c:pt idx="196">
                  <c:v>-79.277642845784044</c:v>
                </c:pt>
                <c:pt idx="197">
                  <c:v>-79.277642845784044</c:v>
                </c:pt>
                <c:pt idx="198">
                  <c:v>-79.277642845784044</c:v>
                </c:pt>
                <c:pt idx="199">
                  <c:v>-79.277642845784044</c:v>
                </c:pt>
                <c:pt idx="200">
                  <c:v>-79.277642845784044</c:v>
                </c:pt>
                <c:pt idx="201">
                  <c:v>-79.277642845784044</c:v>
                </c:pt>
                <c:pt idx="202">
                  <c:v>-79.277642845784044</c:v>
                </c:pt>
                <c:pt idx="203">
                  <c:v>-79.277642845784044</c:v>
                </c:pt>
                <c:pt idx="204">
                  <c:v>-79.277642845784044</c:v>
                </c:pt>
                <c:pt idx="205">
                  <c:v>-79.277642845784044</c:v>
                </c:pt>
                <c:pt idx="206">
                  <c:v>-79.277642845784044</c:v>
                </c:pt>
                <c:pt idx="207">
                  <c:v>-79.277642845784044</c:v>
                </c:pt>
                <c:pt idx="208">
                  <c:v>-79.277642845784044</c:v>
                </c:pt>
                <c:pt idx="209">
                  <c:v>-79.277642845784044</c:v>
                </c:pt>
                <c:pt idx="210">
                  <c:v>-79.277642845784044</c:v>
                </c:pt>
                <c:pt idx="211">
                  <c:v>-79.277642845784044</c:v>
                </c:pt>
                <c:pt idx="212">
                  <c:v>-79.277642845784044</c:v>
                </c:pt>
                <c:pt idx="213">
                  <c:v>-79.277642845784044</c:v>
                </c:pt>
                <c:pt idx="214">
                  <c:v>-79.277642845784044</c:v>
                </c:pt>
                <c:pt idx="215">
                  <c:v>-79.277642845784044</c:v>
                </c:pt>
                <c:pt idx="216">
                  <c:v>-79.277642845784044</c:v>
                </c:pt>
                <c:pt idx="217">
                  <c:v>-79.277642845784044</c:v>
                </c:pt>
                <c:pt idx="218">
                  <c:v>-79.277642845784044</c:v>
                </c:pt>
                <c:pt idx="219">
                  <c:v>-79.277642845784044</c:v>
                </c:pt>
                <c:pt idx="220">
                  <c:v>-79.277642845784044</c:v>
                </c:pt>
                <c:pt idx="221">
                  <c:v>-79.277642845784044</c:v>
                </c:pt>
                <c:pt idx="222">
                  <c:v>-79.277642845784044</c:v>
                </c:pt>
                <c:pt idx="223">
                  <c:v>-79.277642845784044</c:v>
                </c:pt>
                <c:pt idx="224">
                  <c:v>-79.277642845784044</c:v>
                </c:pt>
                <c:pt idx="225">
                  <c:v>-79.277642845784044</c:v>
                </c:pt>
                <c:pt idx="226">
                  <c:v>-79.277642845784044</c:v>
                </c:pt>
                <c:pt idx="227">
                  <c:v>-79.277642845784044</c:v>
                </c:pt>
                <c:pt idx="228">
                  <c:v>-79.277642845784044</c:v>
                </c:pt>
                <c:pt idx="229">
                  <c:v>-79.277642845784044</c:v>
                </c:pt>
                <c:pt idx="230">
                  <c:v>-79.277642845784044</c:v>
                </c:pt>
                <c:pt idx="231">
                  <c:v>-79.277642845784044</c:v>
                </c:pt>
                <c:pt idx="232">
                  <c:v>-79.277642845784044</c:v>
                </c:pt>
                <c:pt idx="233">
                  <c:v>-79.277642845784044</c:v>
                </c:pt>
                <c:pt idx="234">
                  <c:v>-79.277642845784044</c:v>
                </c:pt>
                <c:pt idx="235">
                  <c:v>-79.277642845784044</c:v>
                </c:pt>
                <c:pt idx="236">
                  <c:v>-79.277642845784044</c:v>
                </c:pt>
                <c:pt idx="237">
                  <c:v>-79.277642845784044</c:v>
                </c:pt>
                <c:pt idx="238">
                  <c:v>-79.277642845784044</c:v>
                </c:pt>
                <c:pt idx="239">
                  <c:v>-79.277642845784044</c:v>
                </c:pt>
                <c:pt idx="240">
                  <c:v>-79.277642845784044</c:v>
                </c:pt>
                <c:pt idx="241">
                  <c:v>-79.277642845784044</c:v>
                </c:pt>
                <c:pt idx="242">
                  <c:v>-79.277642845784044</c:v>
                </c:pt>
                <c:pt idx="243">
                  <c:v>-79.277642845784044</c:v>
                </c:pt>
                <c:pt idx="244">
                  <c:v>-79.277642845784044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57-4E0B-998E-E5825A260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FEA!$F$8:$F$870</c:f>
              <c:numCache>
                <c:formatCode>General</c:formatCode>
                <c:ptCount val="863"/>
                <c:pt idx="0">
                  <c:v>5334882.0037804376</c:v>
                </c:pt>
                <c:pt idx="1">
                  <c:v>5295350.6831302084</c:v>
                </c:pt>
                <c:pt idx="2">
                  <c:v>5255819.3624799792</c:v>
                </c:pt>
                <c:pt idx="3">
                  <c:v>5216288.0418297499</c:v>
                </c:pt>
                <c:pt idx="4">
                  <c:v>5176756.7211795207</c:v>
                </c:pt>
                <c:pt idx="5">
                  <c:v>5137225.4005292915</c:v>
                </c:pt>
                <c:pt idx="6">
                  <c:v>5097694.0798790623</c:v>
                </c:pt>
                <c:pt idx="7">
                  <c:v>5058162.759228833</c:v>
                </c:pt>
                <c:pt idx="8">
                  <c:v>5018631.4385786038</c:v>
                </c:pt>
                <c:pt idx="9">
                  <c:v>4979100.1179283746</c:v>
                </c:pt>
                <c:pt idx="10">
                  <c:v>4939568.7972781453</c:v>
                </c:pt>
                <c:pt idx="11">
                  <c:v>4900037.4766279161</c:v>
                </c:pt>
                <c:pt idx="12">
                  <c:v>4860506.1559776869</c:v>
                </c:pt>
                <c:pt idx="13">
                  <c:v>4820974.8353274576</c:v>
                </c:pt>
                <c:pt idx="14">
                  <c:v>4781443.5146772284</c:v>
                </c:pt>
                <c:pt idx="15">
                  <c:v>4741912.1940269992</c:v>
                </c:pt>
                <c:pt idx="16">
                  <c:v>4702380.8733767699</c:v>
                </c:pt>
                <c:pt idx="17">
                  <c:v>4662849.5527265407</c:v>
                </c:pt>
                <c:pt idx="18">
                  <c:v>4623318.2320763115</c:v>
                </c:pt>
                <c:pt idx="19">
                  <c:v>4583786.9114260823</c:v>
                </c:pt>
                <c:pt idx="20">
                  <c:v>4544255.590775853</c:v>
                </c:pt>
                <c:pt idx="21">
                  <c:v>4504724.2701256238</c:v>
                </c:pt>
                <c:pt idx="22">
                  <c:v>4465192.9494753946</c:v>
                </c:pt>
                <c:pt idx="23">
                  <c:v>4425661.6288251653</c:v>
                </c:pt>
                <c:pt idx="24">
                  <c:v>4386130.3081749361</c:v>
                </c:pt>
                <c:pt idx="25">
                  <c:v>4346598.9875247069</c:v>
                </c:pt>
                <c:pt idx="26">
                  <c:v>4307067.6668744776</c:v>
                </c:pt>
                <c:pt idx="27">
                  <c:v>4267536.3462242484</c:v>
                </c:pt>
                <c:pt idx="28">
                  <c:v>4228005.0255740192</c:v>
                </c:pt>
                <c:pt idx="29">
                  <c:v>4188473.7049237895</c:v>
                </c:pt>
                <c:pt idx="30">
                  <c:v>4148942.3842735598</c:v>
                </c:pt>
                <c:pt idx="31">
                  <c:v>4109411.0636233301</c:v>
                </c:pt>
                <c:pt idx="32">
                  <c:v>4069879.7429731004</c:v>
                </c:pt>
                <c:pt idx="33">
                  <c:v>4030348.4223228707</c:v>
                </c:pt>
                <c:pt idx="34">
                  <c:v>3990817.101672641</c:v>
                </c:pt>
                <c:pt idx="35">
                  <c:v>3951285.7810224113</c:v>
                </c:pt>
                <c:pt idx="36">
                  <c:v>3911754.4603721816</c:v>
                </c:pt>
                <c:pt idx="37">
                  <c:v>3872223.1397219519</c:v>
                </c:pt>
                <c:pt idx="38">
                  <c:v>3832691.8190717222</c:v>
                </c:pt>
                <c:pt idx="39">
                  <c:v>3793160.4984214925</c:v>
                </c:pt>
                <c:pt idx="40">
                  <c:v>3753629.1777712628</c:v>
                </c:pt>
                <c:pt idx="41">
                  <c:v>3714097.8571210331</c:v>
                </c:pt>
                <c:pt idx="42">
                  <c:v>3674566.5364708034</c:v>
                </c:pt>
                <c:pt idx="43">
                  <c:v>3635035.2158205737</c:v>
                </c:pt>
                <c:pt idx="44">
                  <c:v>3595503.895170344</c:v>
                </c:pt>
                <c:pt idx="45">
                  <c:v>3555972.5745201143</c:v>
                </c:pt>
                <c:pt idx="46">
                  <c:v>3516441.2538698846</c:v>
                </c:pt>
                <c:pt idx="47">
                  <c:v>3476909.933219655</c:v>
                </c:pt>
                <c:pt idx="48">
                  <c:v>3437378.6125694253</c:v>
                </c:pt>
                <c:pt idx="49">
                  <c:v>3397847.2919191956</c:v>
                </c:pt>
                <c:pt idx="50">
                  <c:v>3358315.9712689659</c:v>
                </c:pt>
                <c:pt idx="51">
                  <c:v>3318784.6506187362</c:v>
                </c:pt>
                <c:pt idx="52">
                  <c:v>3279253.3299685065</c:v>
                </c:pt>
                <c:pt idx="53">
                  <c:v>3239722.0093182768</c:v>
                </c:pt>
                <c:pt idx="54">
                  <c:v>3200190.6886680471</c:v>
                </c:pt>
                <c:pt idx="55">
                  <c:v>3160659.3680178174</c:v>
                </c:pt>
                <c:pt idx="56">
                  <c:v>3121128.0473675877</c:v>
                </c:pt>
                <c:pt idx="57">
                  <c:v>3081596.726717358</c:v>
                </c:pt>
                <c:pt idx="58">
                  <c:v>3042065.4060671283</c:v>
                </c:pt>
                <c:pt idx="59">
                  <c:v>3002534.0854168986</c:v>
                </c:pt>
                <c:pt idx="60">
                  <c:v>2963002.7647666689</c:v>
                </c:pt>
                <c:pt idx="61">
                  <c:v>2923471.4441164392</c:v>
                </c:pt>
                <c:pt idx="62">
                  <c:v>2883940.1234662095</c:v>
                </c:pt>
                <c:pt idx="63">
                  <c:v>2844408.8028159798</c:v>
                </c:pt>
                <c:pt idx="64">
                  <c:v>2804877.4821657501</c:v>
                </c:pt>
                <c:pt idx="65">
                  <c:v>2765346.1615155204</c:v>
                </c:pt>
                <c:pt idx="66">
                  <c:v>2725814.8408652907</c:v>
                </c:pt>
                <c:pt idx="67">
                  <c:v>2686283.520215061</c:v>
                </c:pt>
                <c:pt idx="68">
                  <c:v>2646752.1995648313</c:v>
                </c:pt>
                <c:pt idx="69">
                  <c:v>2607220.8789146016</c:v>
                </c:pt>
                <c:pt idx="70">
                  <c:v>2567689.5582643719</c:v>
                </c:pt>
                <c:pt idx="71">
                  <c:v>2528158.2376141422</c:v>
                </c:pt>
                <c:pt idx="72">
                  <c:v>2488626.9169639125</c:v>
                </c:pt>
                <c:pt idx="73">
                  <c:v>2449095.5963136829</c:v>
                </c:pt>
                <c:pt idx="74">
                  <c:v>2409564.2756634532</c:v>
                </c:pt>
                <c:pt idx="75">
                  <c:v>2370032.9550132235</c:v>
                </c:pt>
                <c:pt idx="76">
                  <c:v>2330501.6343629938</c:v>
                </c:pt>
                <c:pt idx="77">
                  <c:v>2290970.3137127641</c:v>
                </c:pt>
                <c:pt idx="78">
                  <c:v>2251438.9930625344</c:v>
                </c:pt>
                <c:pt idx="79">
                  <c:v>2211907.6724123047</c:v>
                </c:pt>
                <c:pt idx="80">
                  <c:v>2172376.351762075</c:v>
                </c:pt>
                <c:pt idx="81">
                  <c:v>2132845.0311118453</c:v>
                </c:pt>
                <c:pt idx="82">
                  <c:v>2093313.7104616158</c:v>
                </c:pt>
                <c:pt idx="83">
                  <c:v>2053782.3898113864</c:v>
                </c:pt>
                <c:pt idx="84">
                  <c:v>2014251.0691611569</c:v>
                </c:pt>
                <c:pt idx="85">
                  <c:v>1974719.7485109274</c:v>
                </c:pt>
                <c:pt idx="86">
                  <c:v>1935188.427860698</c:v>
                </c:pt>
                <c:pt idx="87">
                  <c:v>1895657.1072104685</c:v>
                </c:pt>
                <c:pt idx="88">
                  <c:v>1856125.786560239</c:v>
                </c:pt>
                <c:pt idx="89">
                  <c:v>1816594.4659100096</c:v>
                </c:pt>
                <c:pt idx="90">
                  <c:v>1777063.1452597801</c:v>
                </c:pt>
                <c:pt idx="91">
                  <c:v>1737531.8246095506</c:v>
                </c:pt>
                <c:pt idx="92">
                  <c:v>1698000.5039593212</c:v>
                </c:pt>
                <c:pt idx="93">
                  <c:v>1658469.1833090917</c:v>
                </c:pt>
                <c:pt idx="94">
                  <c:v>1618937.8626588623</c:v>
                </c:pt>
                <c:pt idx="95">
                  <c:v>1579406.5420086328</c:v>
                </c:pt>
                <c:pt idx="96">
                  <c:v>1539875.2213584033</c:v>
                </c:pt>
                <c:pt idx="97">
                  <c:v>1500343.9007081739</c:v>
                </c:pt>
                <c:pt idx="98">
                  <c:v>1460812.5800579444</c:v>
                </c:pt>
                <c:pt idx="99">
                  <c:v>1421281.2594077149</c:v>
                </c:pt>
                <c:pt idx="100">
                  <c:v>1381749.9387574855</c:v>
                </c:pt>
                <c:pt idx="101">
                  <c:v>1342218.618107256</c:v>
                </c:pt>
                <c:pt idx="102">
                  <c:v>1302687.2974570266</c:v>
                </c:pt>
                <c:pt idx="103">
                  <c:v>1263155.9768067971</c:v>
                </c:pt>
                <c:pt idx="104">
                  <c:v>1223624.6561565676</c:v>
                </c:pt>
                <c:pt idx="105">
                  <c:v>1184093.3355063382</c:v>
                </c:pt>
                <c:pt idx="106">
                  <c:v>1144562.0148561087</c:v>
                </c:pt>
                <c:pt idx="107">
                  <c:v>1105030.6942058792</c:v>
                </c:pt>
                <c:pt idx="108">
                  <c:v>1065499.3735556498</c:v>
                </c:pt>
                <c:pt idx="109">
                  <c:v>1025968.0529054202</c:v>
                </c:pt>
                <c:pt idx="110">
                  <c:v>986436.73225519061</c:v>
                </c:pt>
                <c:pt idx="111">
                  <c:v>946905.41160496103</c:v>
                </c:pt>
                <c:pt idx="112">
                  <c:v>907374.09095473145</c:v>
                </c:pt>
                <c:pt idx="113">
                  <c:v>867842.77030450187</c:v>
                </c:pt>
                <c:pt idx="114">
                  <c:v>837010.49021277612</c:v>
                </c:pt>
                <c:pt idx="115">
                  <c:v>806178.21012105036</c:v>
                </c:pt>
                <c:pt idx="116">
                  <c:v>775345.93002932461</c:v>
                </c:pt>
                <c:pt idx="117">
                  <c:v>744513.64993759885</c:v>
                </c:pt>
                <c:pt idx="118">
                  <c:v>713681.36984587309</c:v>
                </c:pt>
                <c:pt idx="119">
                  <c:v>682849.08975414734</c:v>
                </c:pt>
                <c:pt idx="120">
                  <c:v>652016.80966242158</c:v>
                </c:pt>
                <c:pt idx="121">
                  <c:v>621184.52957069583</c:v>
                </c:pt>
                <c:pt idx="122">
                  <c:v>590352.24947897007</c:v>
                </c:pt>
                <c:pt idx="123">
                  <c:v>559519.96938724432</c:v>
                </c:pt>
                <c:pt idx="124">
                  <c:v>528687.68929551856</c:v>
                </c:pt>
                <c:pt idx="125">
                  <c:v>497855.40920379275</c:v>
                </c:pt>
                <c:pt idx="126">
                  <c:v>475722.1696705707</c:v>
                </c:pt>
                <c:pt idx="127">
                  <c:v>453588.93013734865</c:v>
                </c:pt>
                <c:pt idx="128">
                  <c:v>431455.6906041266</c:v>
                </c:pt>
                <c:pt idx="129">
                  <c:v>409322.45107090456</c:v>
                </c:pt>
                <c:pt idx="130">
                  <c:v>387189.21153768251</c:v>
                </c:pt>
                <c:pt idx="131">
                  <c:v>365055.97200446046</c:v>
                </c:pt>
                <c:pt idx="132">
                  <c:v>342922.73247123841</c:v>
                </c:pt>
                <c:pt idx="133">
                  <c:v>320789.49293801637</c:v>
                </c:pt>
                <c:pt idx="134">
                  <c:v>298656.25340479432</c:v>
                </c:pt>
                <c:pt idx="135">
                  <c:v>276523.01387157227</c:v>
                </c:pt>
                <c:pt idx="136">
                  <c:v>254389.77433835022</c:v>
                </c:pt>
                <c:pt idx="137">
                  <c:v>232256.53480512818</c:v>
                </c:pt>
                <c:pt idx="138">
                  <c:v>210123.29527190613</c:v>
                </c:pt>
                <c:pt idx="139">
                  <c:v>187990.05573868408</c:v>
                </c:pt>
                <c:pt idx="140">
                  <c:v>165856.81620546203</c:v>
                </c:pt>
                <c:pt idx="141">
                  <c:v>143723.57667223999</c:v>
                </c:pt>
                <c:pt idx="142">
                  <c:v>121590.33713901794</c:v>
                </c:pt>
                <c:pt idx="143">
                  <c:v>99457.097605795891</c:v>
                </c:pt>
                <c:pt idx="144">
                  <c:v>77323.858072573843</c:v>
                </c:pt>
                <c:pt idx="145">
                  <c:v>55190.618539351803</c:v>
                </c:pt>
                <c:pt idx="146">
                  <c:v>33057.379006129762</c:v>
                </c:pt>
                <c:pt idx="147">
                  <c:v>10924.139472907722</c:v>
                </c:pt>
                <c:pt idx="148">
                  <c:v>-11209.100060314318</c:v>
                </c:pt>
                <c:pt idx="149">
                  <c:v>-33342.339593536359</c:v>
                </c:pt>
                <c:pt idx="150">
                  <c:v>-55475.579126758399</c:v>
                </c:pt>
                <c:pt idx="151">
                  <c:v>-77608.818659980432</c:v>
                </c:pt>
                <c:pt idx="152">
                  <c:v>-99742.05819320248</c:v>
                </c:pt>
                <c:pt idx="153">
                  <c:v>-121875.29772642453</c:v>
                </c:pt>
                <c:pt idx="154">
                  <c:v>-144008.53725964657</c:v>
                </c:pt>
                <c:pt idx="155">
                  <c:v>-166141.77679286862</c:v>
                </c:pt>
                <c:pt idx="156">
                  <c:v>-179575.9757675869</c:v>
                </c:pt>
                <c:pt idx="157">
                  <c:v>-193010.17474230519</c:v>
                </c:pt>
                <c:pt idx="158">
                  <c:v>-206444.37371702347</c:v>
                </c:pt>
                <c:pt idx="159">
                  <c:v>-219878.57269174175</c:v>
                </c:pt>
                <c:pt idx="160">
                  <c:v>-233312.77166646003</c:v>
                </c:pt>
                <c:pt idx="161">
                  <c:v>-246746.97064117831</c:v>
                </c:pt>
                <c:pt idx="162">
                  <c:v>-260181.16961589659</c:v>
                </c:pt>
                <c:pt idx="163">
                  <c:v>-264916.32803211117</c:v>
                </c:pt>
                <c:pt idx="164">
                  <c:v>-269651.48644832574</c:v>
                </c:pt>
                <c:pt idx="165">
                  <c:v>-274386.64486454031</c:v>
                </c:pt>
                <c:pt idx="166">
                  <c:v>-279121.80328075489</c:v>
                </c:pt>
                <c:pt idx="167">
                  <c:v>-283856.96169696946</c:v>
                </c:pt>
                <c:pt idx="168">
                  <c:v>-288592.12011318404</c:v>
                </c:pt>
                <c:pt idx="169">
                  <c:v>-293327.27852939861</c:v>
                </c:pt>
                <c:pt idx="170">
                  <c:v>-289363.39638710942</c:v>
                </c:pt>
                <c:pt idx="171">
                  <c:v>-285399.51424482022</c:v>
                </c:pt>
                <c:pt idx="172">
                  <c:v>-281435.63210253103</c:v>
                </c:pt>
                <c:pt idx="173">
                  <c:v>-277471.74996024184</c:v>
                </c:pt>
                <c:pt idx="174">
                  <c:v>-273507.86781795265</c:v>
                </c:pt>
                <c:pt idx="175">
                  <c:v>-269543.98567566345</c:v>
                </c:pt>
                <c:pt idx="176">
                  <c:v>-265580.10353337426</c:v>
                </c:pt>
                <c:pt idx="177">
                  <c:v>-261616.22139108507</c:v>
                </c:pt>
                <c:pt idx="178">
                  <c:v>-257652.33924879588</c:v>
                </c:pt>
                <c:pt idx="179">
                  <c:v>-253688.45710650668</c:v>
                </c:pt>
                <c:pt idx="180">
                  <c:v>-249724.57496421749</c:v>
                </c:pt>
                <c:pt idx="181">
                  <c:v>-245760.6928219283</c:v>
                </c:pt>
                <c:pt idx="182">
                  <c:v>-241796.81067963911</c:v>
                </c:pt>
                <c:pt idx="183">
                  <c:v>-237832.92853734992</c:v>
                </c:pt>
                <c:pt idx="184">
                  <c:v>-233869.04639506072</c:v>
                </c:pt>
                <c:pt idx="185">
                  <c:v>-229905.16425277153</c:v>
                </c:pt>
                <c:pt idx="186">
                  <c:v>-225941.28211048234</c:v>
                </c:pt>
                <c:pt idx="187">
                  <c:v>-221977.39996819315</c:v>
                </c:pt>
                <c:pt idx="188">
                  <c:v>-218013.51782590395</c:v>
                </c:pt>
                <c:pt idx="189">
                  <c:v>-214049.63568361476</c:v>
                </c:pt>
                <c:pt idx="190">
                  <c:v>-210085.75354132557</c:v>
                </c:pt>
                <c:pt idx="191">
                  <c:v>-206121.87139903638</c:v>
                </c:pt>
                <c:pt idx="192">
                  <c:v>-202157.98925674718</c:v>
                </c:pt>
                <c:pt idx="193">
                  <c:v>-198194.10711445799</c:v>
                </c:pt>
                <c:pt idx="194">
                  <c:v>-194230.2249721688</c:v>
                </c:pt>
                <c:pt idx="195">
                  <c:v>-190266.34282987961</c:v>
                </c:pt>
                <c:pt idx="196">
                  <c:v>-186302.46068759041</c:v>
                </c:pt>
                <c:pt idx="197">
                  <c:v>-182338.57854530122</c:v>
                </c:pt>
                <c:pt idx="198">
                  <c:v>-178374.69640301203</c:v>
                </c:pt>
                <c:pt idx="199">
                  <c:v>-174410.81426072284</c:v>
                </c:pt>
                <c:pt idx="200">
                  <c:v>-170446.93211843364</c:v>
                </c:pt>
                <c:pt idx="201">
                  <c:v>-166483.04997614445</c:v>
                </c:pt>
                <c:pt idx="202">
                  <c:v>-162519.16783385526</c:v>
                </c:pt>
                <c:pt idx="203">
                  <c:v>-158555.28569156607</c:v>
                </c:pt>
                <c:pt idx="204">
                  <c:v>-154591.40354927687</c:v>
                </c:pt>
                <c:pt idx="205">
                  <c:v>-150627.52140698768</c:v>
                </c:pt>
                <c:pt idx="206">
                  <c:v>-146663.63926469849</c:v>
                </c:pt>
                <c:pt idx="207">
                  <c:v>-142699.7571224093</c:v>
                </c:pt>
                <c:pt idx="208">
                  <c:v>-138735.8749801201</c:v>
                </c:pt>
                <c:pt idx="209">
                  <c:v>-134771.99283783091</c:v>
                </c:pt>
                <c:pt idx="210">
                  <c:v>-130808.11069554171</c:v>
                </c:pt>
                <c:pt idx="211">
                  <c:v>-126844.2285532525</c:v>
                </c:pt>
                <c:pt idx="212">
                  <c:v>-122880.34641096329</c:v>
                </c:pt>
                <c:pt idx="213">
                  <c:v>-118916.46426867408</c:v>
                </c:pt>
                <c:pt idx="214">
                  <c:v>-114952.58212638488</c:v>
                </c:pt>
                <c:pt idx="215">
                  <c:v>-110988.69998409567</c:v>
                </c:pt>
                <c:pt idx="216">
                  <c:v>-107024.81784180646</c:v>
                </c:pt>
                <c:pt idx="217">
                  <c:v>-103060.93569951726</c:v>
                </c:pt>
                <c:pt idx="218">
                  <c:v>-99097.05355722805</c:v>
                </c:pt>
                <c:pt idx="219">
                  <c:v>-95133.171414938843</c:v>
                </c:pt>
                <c:pt idx="220">
                  <c:v>-91169.289272649636</c:v>
                </c:pt>
                <c:pt idx="221">
                  <c:v>-87205.407130360429</c:v>
                </c:pt>
                <c:pt idx="222">
                  <c:v>-83241.524988071222</c:v>
                </c:pt>
                <c:pt idx="223">
                  <c:v>-79277.642845782015</c:v>
                </c:pt>
                <c:pt idx="224">
                  <c:v>-75313.760703492808</c:v>
                </c:pt>
                <c:pt idx="225">
                  <c:v>-71349.878561203601</c:v>
                </c:pt>
                <c:pt idx="226">
                  <c:v>-67385.996418914394</c:v>
                </c:pt>
                <c:pt idx="227">
                  <c:v>-63422.114276625194</c:v>
                </c:pt>
                <c:pt idx="228">
                  <c:v>-59458.232134335994</c:v>
                </c:pt>
                <c:pt idx="229">
                  <c:v>-55494.349992046795</c:v>
                </c:pt>
                <c:pt idx="230">
                  <c:v>-51530.467849757595</c:v>
                </c:pt>
                <c:pt idx="231">
                  <c:v>-47566.585707468395</c:v>
                </c:pt>
                <c:pt idx="232">
                  <c:v>-43602.703565179196</c:v>
                </c:pt>
                <c:pt idx="233">
                  <c:v>-39638.821422889996</c:v>
                </c:pt>
                <c:pt idx="234">
                  <c:v>-35674.939280600796</c:v>
                </c:pt>
                <c:pt idx="235">
                  <c:v>-31711.057138311593</c:v>
                </c:pt>
                <c:pt idx="236">
                  <c:v>-27747.17499602239</c:v>
                </c:pt>
                <c:pt idx="237">
                  <c:v>-23783.292853733186</c:v>
                </c:pt>
                <c:pt idx="238">
                  <c:v>-19819.410711443983</c:v>
                </c:pt>
                <c:pt idx="239">
                  <c:v>-15855.52856915478</c:v>
                </c:pt>
                <c:pt idx="240">
                  <c:v>-11891.646426865576</c:v>
                </c:pt>
                <c:pt idx="241">
                  <c:v>-7927.7642845763739</c:v>
                </c:pt>
                <c:pt idx="242">
                  <c:v>-3963.8821422871715</c:v>
                </c:pt>
                <c:pt idx="243">
                  <c:v>2.0309016690589488E-9</c:v>
                </c:pt>
                <c:pt idx="244">
                  <c:v>3963.8821422912333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6-4114-B7C2-05162E3E1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FEA!$B$7</c:f>
              <c:strCache>
                <c:ptCount val="1"/>
                <c:pt idx="0">
                  <c:v>displacement X [mm]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FEA!$B$8:$B$870</c:f>
              <c:numCache>
                <c:formatCode>General</c:formatCode>
                <c:ptCount val="863"/>
                <c:pt idx="0">
                  <c:v>0</c:v>
                </c:pt>
                <c:pt idx="1">
                  <c:v>3.4160700869627883E-3</c:v>
                </c:pt>
                <c:pt idx="2">
                  <c:v>1.0222708312093624E-2</c:v>
                </c:pt>
                <c:pt idx="3">
                  <c:v>2.0394412726597769E-2</c:v>
                </c:pt>
                <c:pt idx="4">
                  <c:v>3.3905681381680479E-2</c:v>
                </c:pt>
                <c:pt idx="5">
                  <c:v>5.0731012328547015E-2</c:v>
                </c:pt>
                <c:pt idx="6">
                  <c:v>7.0844903618402635E-2</c:v>
                </c:pt>
                <c:pt idx="7">
                  <c:v>9.4221853302452599E-2</c:v>
                </c:pt>
                <c:pt idx="8">
                  <c:v>0.12083635943190216</c:v>
                </c:pt>
                <c:pt idx="9">
                  <c:v>0.15066292005795659</c:v>
                </c:pt>
                <c:pt idx="10">
                  <c:v>0.18367603323182113</c:v>
                </c:pt>
                <c:pt idx="11">
                  <c:v>0.21985019700470107</c:v>
                </c:pt>
                <c:pt idx="12">
                  <c:v>0.25915990942780165</c:v>
                </c:pt>
                <c:pt idx="13">
                  <c:v>0.3015796685523281</c:v>
                </c:pt>
                <c:pt idx="14">
                  <c:v>0.34708397242948574</c:v>
                </c:pt>
                <c:pt idx="15">
                  <c:v>0.39564731911047979</c:v>
                </c:pt>
                <c:pt idx="16">
                  <c:v>0.44724420664651554</c:v>
                </c:pt>
                <c:pt idx="17">
                  <c:v>0.50184913308879819</c:v>
                </c:pt>
                <c:pt idx="18">
                  <c:v>0.55943659648853306</c:v>
                </c:pt>
                <c:pt idx="19">
                  <c:v>0.61998109489692532</c:v>
                </c:pt>
                <c:pt idx="20">
                  <c:v>0.6834571263651803</c:v>
                </c:pt>
                <c:pt idx="21">
                  <c:v>0.7498391889445033</c:v>
                </c:pt>
                <c:pt idx="22">
                  <c:v>0.81910178068609951</c:v>
                </c:pt>
                <c:pt idx="23">
                  <c:v>0.89121939964117425</c:v>
                </c:pt>
                <c:pt idx="24">
                  <c:v>0.9661665438609327</c:v>
                </c:pt>
                <c:pt idx="25">
                  <c:v>1.0439177113965801</c:v>
                </c:pt>
                <c:pt idx="26">
                  <c:v>1.1244474002993219</c:v>
                </c:pt>
                <c:pt idx="27">
                  <c:v>1.2077301086203631</c:v>
                </c:pt>
                <c:pt idx="28">
                  <c:v>1.2937403344109091</c:v>
                </c:pt>
                <c:pt idx="29">
                  <c:v>1.3824525757221651</c:v>
                </c:pt>
                <c:pt idx="30">
                  <c:v>1.4738413306053364</c:v>
                </c:pt>
                <c:pt idx="31">
                  <c:v>1.5678810971116284</c:v>
                </c:pt>
                <c:pt idx="32">
                  <c:v>1.6645463732922461</c:v>
                </c:pt>
                <c:pt idx="33">
                  <c:v>1.7638116571983948</c:v>
                </c:pt>
                <c:pt idx="34">
                  <c:v>1.8656514468812799</c:v>
                </c:pt>
                <c:pt idx="35">
                  <c:v>1.9700402403921067</c:v>
                </c:pt>
                <c:pt idx="36">
                  <c:v>2.0769525357820804</c:v>
                </c:pt>
                <c:pt idx="37">
                  <c:v>2.1863729092457023</c:v>
                </c:pt>
                <c:pt idx="38">
                  <c:v>2.298285812019107</c:v>
                </c:pt>
                <c:pt idx="39">
                  <c:v>2.412675568855331</c:v>
                </c:pt>
                <c:pt idx="40">
                  <c:v>2.5295263764746738</c:v>
                </c:pt>
                <c:pt idx="41">
                  <c:v>2.6488223019896422</c:v>
                </c:pt>
                <c:pt idx="42">
                  <c:v>2.7705472813039509</c:v>
                </c:pt>
                <c:pt idx="43">
                  <c:v>2.8946851174850488</c:v>
                </c:pt>
                <c:pt idx="44">
                  <c:v>3.0212194791096127</c:v>
                </c:pt>
                <c:pt idx="45">
                  <c:v>3.1501338985814562</c:v>
                </c:pt>
                <c:pt idx="46">
                  <c:v>3.2814117704212653</c:v>
                </c:pt>
                <c:pt idx="47">
                  <c:v>3.4150363495275764</c:v>
                </c:pt>
                <c:pt idx="48">
                  <c:v>3.5509907494083857</c:v>
                </c:pt>
                <c:pt idx="49">
                  <c:v>3.689257940382769</c:v>
                </c:pt>
                <c:pt idx="50">
                  <c:v>3.8298207477518718</c:v>
                </c:pt>
                <c:pt idx="51">
                  <c:v>3.9726618499386177</c:v>
                </c:pt>
                <c:pt idx="52">
                  <c:v>4.11776377659546</c:v>
                </c:pt>
                <c:pt idx="53">
                  <c:v>4.2651089066794912</c:v>
                </c:pt>
                <c:pt idx="54">
                  <c:v>4.4146794664941975</c:v>
                </c:pt>
                <c:pt idx="55">
                  <c:v>4.5664575276971417</c:v>
                </c:pt>
                <c:pt idx="56">
                  <c:v>4.7204250052728209</c:v>
                </c:pt>
                <c:pt idx="57">
                  <c:v>4.8765636554699396</c:v>
                </c:pt>
                <c:pt idx="58">
                  <c:v>5.0348550737023157</c:v>
                </c:pt>
                <c:pt idx="59">
                  <c:v>5.1952806924126085</c:v>
                </c:pt>
                <c:pt idx="60">
                  <c:v>5.3578217788980496</c:v>
                </c:pt>
                <c:pt idx="61">
                  <c:v>5.5224594330973176</c:v>
                </c:pt>
                <c:pt idx="62">
                  <c:v>5.6891745853376987</c:v>
                </c:pt>
                <c:pt idx="63">
                  <c:v>5.8579479940416244</c:v>
                </c:pt>
                <c:pt idx="64">
                  <c:v>6.028760243391674</c:v>
                </c:pt>
                <c:pt idx="65">
                  <c:v>6.2015917409531003</c:v>
                </c:pt>
                <c:pt idx="66">
                  <c:v>6.3764227152528994</c:v>
                </c:pt>
                <c:pt idx="67">
                  <c:v>6.5532332133144324</c:v>
                </c:pt>
                <c:pt idx="68">
                  <c:v>6.7320030981465759</c:v>
                </c:pt>
                <c:pt idx="69">
                  <c:v>6.9127120461863454</c:v>
                </c:pt>
                <c:pt idx="70">
                  <c:v>7.0953395446939052</c:v>
                </c:pt>
                <c:pt idx="71">
                  <c:v>7.279864889098862</c:v>
                </c:pt>
                <c:pt idx="72">
                  <c:v>7.466267180296688</c:v>
                </c:pt>
                <c:pt idx="73">
                  <c:v>7.6545253218940994</c:v>
                </c:pt>
                <c:pt idx="74">
                  <c:v>7.8446180174021833</c:v>
                </c:pt>
                <c:pt idx="75">
                  <c:v>8.036523767376023</c:v>
                </c:pt>
                <c:pt idx="76">
                  <c:v>8.2302208664995451</c:v>
                </c:pt>
                <c:pt idx="77">
                  <c:v>8.4256874006142688</c:v>
                </c:pt>
                <c:pt idx="78">
                  <c:v>8.6229012436906007</c:v>
                </c:pt>
                <c:pt idx="79">
                  <c:v>8.8218400547402833</c:v>
                </c:pt>
                <c:pt idx="80">
                  <c:v>9.0224812746685537</c:v>
                </c:pt>
                <c:pt idx="81">
                  <c:v>9.2248021230645438</c:v>
                </c:pt>
                <c:pt idx="82">
                  <c:v>9.4287795949283897</c:v>
                </c:pt>
                <c:pt idx="83">
                  <c:v>9.63439045733349</c:v>
                </c:pt>
                <c:pt idx="84">
                  <c:v>9.841611246022298</c:v>
                </c:pt>
                <c:pt idx="85">
                  <c:v>10.050418261933977</c:v>
                </c:pt>
                <c:pt idx="86">
                  <c:v>10.260787567662222</c:v>
                </c:pt>
                <c:pt idx="87">
                  <c:v>10.472694983841457</c:v>
                </c:pt>
                <c:pt idx="88">
                  <c:v>10.686116085459622</c:v>
                </c:pt>
                <c:pt idx="89">
                  <c:v>10.901026198095646</c:v>
                </c:pt>
                <c:pt idx="90">
                  <c:v>11.117400394079691</c:v>
                </c:pt>
                <c:pt idx="91">
                  <c:v>11.335213488574169</c:v>
                </c:pt>
                <c:pt idx="92">
                  <c:v>11.554440035573476</c:v>
                </c:pt>
                <c:pt idx="93">
                  <c:v>11.775054323820335</c:v>
                </c:pt>
                <c:pt idx="94">
                  <c:v>11.997030372636546</c:v>
                </c:pt>
                <c:pt idx="95">
                  <c:v>12.220341927665906</c:v>
                </c:pt>
                <c:pt idx="96">
                  <c:v>12.444962456526969</c:v>
                </c:pt>
                <c:pt idx="97">
                  <c:v>12.670865144373234</c:v>
                </c:pt>
                <c:pt idx="98">
                  <c:v>12.898022889358302</c:v>
                </c:pt>
                <c:pt idx="99">
                  <c:v>13.12640829800344</c:v>
                </c:pt>
                <c:pt idx="100">
                  <c:v>13.355993680464904</c:v>
                </c:pt>
                <c:pt idx="101">
                  <c:v>13.586751045698298</c:v>
                </c:pt>
                <c:pt idx="102">
                  <c:v>13.818652096517171</c:v>
                </c:pt>
                <c:pt idx="103">
                  <c:v>14.051668224542915</c:v>
                </c:pt>
                <c:pt idx="104">
                  <c:v>14.285770505042981</c:v>
                </c:pt>
                <c:pt idx="105">
                  <c:v>14.520929691654301</c:v>
                </c:pt>
                <c:pt idx="106">
                  <c:v>14.757116210988707</c:v>
                </c:pt>
                <c:pt idx="107">
                  <c:v>14.994300157117031</c:v>
                </c:pt>
                <c:pt idx="108">
                  <c:v>15.232451285928452</c:v>
                </c:pt>
                <c:pt idx="109">
                  <c:v>15.47153900936155</c:v>
                </c:pt>
                <c:pt idx="110">
                  <c:v>15.711532389503395</c:v>
                </c:pt>
                <c:pt idx="111">
                  <c:v>15.952400132552874</c:v>
                </c:pt>
                <c:pt idx="112">
                  <c:v>16.194110582644335</c:v>
                </c:pt>
                <c:pt idx="113">
                  <c:v>16.436631715527472</c:v>
                </c:pt>
                <c:pt idx="114">
                  <c:v>16.679939305741406</c:v>
                </c:pt>
                <c:pt idx="115">
                  <c:v>16.924008842590162</c:v>
                </c:pt>
                <c:pt idx="116">
                  <c:v>17.1688155250752</c:v>
                </c:pt>
                <c:pt idx="117">
                  <c:v>17.414334256707228</c:v>
                </c:pt>
                <c:pt idx="118">
                  <c:v>17.660539640193623</c:v>
                </c:pt>
                <c:pt idx="119">
                  <c:v>17.907405971997743</c:v>
                </c:pt>
                <c:pt idx="120">
                  <c:v>18.154907236766235</c:v>
                </c:pt>
                <c:pt idx="121">
                  <c:v>18.403017101620293</c:v>
                </c:pt>
                <c:pt idx="122">
                  <c:v>18.651708910306731</c:v>
                </c:pt>
                <c:pt idx="123">
                  <c:v>18.900955677204497</c:v>
                </c:pt>
                <c:pt idx="124">
                  <c:v>19.150730081182164</c:v>
                </c:pt>
                <c:pt idx="125">
                  <c:v>19.401004459301728</c:v>
                </c:pt>
                <c:pt idx="126">
                  <c:v>19.651759591416212</c:v>
                </c:pt>
                <c:pt idx="127">
                  <c:v>19.902976013874675</c:v>
                </c:pt>
                <c:pt idx="128">
                  <c:v>20.154634014865199</c:v>
                </c:pt>
                <c:pt idx="129">
                  <c:v>20.406713629638375</c:v>
                </c:pt>
                <c:pt idx="130">
                  <c:v>20.659194635607413</c:v>
                </c:pt>
                <c:pt idx="131">
                  <c:v>20.912056547320862</c:v>
                </c:pt>
                <c:pt idx="132">
                  <c:v>21.165278611303787</c:v>
                </c:pt>
                <c:pt idx="133">
                  <c:v>21.418839800763067</c:v>
                </c:pt>
                <c:pt idx="134">
                  <c:v>21.672718810152301</c:v>
                </c:pt>
                <c:pt idx="135">
                  <c:v>21.926894049591649</c:v>
                </c:pt>
                <c:pt idx="136">
                  <c:v>22.18134363913774</c:v>
                </c:pt>
                <c:pt idx="137">
                  <c:v>22.436045402898557</c:v>
                </c:pt>
                <c:pt idx="138">
                  <c:v>22.690976862988041</c:v>
                </c:pt>
                <c:pt idx="139">
                  <c:v>22.946115233314906</c:v>
                </c:pt>
                <c:pt idx="140">
                  <c:v>23.201437413199962</c:v>
                </c:pt>
                <c:pt idx="141">
                  <c:v>23.456919980815954</c:v>
                </c:pt>
                <c:pt idx="142">
                  <c:v>23.712539186443738</c:v>
                </c:pt>
                <c:pt idx="143">
                  <c:v>23.968270945538311</c:v>
                </c:pt>
                <c:pt idx="144">
                  <c:v>24.22409083159792</c:v>
                </c:pt>
                <c:pt idx="145">
                  <c:v>24.479974068829257</c:v>
                </c:pt>
                <c:pt idx="146">
                  <c:v>24.735895524601354</c:v>
                </c:pt>
                <c:pt idx="147">
                  <c:v>24.99182970168054</c:v>
                </c:pt>
                <c:pt idx="148">
                  <c:v>25.247750730238458</c:v>
                </c:pt>
                <c:pt idx="149">
                  <c:v>25.503632359624785</c:v>
                </c:pt>
                <c:pt idx="150">
                  <c:v>25.759447949895922</c:v>
                </c:pt>
                <c:pt idx="151">
                  <c:v>26.01517046309057</c:v>
                </c:pt>
                <c:pt idx="152">
                  <c:v>26.270772454242636</c:v>
                </c:pt>
                <c:pt idx="153">
                  <c:v>26.526226062121516</c:v>
                </c:pt>
                <c:pt idx="154">
                  <c:v>26.781502999689351</c:v>
                </c:pt>
                <c:pt idx="155">
                  <c:v>27.036574544264351</c:v>
                </c:pt>
                <c:pt idx="156">
                  <c:v>27.291422365033704</c:v>
                </c:pt>
                <c:pt idx="157">
                  <c:v>27.546027844459005</c:v>
                </c:pt>
                <c:pt idx="158">
                  <c:v>27.8003720714959</c:v>
                </c:pt>
                <c:pt idx="159">
                  <c:v>28.054435834598259</c:v>
                </c:pt>
                <c:pt idx="160">
                  <c:v>28.308199614498218</c:v>
                </c:pt>
                <c:pt idx="161">
                  <c:v>28.561643576753063</c:v>
                </c:pt>
                <c:pt idx="162">
                  <c:v>28.814747564049494</c:v>
                </c:pt>
                <c:pt idx="163">
                  <c:v>29.067502548441354</c:v>
                </c:pt>
                <c:pt idx="164">
                  <c:v>29.319899352591225</c:v>
                </c:pt>
                <c:pt idx="165">
                  <c:v>29.571928646031385</c:v>
                </c:pt>
                <c:pt idx="166">
                  <c:v>29.823580941298921</c:v>
                </c:pt>
                <c:pt idx="167">
                  <c:v>30.074846589939707</c:v>
                </c:pt>
                <c:pt idx="168">
                  <c:v>30.325715778375578</c:v>
                </c:pt>
                <c:pt idx="169">
                  <c:v>30.57617852362884</c:v>
                </c:pt>
                <c:pt idx="170">
                  <c:v>30.826236827491886</c:v>
                </c:pt>
                <c:pt idx="171">
                  <c:v>31.0758927269185</c:v>
                </c:pt>
                <c:pt idx="172">
                  <c:v>31.325148294958467</c:v>
                </c:pt>
                <c:pt idx="173">
                  <c:v>31.574005641725627</c:v>
                </c:pt>
                <c:pt idx="174">
                  <c:v>31.822466915400828</c:v>
                </c:pt>
                <c:pt idx="175">
                  <c:v>32.070534303271423</c:v>
                </c:pt>
                <c:pt idx="176">
                  <c:v>32.318210032808942</c:v>
                </c:pt>
                <c:pt idx="177">
                  <c:v>32.56549637278674</c:v>
                </c:pt>
                <c:pt idx="178">
                  <c:v>32.812395634439468</c:v>
                </c:pt>
                <c:pt idx="179">
                  <c:v>33.05891017266638</c:v>
                </c:pt>
                <c:pt idx="180">
                  <c:v>33.305042387280494</c:v>
                </c:pt>
                <c:pt idx="181">
                  <c:v>33.550794724305916</c:v>
                </c:pt>
                <c:pt idx="182">
                  <c:v>33.796169677325565</c:v>
                </c:pt>
                <c:pt idx="183">
                  <c:v>34.041169788881852</c:v>
                </c:pt>
                <c:pt idx="184">
                  <c:v>34.285797651932903</c:v>
                </c:pt>
                <c:pt idx="185">
                  <c:v>34.530055911367079</c:v>
                </c:pt>
                <c:pt idx="186">
                  <c:v>34.773947265578826</c:v>
                </c:pt>
                <c:pt idx="187">
                  <c:v>35.017474468108887</c:v>
                </c:pt>
                <c:pt idx="188">
                  <c:v>35.260640329352285</c:v>
                </c:pt>
                <c:pt idx="189">
                  <c:v>35.50344771833754</c:v>
                </c:pt>
                <c:pt idx="190">
                  <c:v>35.745899564580938</c:v>
                </c:pt>
                <c:pt idx="191">
                  <c:v>35.987998860019793</c:v>
                </c:pt>
                <c:pt idx="192">
                  <c:v>36.229748661029021</c:v>
                </c:pt>
                <c:pt idx="193">
                  <c:v>36.471152090525464</c:v>
                </c:pt>
                <c:pt idx="194">
                  <c:v>36.712212340164918</c:v>
                </c:pt>
                <c:pt idx="195">
                  <c:v>36.952932672636891</c:v>
                </c:pt>
                <c:pt idx="196">
                  <c:v>37.193316424062715</c:v>
                </c:pt>
                <c:pt idx="197">
                  <c:v>37.433367006502792</c:v>
                </c:pt>
                <c:pt idx="198">
                  <c:v>37.673087910579298</c:v>
                </c:pt>
                <c:pt idx="199">
                  <c:v>37.912482708221091</c:v>
                </c:pt>
                <c:pt idx="200">
                  <c:v>38.15155505553799</c:v>
                </c:pt>
                <c:pt idx="201">
                  <c:v>38.39030869583214</c:v>
                </c:pt>
                <c:pt idx="202">
                  <c:v>38.628747462754745</c:v>
                </c:pt>
                <c:pt idx="203">
                  <c:v>38.866875283617063</c:v>
                </c:pt>
                <c:pt idx="204">
                  <c:v>39.104696182865155</c:v>
                </c:pt>
                <c:pt idx="205">
                  <c:v>39.34221428572868</c:v>
                </c:pt>
                <c:pt idx="206">
                  <c:v>39.579433822054781</c:v>
                </c:pt>
                <c:pt idx="207">
                  <c:v>39.816359130338896</c:v>
                </c:pt>
                <c:pt idx="208">
                  <c:v>40.052994661965357</c:v>
                </c:pt>
                <c:pt idx="209">
                  <c:v>40.289344985671555</c:v>
                </c:pt>
                <c:pt idx="210">
                  <c:v>40.525414792250658</c:v>
                </c:pt>
                <c:pt idx="211">
                  <c:v>40.761208899508993</c:v>
                </c:pt>
                <c:pt idx="212">
                  <c:v>40.996732257495559</c:v>
                </c:pt>
                <c:pt idx="213">
                  <c:v>41.231989954022637</c:v>
                </c:pt>
                <c:pt idx="214">
                  <c:v>41.466987220498034</c:v>
                </c:pt>
                <c:pt idx="215">
                  <c:v>41.701729438091213</c:v>
                </c:pt>
                <c:pt idx="216">
                  <c:v>41.936222144257634</c:v>
                </c:pt>
                <c:pt idx="217">
                  <c:v>42.170471039647609</c:v>
                </c:pt>
                <c:pt idx="218">
                  <c:v>42.404481995428512</c:v>
                </c:pt>
                <c:pt idx="219">
                  <c:v>42.638261061051665</c:v>
                </c:pt>
                <c:pt idx="220">
                  <c:v>42.871814472498187</c:v>
                </c:pt>
                <c:pt idx="221">
                  <c:v>43.105148661041319</c:v>
                </c:pt>
                <c:pt idx="222">
                  <c:v>43.338270262566297</c:v>
                </c:pt>
                <c:pt idx="223">
                  <c:v>43.571186127492858</c:v>
                </c:pt>
                <c:pt idx="224">
                  <c:v>43.803903331349822</c:v>
                </c:pt>
                <c:pt idx="225">
                  <c:v>44.036429186056317</c:v>
                </c:pt>
                <c:pt idx="226">
                  <c:v>44.26877125196954</c:v>
                </c:pt>
                <c:pt idx="227">
                  <c:v>44.500937350765426</c:v>
                </c:pt>
                <c:pt idx="228">
                  <c:v>44.732935579225384</c:v>
                </c:pt>
                <c:pt idx="229">
                  <c:v>44.964774324010179</c:v>
                </c:pt>
                <c:pt idx="230">
                  <c:v>45.196462277511003</c:v>
                </c:pt>
                <c:pt idx="231">
                  <c:v>45.428008454877663</c:v>
                </c:pt>
                <c:pt idx="232">
                  <c:v>45.659422212335251</c:v>
                </c:pt>
                <c:pt idx="233">
                  <c:v>45.89071326691348</c:v>
                </c:pt>
                <c:pt idx="234">
                  <c:v>46.121891717727635</c:v>
                </c:pt>
                <c:pt idx="235">
                  <c:v>46.352968068966625</c:v>
                </c:pt>
                <c:pt idx="236">
                  <c:v>46.583953254762896</c:v>
                </c:pt>
                <c:pt idx="237">
                  <c:v>46.814858666140751</c:v>
                </c:pt>
                <c:pt idx="238">
                  <c:v>47.045696180264855</c:v>
                </c:pt>
                <c:pt idx="239">
                  <c:v>47.276478192239665</c:v>
                </c:pt>
                <c:pt idx="240">
                  <c:v>47.507217649744121</c:v>
                </c:pt>
                <c:pt idx="241">
                  <c:v>47.737928090824745</c:v>
                </c:pt>
                <c:pt idx="242">
                  <c:v>47.968623685215626</c:v>
                </c:pt>
                <c:pt idx="243">
                  <c:v>48.199319279606506</c:v>
                </c:pt>
                <c:pt idx="244">
                  <c:v>48.430017431127226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D9B-A95E-3A73E476A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878815"/>
        <c:axId val="1312879295"/>
      </c:scatterChart>
      <c:valAx>
        <c:axId val="131287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9295"/>
        <c:crosses val="autoZero"/>
        <c:crossBetween val="midCat"/>
      </c:valAx>
      <c:valAx>
        <c:axId val="131287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8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FEA!$I$8:$I$870</c:f>
              <c:numCache>
                <c:formatCode>General</c:formatCode>
                <c:ptCount val="863"/>
                <c:pt idx="0">
                  <c:v>-522.73020802206042</c:v>
                </c:pt>
                <c:pt idx="1">
                  <c:v>-522.73020802206042</c:v>
                </c:pt>
                <c:pt idx="2">
                  <c:v>-522.73020802206042</c:v>
                </c:pt>
                <c:pt idx="3">
                  <c:v>-522.73020802206042</c:v>
                </c:pt>
                <c:pt idx="4">
                  <c:v>-522.73020802206042</c:v>
                </c:pt>
                <c:pt idx="5">
                  <c:v>-522.73020802206042</c:v>
                </c:pt>
                <c:pt idx="6">
                  <c:v>-522.73020802206042</c:v>
                </c:pt>
                <c:pt idx="7">
                  <c:v>-522.73020802206042</c:v>
                </c:pt>
                <c:pt idx="8">
                  <c:v>-522.73020802206042</c:v>
                </c:pt>
                <c:pt idx="9">
                  <c:v>-522.73020802206042</c:v>
                </c:pt>
                <c:pt idx="10">
                  <c:v>-522.73020802206042</c:v>
                </c:pt>
                <c:pt idx="11">
                  <c:v>-522.73020802206042</c:v>
                </c:pt>
                <c:pt idx="12">
                  <c:v>-522.73020802206042</c:v>
                </c:pt>
                <c:pt idx="13">
                  <c:v>-522.73020802206042</c:v>
                </c:pt>
                <c:pt idx="14">
                  <c:v>-522.73020802206042</c:v>
                </c:pt>
                <c:pt idx="15">
                  <c:v>-522.73020802206042</c:v>
                </c:pt>
                <c:pt idx="16">
                  <c:v>-522.73020802206042</c:v>
                </c:pt>
                <c:pt idx="17">
                  <c:v>-522.73020802206042</c:v>
                </c:pt>
                <c:pt idx="18">
                  <c:v>-522.73020802206042</c:v>
                </c:pt>
                <c:pt idx="19">
                  <c:v>-522.73020802206042</c:v>
                </c:pt>
                <c:pt idx="20">
                  <c:v>-522.73020802206042</c:v>
                </c:pt>
                <c:pt idx="21">
                  <c:v>-522.73020802206042</c:v>
                </c:pt>
                <c:pt idx="22">
                  <c:v>-522.73020802206042</c:v>
                </c:pt>
                <c:pt idx="23">
                  <c:v>-522.73020802206042</c:v>
                </c:pt>
                <c:pt idx="24">
                  <c:v>-522.73020802206042</c:v>
                </c:pt>
                <c:pt idx="25">
                  <c:v>-522.73020802206042</c:v>
                </c:pt>
                <c:pt idx="26">
                  <c:v>-522.73020802206042</c:v>
                </c:pt>
                <c:pt idx="27">
                  <c:v>-522.73020802206042</c:v>
                </c:pt>
                <c:pt idx="28">
                  <c:v>-522.73020802206042</c:v>
                </c:pt>
                <c:pt idx="29">
                  <c:v>-522.73020802206042</c:v>
                </c:pt>
                <c:pt idx="30">
                  <c:v>-522.73020802206042</c:v>
                </c:pt>
                <c:pt idx="31">
                  <c:v>-522.73020802206042</c:v>
                </c:pt>
                <c:pt idx="32">
                  <c:v>-522.73020802206042</c:v>
                </c:pt>
                <c:pt idx="33">
                  <c:v>-522.73020802206042</c:v>
                </c:pt>
                <c:pt idx="34">
                  <c:v>-522.73020802206042</c:v>
                </c:pt>
                <c:pt idx="35">
                  <c:v>-522.73020802206042</c:v>
                </c:pt>
                <c:pt idx="36">
                  <c:v>-522.73020802206042</c:v>
                </c:pt>
                <c:pt idx="37">
                  <c:v>-522.73020802206042</c:v>
                </c:pt>
                <c:pt idx="38">
                  <c:v>-522.73020802206042</c:v>
                </c:pt>
                <c:pt idx="39">
                  <c:v>-522.73020802206042</c:v>
                </c:pt>
                <c:pt idx="40">
                  <c:v>-522.73020802206042</c:v>
                </c:pt>
                <c:pt idx="41">
                  <c:v>-522.73020802206042</c:v>
                </c:pt>
                <c:pt idx="42">
                  <c:v>-522.73020802206042</c:v>
                </c:pt>
                <c:pt idx="43">
                  <c:v>-522.73020802206042</c:v>
                </c:pt>
                <c:pt idx="44">
                  <c:v>-522.73020802206042</c:v>
                </c:pt>
                <c:pt idx="45">
                  <c:v>-522.73020802206042</c:v>
                </c:pt>
                <c:pt idx="46">
                  <c:v>-522.73020802206042</c:v>
                </c:pt>
                <c:pt idx="47">
                  <c:v>-522.73020802206042</c:v>
                </c:pt>
                <c:pt idx="48">
                  <c:v>-522.73020802206042</c:v>
                </c:pt>
                <c:pt idx="49">
                  <c:v>-522.73020802206042</c:v>
                </c:pt>
                <c:pt idx="50">
                  <c:v>-522.73020802206042</c:v>
                </c:pt>
                <c:pt idx="51">
                  <c:v>-522.73020802206042</c:v>
                </c:pt>
                <c:pt idx="52">
                  <c:v>-522.73020802206042</c:v>
                </c:pt>
                <c:pt idx="53">
                  <c:v>-522.73020802206042</c:v>
                </c:pt>
                <c:pt idx="54">
                  <c:v>-522.73020802206042</c:v>
                </c:pt>
                <c:pt idx="55">
                  <c:v>-522.73020802206042</c:v>
                </c:pt>
                <c:pt idx="56">
                  <c:v>-522.73020802206042</c:v>
                </c:pt>
                <c:pt idx="57">
                  <c:v>-522.73020802206042</c:v>
                </c:pt>
                <c:pt idx="58">
                  <c:v>-522.73020802206042</c:v>
                </c:pt>
                <c:pt idx="59">
                  <c:v>-522.73020802206042</c:v>
                </c:pt>
                <c:pt idx="60">
                  <c:v>-522.73020802206042</c:v>
                </c:pt>
                <c:pt idx="61">
                  <c:v>-522.73020802206042</c:v>
                </c:pt>
                <c:pt idx="62">
                  <c:v>-522.73020802206042</c:v>
                </c:pt>
                <c:pt idx="63">
                  <c:v>-522.73020802206042</c:v>
                </c:pt>
                <c:pt idx="64">
                  <c:v>-522.73020802206042</c:v>
                </c:pt>
                <c:pt idx="65">
                  <c:v>-522.73020802206042</c:v>
                </c:pt>
                <c:pt idx="66">
                  <c:v>-522.73020802206042</c:v>
                </c:pt>
                <c:pt idx="67">
                  <c:v>-522.73020802206042</c:v>
                </c:pt>
                <c:pt idx="68">
                  <c:v>-522.73020802206042</c:v>
                </c:pt>
                <c:pt idx="69">
                  <c:v>-522.73020802206042</c:v>
                </c:pt>
                <c:pt idx="70">
                  <c:v>-522.73020802206042</c:v>
                </c:pt>
                <c:pt idx="71">
                  <c:v>-522.73020802206042</c:v>
                </c:pt>
                <c:pt idx="72">
                  <c:v>-522.73020802206042</c:v>
                </c:pt>
                <c:pt idx="73">
                  <c:v>-522.73020802206042</c:v>
                </c:pt>
                <c:pt idx="74">
                  <c:v>-522.73020802206042</c:v>
                </c:pt>
                <c:pt idx="75">
                  <c:v>-522.73020802206042</c:v>
                </c:pt>
                <c:pt idx="76">
                  <c:v>-522.73020802206042</c:v>
                </c:pt>
                <c:pt idx="77">
                  <c:v>-522.73020802206042</c:v>
                </c:pt>
                <c:pt idx="78">
                  <c:v>-522.73020802206042</c:v>
                </c:pt>
                <c:pt idx="79">
                  <c:v>-522.73020802206042</c:v>
                </c:pt>
                <c:pt idx="80">
                  <c:v>-522.73020802206042</c:v>
                </c:pt>
                <c:pt idx="81">
                  <c:v>-522.73020802206042</c:v>
                </c:pt>
                <c:pt idx="82">
                  <c:v>-522.73020802206042</c:v>
                </c:pt>
                <c:pt idx="83">
                  <c:v>-522.73020802206042</c:v>
                </c:pt>
                <c:pt idx="84">
                  <c:v>-522.73020802206042</c:v>
                </c:pt>
                <c:pt idx="85">
                  <c:v>-522.73020802206042</c:v>
                </c:pt>
                <c:pt idx="86">
                  <c:v>-522.73020802206042</c:v>
                </c:pt>
                <c:pt idx="87">
                  <c:v>-522.73020802206042</c:v>
                </c:pt>
                <c:pt idx="88">
                  <c:v>-522.73020802206042</c:v>
                </c:pt>
                <c:pt idx="89">
                  <c:v>-522.73020802206042</c:v>
                </c:pt>
                <c:pt idx="90">
                  <c:v>-522.73020802206042</c:v>
                </c:pt>
                <c:pt idx="91">
                  <c:v>-522.73020802206042</c:v>
                </c:pt>
                <c:pt idx="92">
                  <c:v>-522.73020802206042</c:v>
                </c:pt>
                <c:pt idx="93">
                  <c:v>-522.73020802206042</c:v>
                </c:pt>
                <c:pt idx="94">
                  <c:v>-522.73020802206042</c:v>
                </c:pt>
                <c:pt idx="95">
                  <c:v>-522.73020802206042</c:v>
                </c:pt>
                <c:pt idx="96">
                  <c:v>-522.73020802206042</c:v>
                </c:pt>
                <c:pt idx="97">
                  <c:v>-522.73020802206042</c:v>
                </c:pt>
                <c:pt idx="98">
                  <c:v>-522.73020802206042</c:v>
                </c:pt>
                <c:pt idx="99">
                  <c:v>-522.73020802206042</c:v>
                </c:pt>
                <c:pt idx="100">
                  <c:v>-522.73020802206042</c:v>
                </c:pt>
                <c:pt idx="101">
                  <c:v>-522.73020802206042</c:v>
                </c:pt>
                <c:pt idx="102">
                  <c:v>-522.73020802206042</c:v>
                </c:pt>
                <c:pt idx="103">
                  <c:v>-522.73020802206042</c:v>
                </c:pt>
                <c:pt idx="104">
                  <c:v>-522.73020802206042</c:v>
                </c:pt>
                <c:pt idx="105">
                  <c:v>-522.73020802206042</c:v>
                </c:pt>
                <c:pt idx="106">
                  <c:v>-522.73020802206042</c:v>
                </c:pt>
                <c:pt idx="107">
                  <c:v>-522.73020802206042</c:v>
                </c:pt>
                <c:pt idx="108">
                  <c:v>-522.73020802206042</c:v>
                </c:pt>
                <c:pt idx="109">
                  <c:v>-522.73020802206042</c:v>
                </c:pt>
                <c:pt idx="110">
                  <c:v>-522.73020802206042</c:v>
                </c:pt>
                <c:pt idx="111">
                  <c:v>-522.73020802206042</c:v>
                </c:pt>
                <c:pt idx="112">
                  <c:v>-522.73020802206042</c:v>
                </c:pt>
                <c:pt idx="113">
                  <c:v>-522.73020802206042</c:v>
                </c:pt>
                <c:pt idx="114">
                  <c:v>-405.53825554828632</c:v>
                </c:pt>
                <c:pt idx="115">
                  <c:v>-405.53825554828632</c:v>
                </c:pt>
                <c:pt idx="116">
                  <c:v>-405.53825554828632</c:v>
                </c:pt>
                <c:pt idx="117">
                  <c:v>-405.53825554828632</c:v>
                </c:pt>
                <c:pt idx="118">
                  <c:v>-405.53825554828632</c:v>
                </c:pt>
                <c:pt idx="119">
                  <c:v>-405.53825554828632</c:v>
                </c:pt>
                <c:pt idx="120">
                  <c:v>-405.53825554828632</c:v>
                </c:pt>
                <c:pt idx="121">
                  <c:v>-405.53825554828632</c:v>
                </c:pt>
                <c:pt idx="122">
                  <c:v>-405.53825554828632</c:v>
                </c:pt>
                <c:pt idx="123">
                  <c:v>-405.53825554828632</c:v>
                </c:pt>
                <c:pt idx="124">
                  <c:v>-405.53825554828632</c:v>
                </c:pt>
                <c:pt idx="125">
                  <c:v>-405.53825554828632</c:v>
                </c:pt>
                <c:pt idx="126">
                  <c:v>-288.34630307451221</c:v>
                </c:pt>
                <c:pt idx="127">
                  <c:v>-288.34630307451221</c:v>
                </c:pt>
                <c:pt idx="128">
                  <c:v>-288.34630307451221</c:v>
                </c:pt>
                <c:pt idx="129">
                  <c:v>-288.34630307451221</c:v>
                </c:pt>
                <c:pt idx="130">
                  <c:v>-288.34630307451221</c:v>
                </c:pt>
                <c:pt idx="131">
                  <c:v>-288.34630307451221</c:v>
                </c:pt>
                <c:pt idx="132">
                  <c:v>-288.34630307451221</c:v>
                </c:pt>
                <c:pt idx="133">
                  <c:v>-288.34630307451221</c:v>
                </c:pt>
                <c:pt idx="134">
                  <c:v>-288.34630307451221</c:v>
                </c:pt>
                <c:pt idx="135">
                  <c:v>-288.34630307451221</c:v>
                </c:pt>
                <c:pt idx="136">
                  <c:v>-288.34630307451221</c:v>
                </c:pt>
                <c:pt idx="137">
                  <c:v>-288.34630307451221</c:v>
                </c:pt>
                <c:pt idx="138">
                  <c:v>-288.34630307451221</c:v>
                </c:pt>
                <c:pt idx="139">
                  <c:v>-288.34630307451221</c:v>
                </c:pt>
                <c:pt idx="140">
                  <c:v>-288.34630307451221</c:v>
                </c:pt>
                <c:pt idx="141">
                  <c:v>-288.34630307451221</c:v>
                </c:pt>
                <c:pt idx="142">
                  <c:v>-288.34630307451221</c:v>
                </c:pt>
                <c:pt idx="143">
                  <c:v>-288.34630307451221</c:v>
                </c:pt>
                <c:pt idx="144">
                  <c:v>-288.34630307451221</c:v>
                </c:pt>
                <c:pt idx="145">
                  <c:v>-288.34630307451221</c:v>
                </c:pt>
                <c:pt idx="146">
                  <c:v>-288.34630307451221</c:v>
                </c:pt>
                <c:pt idx="147">
                  <c:v>-288.34630307451221</c:v>
                </c:pt>
                <c:pt idx="148">
                  <c:v>-288.34630307451221</c:v>
                </c:pt>
                <c:pt idx="149">
                  <c:v>-288.34630307451221</c:v>
                </c:pt>
                <c:pt idx="150">
                  <c:v>-288.34630307451221</c:v>
                </c:pt>
                <c:pt idx="151">
                  <c:v>-288.34630307451221</c:v>
                </c:pt>
                <c:pt idx="152">
                  <c:v>-288.34630307451221</c:v>
                </c:pt>
                <c:pt idx="153">
                  <c:v>-288.34630307451221</c:v>
                </c:pt>
                <c:pt idx="154">
                  <c:v>-288.34630307451221</c:v>
                </c:pt>
                <c:pt idx="155">
                  <c:v>-288.34630307451221</c:v>
                </c:pt>
                <c:pt idx="156">
                  <c:v>-171.1543506007381</c:v>
                </c:pt>
                <c:pt idx="157">
                  <c:v>-171.1543506007381</c:v>
                </c:pt>
                <c:pt idx="158">
                  <c:v>-171.1543506007381</c:v>
                </c:pt>
                <c:pt idx="159">
                  <c:v>-171.1543506007381</c:v>
                </c:pt>
                <c:pt idx="160">
                  <c:v>-171.1543506007381</c:v>
                </c:pt>
                <c:pt idx="161">
                  <c:v>-171.1543506007381</c:v>
                </c:pt>
                <c:pt idx="162">
                  <c:v>-171.1543506007381</c:v>
                </c:pt>
                <c:pt idx="163">
                  <c:v>-53.96239812696399</c:v>
                </c:pt>
                <c:pt idx="164">
                  <c:v>-53.96239812696399</c:v>
                </c:pt>
                <c:pt idx="165">
                  <c:v>-53.96239812696399</c:v>
                </c:pt>
                <c:pt idx="166">
                  <c:v>-53.96239812696399</c:v>
                </c:pt>
                <c:pt idx="167">
                  <c:v>-53.96239812696399</c:v>
                </c:pt>
                <c:pt idx="168">
                  <c:v>-53.96239812696399</c:v>
                </c:pt>
                <c:pt idx="169">
                  <c:v>-53.96239812696399</c:v>
                </c:pt>
                <c:pt idx="170">
                  <c:v>63.229554346810119</c:v>
                </c:pt>
                <c:pt idx="171">
                  <c:v>63.229554346810119</c:v>
                </c:pt>
                <c:pt idx="172">
                  <c:v>63.229554346810119</c:v>
                </c:pt>
                <c:pt idx="173">
                  <c:v>63.229554346810119</c:v>
                </c:pt>
                <c:pt idx="174">
                  <c:v>63.229554346810119</c:v>
                </c:pt>
                <c:pt idx="175">
                  <c:v>63.229554346810119</c:v>
                </c:pt>
                <c:pt idx="176">
                  <c:v>63.229554346810119</c:v>
                </c:pt>
                <c:pt idx="177">
                  <c:v>63.229554346810119</c:v>
                </c:pt>
                <c:pt idx="178">
                  <c:v>63.229554346810119</c:v>
                </c:pt>
                <c:pt idx="179">
                  <c:v>63.229554346810119</c:v>
                </c:pt>
                <c:pt idx="180">
                  <c:v>63.229554346810119</c:v>
                </c:pt>
                <c:pt idx="181">
                  <c:v>63.229554346810119</c:v>
                </c:pt>
                <c:pt idx="182">
                  <c:v>63.229554346810119</c:v>
                </c:pt>
                <c:pt idx="183">
                  <c:v>63.229554346810119</c:v>
                </c:pt>
                <c:pt idx="184">
                  <c:v>63.229554346810119</c:v>
                </c:pt>
                <c:pt idx="185">
                  <c:v>63.229554346810119</c:v>
                </c:pt>
                <c:pt idx="186">
                  <c:v>63.229554346810119</c:v>
                </c:pt>
                <c:pt idx="187">
                  <c:v>63.229554346810119</c:v>
                </c:pt>
                <c:pt idx="188">
                  <c:v>63.229554346810119</c:v>
                </c:pt>
                <c:pt idx="189">
                  <c:v>63.229554346810119</c:v>
                </c:pt>
                <c:pt idx="190">
                  <c:v>63.229554346810119</c:v>
                </c:pt>
                <c:pt idx="191">
                  <c:v>63.229554346810119</c:v>
                </c:pt>
                <c:pt idx="192">
                  <c:v>63.229554346810119</c:v>
                </c:pt>
                <c:pt idx="193">
                  <c:v>63.229554346810119</c:v>
                </c:pt>
                <c:pt idx="194">
                  <c:v>63.229554346810119</c:v>
                </c:pt>
                <c:pt idx="195">
                  <c:v>63.229554346810119</c:v>
                </c:pt>
                <c:pt idx="196">
                  <c:v>63.229554346810119</c:v>
                </c:pt>
                <c:pt idx="197">
                  <c:v>63.229554346810119</c:v>
                </c:pt>
                <c:pt idx="198">
                  <c:v>63.229554346810119</c:v>
                </c:pt>
                <c:pt idx="199">
                  <c:v>63.229554346810119</c:v>
                </c:pt>
                <c:pt idx="200">
                  <c:v>63.229554346810119</c:v>
                </c:pt>
                <c:pt idx="201">
                  <c:v>63.229554346810119</c:v>
                </c:pt>
                <c:pt idx="202">
                  <c:v>63.229554346810119</c:v>
                </c:pt>
                <c:pt idx="203">
                  <c:v>63.229554346810119</c:v>
                </c:pt>
                <c:pt idx="204">
                  <c:v>63.229554346810119</c:v>
                </c:pt>
                <c:pt idx="205">
                  <c:v>63.229554346810119</c:v>
                </c:pt>
                <c:pt idx="206">
                  <c:v>63.229554346810119</c:v>
                </c:pt>
                <c:pt idx="207">
                  <c:v>63.229554346810119</c:v>
                </c:pt>
                <c:pt idx="208">
                  <c:v>63.229554346810119</c:v>
                </c:pt>
                <c:pt idx="209">
                  <c:v>63.229554346810119</c:v>
                </c:pt>
                <c:pt idx="210">
                  <c:v>63.229554346810119</c:v>
                </c:pt>
                <c:pt idx="211">
                  <c:v>63.229554346810119</c:v>
                </c:pt>
                <c:pt idx="212">
                  <c:v>63.229554346810119</c:v>
                </c:pt>
                <c:pt idx="213">
                  <c:v>63.229554346810119</c:v>
                </c:pt>
                <c:pt idx="214">
                  <c:v>63.229554346810119</c:v>
                </c:pt>
                <c:pt idx="215">
                  <c:v>63.229554346810119</c:v>
                </c:pt>
                <c:pt idx="216">
                  <c:v>63.229554346810119</c:v>
                </c:pt>
                <c:pt idx="217">
                  <c:v>63.229554346810119</c:v>
                </c:pt>
                <c:pt idx="218">
                  <c:v>63.229554346810119</c:v>
                </c:pt>
                <c:pt idx="219">
                  <c:v>63.229554346810119</c:v>
                </c:pt>
                <c:pt idx="220">
                  <c:v>63.229554346810119</c:v>
                </c:pt>
                <c:pt idx="221">
                  <c:v>63.229554346810119</c:v>
                </c:pt>
                <c:pt idx="222">
                  <c:v>63.229554346810119</c:v>
                </c:pt>
                <c:pt idx="223">
                  <c:v>63.229554346810119</c:v>
                </c:pt>
                <c:pt idx="224">
                  <c:v>63.229554346810119</c:v>
                </c:pt>
                <c:pt idx="225">
                  <c:v>63.229554346810119</c:v>
                </c:pt>
                <c:pt idx="226">
                  <c:v>63.229554346810119</c:v>
                </c:pt>
                <c:pt idx="227">
                  <c:v>63.229554346810119</c:v>
                </c:pt>
                <c:pt idx="228">
                  <c:v>63.229554346810119</c:v>
                </c:pt>
                <c:pt idx="229">
                  <c:v>63.229554346810119</c:v>
                </c:pt>
                <c:pt idx="230">
                  <c:v>63.229554346810119</c:v>
                </c:pt>
                <c:pt idx="231">
                  <c:v>63.229554346810119</c:v>
                </c:pt>
                <c:pt idx="232">
                  <c:v>63.229554346810119</c:v>
                </c:pt>
                <c:pt idx="233">
                  <c:v>63.229554346810119</c:v>
                </c:pt>
                <c:pt idx="234">
                  <c:v>63.229554346810119</c:v>
                </c:pt>
                <c:pt idx="235">
                  <c:v>63.229554346810119</c:v>
                </c:pt>
                <c:pt idx="236">
                  <c:v>63.229554346810119</c:v>
                </c:pt>
                <c:pt idx="237">
                  <c:v>63.229554346810119</c:v>
                </c:pt>
                <c:pt idx="238">
                  <c:v>63.229554346810119</c:v>
                </c:pt>
                <c:pt idx="239">
                  <c:v>63.229554346810119</c:v>
                </c:pt>
                <c:pt idx="240">
                  <c:v>63.229554346810119</c:v>
                </c:pt>
                <c:pt idx="241">
                  <c:v>63.229554346810119</c:v>
                </c:pt>
                <c:pt idx="242">
                  <c:v>63.229554346810119</c:v>
                </c:pt>
                <c:pt idx="243">
                  <c:v>63.229554346810119</c:v>
                </c:pt>
                <c:pt idx="244">
                  <c:v>63.229554346810119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57-4E0B-998E-E5825A260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 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FEA!$G$7</c:f>
              <c:strCache>
                <c:ptCount val="1"/>
                <c:pt idx="0">
                  <c:v>moment Y [n*mm]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FEA!$G$8:$G$870</c:f>
              <c:numCache>
                <c:formatCode>General</c:formatCode>
                <c:ptCount val="863"/>
                <c:pt idx="0">
                  <c:v>-3474109.5942368717</c:v>
                </c:pt>
                <c:pt idx="1">
                  <c:v>-3447973.0838357685</c:v>
                </c:pt>
                <c:pt idx="2">
                  <c:v>-3421836.5734346653</c:v>
                </c:pt>
                <c:pt idx="3">
                  <c:v>-3395700.0630335622</c:v>
                </c:pt>
                <c:pt idx="4">
                  <c:v>-3369563.552632459</c:v>
                </c:pt>
                <c:pt idx="5">
                  <c:v>-3343427.0422313558</c:v>
                </c:pt>
                <c:pt idx="6">
                  <c:v>-3317290.5318302526</c:v>
                </c:pt>
                <c:pt idx="7">
                  <c:v>-3291154.0214291494</c:v>
                </c:pt>
                <c:pt idx="8">
                  <c:v>-3265017.5110280463</c:v>
                </c:pt>
                <c:pt idx="9">
                  <c:v>-3238881.0006269431</c:v>
                </c:pt>
                <c:pt idx="10">
                  <c:v>-3212744.4902258399</c:v>
                </c:pt>
                <c:pt idx="11">
                  <c:v>-3186607.9798247367</c:v>
                </c:pt>
                <c:pt idx="12">
                  <c:v>-3160471.4694236335</c:v>
                </c:pt>
                <c:pt idx="13">
                  <c:v>-3134334.9590225304</c:v>
                </c:pt>
                <c:pt idx="14">
                  <c:v>-3108198.4486214272</c:v>
                </c:pt>
                <c:pt idx="15">
                  <c:v>-3082061.938220324</c:v>
                </c:pt>
                <c:pt idx="16">
                  <c:v>-3055925.4278192208</c:v>
                </c:pt>
                <c:pt idx="17">
                  <c:v>-3029788.9174181176</c:v>
                </c:pt>
                <c:pt idx="18">
                  <c:v>-3003652.4070170145</c:v>
                </c:pt>
                <c:pt idx="19">
                  <c:v>-2977515.8966159113</c:v>
                </c:pt>
                <c:pt idx="20">
                  <c:v>-2951379.3862148081</c:v>
                </c:pt>
                <c:pt idx="21">
                  <c:v>-2925242.8758137049</c:v>
                </c:pt>
                <c:pt idx="22">
                  <c:v>-2899106.3654126017</c:v>
                </c:pt>
                <c:pt idx="23">
                  <c:v>-2872969.8550114986</c:v>
                </c:pt>
                <c:pt idx="24">
                  <c:v>-2846833.3446103954</c:v>
                </c:pt>
                <c:pt idx="25">
                  <c:v>-2820696.8342092922</c:v>
                </c:pt>
                <c:pt idx="26">
                  <c:v>-2794560.323808189</c:v>
                </c:pt>
                <c:pt idx="27">
                  <c:v>-2768423.8134070858</c:v>
                </c:pt>
                <c:pt idx="28">
                  <c:v>-2742287.3030059827</c:v>
                </c:pt>
                <c:pt idx="29">
                  <c:v>-2716150.7926048795</c:v>
                </c:pt>
                <c:pt idx="30">
                  <c:v>-2690014.2822037763</c:v>
                </c:pt>
                <c:pt idx="31">
                  <c:v>-2663877.7718026731</c:v>
                </c:pt>
                <c:pt idx="32">
                  <c:v>-2637741.2614015699</c:v>
                </c:pt>
                <c:pt idx="33">
                  <c:v>-2611604.7510004668</c:v>
                </c:pt>
                <c:pt idx="34">
                  <c:v>-2585468.2405993636</c:v>
                </c:pt>
                <c:pt idx="35">
                  <c:v>-2559331.7301982604</c:v>
                </c:pt>
                <c:pt idx="36">
                  <c:v>-2533195.2197971572</c:v>
                </c:pt>
                <c:pt idx="37">
                  <c:v>-2507058.709396054</c:v>
                </c:pt>
                <c:pt idx="38">
                  <c:v>-2480922.1989949509</c:v>
                </c:pt>
                <c:pt idx="39">
                  <c:v>-2454785.6885938477</c:v>
                </c:pt>
                <c:pt idx="40">
                  <c:v>-2428649.1781927445</c:v>
                </c:pt>
                <c:pt idx="41">
                  <c:v>-2402512.6677916413</c:v>
                </c:pt>
                <c:pt idx="42">
                  <c:v>-2376376.1573905381</c:v>
                </c:pt>
                <c:pt idx="43">
                  <c:v>-2350239.646989435</c:v>
                </c:pt>
                <c:pt idx="44">
                  <c:v>-2324103.1365883318</c:v>
                </c:pt>
                <c:pt idx="45">
                  <c:v>-2297966.6261872286</c:v>
                </c:pt>
                <c:pt idx="46">
                  <c:v>-2271830.1157861254</c:v>
                </c:pt>
                <c:pt idx="47">
                  <c:v>-2245693.6053850222</c:v>
                </c:pt>
                <c:pt idx="48">
                  <c:v>-2219557.0949839191</c:v>
                </c:pt>
                <c:pt idx="49">
                  <c:v>-2193420.5845828159</c:v>
                </c:pt>
                <c:pt idx="50">
                  <c:v>-2167284.0741817127</c:v>
                </c:pt>
                <c:pt idx="51">
                  <c:v>-2141147.5637806095</c:v>
                </c:pt>
                <c:pt idx="52">
                  <c:v>-2115011.0533795063</c:v>
                </c:pt>
                <c:pt idx="53">
                  <c:v>-2088874.5429784034</c:v>
                </c:pt>
                <c:pt idx="54">
                  <c:v>-2062738.0325773004</c:v>
                </c:pt>
                <c:pt idx="55">
                  <c:v>-2036601.5221761975</c:v>
                </c:pt>
                <c:pt idx="56">
                  <c:v>-2010465.0117750946</c:v>
                </c:pt>
                <c:pt idx="57">
                  <c:v>-1984328.5013739916</c:v>
                </c:pt>
                <c:pt idx="58">
                  <c:v>-1958191.9909728887</c:v>
                </c:pt>
                <c:pt idx="59">
                  <c:v>-1932055.4805717857</c:v>
                </c:pt>
                <c:pt idx="60">
                  <c:v>-1905918.9701706828</c:v>
                </c:pt>
                <c:pt idx="61">
                  <c:v>-1879782.4597695798</c:v>
                </c:pt>
                <c:pt idx="62">
                  <c:v>-1853645.9493684769</c:v>
                </c:pt>
                <c:pt idx="63">
                  <c:v>-1827509.4389673739</c:v>
                </c:pt>
                <c:pt idx="64">
                  <c:v>-1801372.928566271</c:v>
                </c:pt>
                <c:pt idx="65">
                  <c:v>-1775236.418165168</c:v>
                </c:pt>
                <c:pt idx="66">
                  <c:v>-1749099.9077640651</c:v>
                </c:pt>
                <c:pt idx="67">
                  <c:v>-1722963.3973629621</c:v>
                </c:pt>
                <c:pt idx="68">
                  <c:v>-1696826.8869618592</c:v>
                </c:pt>
                <c:pt idx="69">
                  <c:v>-1670690.3765607562</c:v>
                </c:pt>
                <c:pt idx="70">
                  <c:v>-1644553.8661596533</c:v>
                </c:pt>
                <c:pt idx="71">
                  <c:v>-1618417.3557585503</c:v>
                </c:pt>
                <c:pt idx="72">
                  <c:v>-1592280.8453574474</c:v>
                </c:pt>
                <c:pt idx="73">
                  <c:v>-1566144.3349563444</c:v>
                </c:pt>
                <c:pt idx="74">
                  <c:v>-1540007.8245552415</c:v>
                </c:pt>
                <c:pt idx="75">
                  <c:v>-1513871.3141541386</c:v>
                </c:pt>
                <c:pt idx="76">
                  <c:v>-1487734.8037530356</c:v>
                </c:pt>
                <c:pt idx="77">
                  <c:v>-1461598.2933519327</c:v>
                </c:pt>
                <c:pt idx="78">
                  <c:v>-1435461.7829508297</c:v>
                </c:pt>
                <c:pt idx="79">
                  <c:v>-1409325.2725497268</c:v>
                </c:pt>
                <c:pt idx="80">
                  <c:v>-1383188.7621486238</c:v>
                </c:pt>
                <c:pt idx="81">
                  <c:v>-1357052.2517475209</c:v>
                </c:pt>
                <c:pt idx="82">
                  <c:v>-1330915.7413464179</c:v>
                </c:pt>
                <c:pt idx="83">
                  <c:v>-1304779.230945315</c:v>
                </c:pt>
                <c:pt idx="84">
                  <c:v>-1278642.720544212</c:v>
                </c:pt>
                <c:pt idx="85">
                  <c:v>-1252506.2101431091</c:v>
                </c:pt>
                <c:pt idx="86">
                  <c:v>-1226369.6997420061</c:v>
                </c:pt>
                <c:pt idx="87">
                  <c:v>-1200233.1893409032</c:v>
                </c:pt>
                <c:pt idx="88">
                  <c:v>-1174096.6789398002</c:v>
                </c:pt>
                <c:pt idx="89">
                  <c:v>-1147960.1685386973</c:v>
                </c:pt>
                <c:pt idx="90">
                  <c:v>-1121823.6581375943</c:v>
                </c:pt>
                <c:pt idx="91">
                  <c:v>-1095687.1477364914</c:v>
                </c:pt>
                <c:pt idx="92">
                  <c:v>-1069550.6373353885</c:v>
                </c:pt>
                <c:pt idx="93">
                  <c:v>-1043414.1269342854</c:v>
                </c:pt>
                <c:pt idx="94">
                  <c:v>-1017277.6165331823</c:v>
                </c:pt>
                <c:pt idx="95">
                  <c:v>-991141.10613207927</c:v>
                </c:pt>
                <c:pt idx="96">
                  <c:v>-965004.5957309762</c:v>
                </c:pt>
                <c:pt idx="97">
                  <c:v>-938868.08532987314</c:v>
                </c:pt>
                <c:pt idx="98">
                  <c:v>-912731.57492877007</c:v>
                </c:pt>
                <c:pt idx="99">
                  <c:v>-886595.06452766701</c:v>
                </c:pt>
                <c:pt idx="100">
                  <c:v>-860458.55412656395</c:v>
                </c:pt>
                <c:pt idx="101">
                  <c:v>-834322.04372546088</c:v>
                </c:pt>
                <c:pt idx="102">
                  <c:v>-808185.53332435782</c:v>
                </c:pt>
                <c:pt idx="103">
                  <c:v>-782049.02292325476</c:v>
                </c:pt>
                <c:pt idx="104">
                  <c:v>-755912.51252215169</c:v>
                </c:pt>
                <c:pt idx="105">
                  <c:v>-729776.00212104863</c:v>
                </c:pt>
                <c:pt idx="106">
                  <c:v>-703639.49171994557</c:v>
                </c:pt>
                <c:pt idx="107">
                  <c:v>-677502.9813188425</c:v>
                </c:pt>
                <c:pt idx="108">
                  <c:v>-651366.47091773944</c:v>
                </c:pt>
                <c:pt idx="109">
                  <c:v>-625229.96051663638</c:v>
                </c:pt>
                <c:pt idx="110">
                  <c:v>-599093.45011553331</c:v>
                </c:pt>
                <c:pt idx="111">
                  <c:v>-572956.93971443025</c:v>
                </c:pt>
                <c:pt idx="112">
                  <c:v>-546820.42931332719</c:v>
                </c:pt>
                <c:pt idx="113">
                  <c:v>-520683.91891222418</c:v>
                </c:pt>
                <c:pt idx="114">
                  <c:v>-500407.00613480987</c:v>
                </c:pt>
                <c:pt idx="115">
                  <c:v>-480130.09335739556</c:v>
                </c:pt>
                <c:pt idx="116">
                  <c:v>-459853.18057998124</c:v>
                </c:pt>
                <c:pt idx="117">
                  <c:v>-439576.26780256693</c:v>
                </c:pt>
                <c:pt idx="118">
                  <c:v>-419299.35502515262</c:v>
                </c:pt>
                <c:pt idx="119">
                  <c:v>-399022.44224773831</c:v>
                </c:pt>
                <c:pt idx="120">
                  <c:v>-378745.52947032399</c:v>
                </c:pt>
                <c:pt idx="121">
                  <c:v>-358468.61669290968</c:v>
                </c:pt>
                <c:pt idx="122">
                  <c:v>-338191.70391549537</c:v>
                </c:pt>
                <c:pt idx="123">
                  <c:v>-317914.79113808105</c:v>
                </c:pt>
                <c:pt idx="124">
                  <c:v>-297637.87836066674</c:v>
                </c:pt>
                <c:pt idx="125">
                  <c:v>-277360.96558325243</c:v>
                </c:pt>
                <c:pt idx="126">
                  <c:v>-262943.65042952681</c:v>
                </c:pt>
                <c:pt idx="127">
                  <c:v>-248526.33527580119</c:v>
                </c:pt>
                <c:pt idx="128">
                  <c:v>-234109.02012207557</c:v>
                </c:pt>
                <c:pt idx="129">
                  <c:v>-219691.70496834995</c:v>
                </c:pt>
                <c:pt idx="130">
                  <c:v>-205274.38981462433</c:v>
                </c:pt>
                <c:pt idx="131">
                  <c:v>-190857.07466089871</c:v>
                </c:pt>
                <c:pt idx="132">
                  <c:v>-176439.75950717309</c:v>
                </c:pt>
                <c:pt idx="133">
                  <c:v>-162022.44435344747</c:v>
                </c:pt>
                <c:pt idx="134">
                  <c:v>-147605.12919972185</c:v>
                </c:pt>
                <c:pt idx="135">
                  <c:v>-133187.81404599623</c:v>
                </c:pt>
                <c:pt idx="136">
                  <c:v>-118770.49889227063</c:v>
                </c:pt>
                <c:pt idx="137">
                  <c:v>-104353.18373854502</c:v>
                </c:pt>
                <c:pt idx="138">
                  <c:v>-89935.868584819415</c:v>
                </c:pt>
                <c:pt idx="139">
                  <c:v>-75518.553431093809</c:v>
                </c:pt>
                <c:pt idx="140">
                  <c:v>-61101.238277368197</c:v>
                </c:pt>
                <c:pt idx="141">
                  <c:v>-46683.923123642584</c:v>
                </c:pt>
                <c:pt idx="142">
                  <c:v>-32266.607969916971</c:v>
                </c:pt>
                <c:pt idx="143">
                  <c:v>-17849.292816191359</c:v>
                </c:pt>
                <c:pt idx="144">
                  <c:v>-3431.9776624657479</c:v>
                </c:pt>
                <c:pt idx="145">
                  <c:v>10985.337491259863</c:v>
                </c:pt>
                <c:pt idx="146">
                  <c:v>25402.652644985472</c:v>
                </c:pt>
                <c:pt idx="147">
                  <c:v>39819.967798711084</c:v>
                </c:pt>
                <c:pt idx="148">
                  <c:v>54237.282952436697</c:v>
                </c:pt>
                <c:pt idx="149">
                  <c:v>68654.598106162302</c:v>
                </c:pt>
                <c:pt idx="150">
                  <c:v>83071.913259887908</c:v>
                </c:pt>
                <c:pt idx="151">
                  <c:v>97489.228413613513</c:v>
                </c:pt>
                <c:pt idx="152">
                  <c:v>111906.54356733912</c:v>
                </c:pt>
                <c:pt idx="153">
                  <c:v>126323.85872106472</c:v>
                </c:pt>
                <c:pt idx="154">
                  <c:v>140741.17387479034</c:v>
                </c:pt>
                <c:pt idx="155">
                  <c:v>155158.48902851596</c:v>
                </c:pt>
                <c:pt idx="156">
                  <c:v>163716.20655855286</c:v>
                </c:pt>
                <c:pt idx="157">
                  <c:v>172273.92408858976</c:v>
                </c:pt>
                <c:pt idx="158">
                  <c:v>180831.64161862666</c:v>
                </c:pt>
                <c:pt idx="159">
                  <c:v>189389.35914866356</c:v>
                </c:pt>
                <c:pt idx="160">
                  <c:v>197947.07667870045</c:v>
                </c:pt>
                <c:pt idx="161">
                  <c:v>206504.79420873735</c:v>
                </c:pt>
                <c:pt idx="162">
                  <c:v>215062.51173877425</c:v>
                </c:pt>
                <c:pt idx="163">
                  <c:v>217760.63164512246</c:v>
                </c:pt>
                <c:pt idx="164">
                  <c:v>220458.75155147066</c:v>
                </c:pt>
                <c:pt idx="165">
                  <c:v>223156.87145781887</c:v>
                </c:pt>
                <c:pt idx="166">
                  <c:v>225854.99136416707</c:v>
                </c:pt>
                <c:pt idx="167">
                  <c:v>228553.11127051528</c:v>
                </c:pt>
                <c:pt idx="168">
                  <c:v>231251.23117686348</c:v>
                </c:pt>
                <c:pt idx="169">
                  <c:v>233949.35108321169</c:v>
                </c:pt>
                <c:pt idx="170">
                  <c:v>230787.87336587117</c:v>
                </c:pt>
                <c:pt idx="171">
                  <c:v>227626.39564853066</c:v>
                </c:pt>
                <c:pt idx="172">
                  <c:v>224464.91793119014</c:v>
                </c:pt>
                <c:pt idx="173">
                  <c:v>221303.44021384962</c:v>
                </c:pt>
                <c:pt idx="174">
                  <c:v>218141.96249650911</c:v>
                </c:pt>
                <c:pt idx="175">
                  <c:v>214980.48477916859</c:v>
                </c:pt>
                <c:pt idx="176">
                  <c:v>211819.00706182807</c:v>
                </c:pt>
                <c:pt idx="177">
                  <c:v>208657.52934448756</c:v>
                </c:pt>
                <c:pt idx="178">
                  <c:v>205496.05162714704</c:v>
                </c:pt>
                <c:pt idx="179">
                  <c:v>202334.57390980652</c:v>
                </c:pt>
                <c:pt idx="180">
                  <c:v>199173.09619246601</c:v>
                </c:pt>
                <c:pt idx="181">
                  <c:v>196011.61847512549</c:v>
                </c:pt>
                <c:pt idx="182">
                  <c:v>192850.14075778497</c:v>
                </c:pt>
                <c:pt idx="183">
                  <c:v>189688.66304044446</c:v>
                </c:pt>
                <c:pt idx="184">
                  <c:v>186527.18532310394</c:v>
                </c:pt>
                <c:pt idx="185">
                  <c:v>183365.70760576343</c:v>
                </c:pt>
                <c:pt idx="186">
                  <c:v>180204.22988842291</c:v>
                </c:pt>
                <c:pt idx="187">
                  <c:v>177042.75217108239</c:v>
                </c:pt>
                <c:pt idx="188">
                  <c:v>173881.27445374188</c:v>
                </c:pt>
                <c:pt idx="189">
                  <c:v>170719.79673640136</c:v>
                </c:pt>
                <c:pt idx="190">
                  <c:v>167558.31901906084</c:v>
                </c:pt>
                <c:pt idx="191">
                  <c:v>164396.84130172033</c:v>
                </c:pt>
                <c:pt idx="192">
                  <c:v>161235.36358437981</c:v>
                </c:pt>
                <c:pt idx="193">
                  <c:v>158073.88586703929</c:v>
                </c:pt>
                <c:pt idx="194">
                  <c:v>154912.40814969878</c:v>
                </c:pt>
                <c:pt idx="195">
                  <c:v>151750.93043235826</c:v>
                </c:pt>
                <c:pt idx="196">
                  <c:v>148589.45271501775</c:v>
                </c:pt>
                <c:pt idx="197">
                  <c:v>145427.97499767723</c:v>
                </c:pt>
                <c:pt idx="198">
                  <c:v>142266.49728033671</c:v>
                </c:pt>
                <c:pt idx="199">
                  <c:v>139105.0195629962</c:v>
                </c:pt>
                <c:pt idx="200">
                  <c:v>135943.54184565568</c:v>
                </c:pt>
                <c:pt idx="201">
                  <c:v>132782.06412831516</c:v>
                </c:pt>
                <c:pt idx="202">
                  <c:v>129620.58641097466</c:v>
                </c:pt>
                <c:pt idx="203">
                  <c:v>126459.10869363416</c:v>
                </c:pt>
                <c:pt idx="204">
                  <c:v>123297.63097629366</c:v>
                </c:pt>
                <c:pt idx="205">
                  <c:v>120136.15325895316</c:v>
                </c:pt>
                <c:pt idx="206">
                  <c:v>116974.67554161265</c:v>
                </c:pt>
                <c:pt idx="207">
                  <c:v>113813.19782427215</c:v>
                </c:pt>
                <c:pt idx="208">
                  <c:v>110651.72010693165</c:v>
                </c:pt>
                <c:pt idx="209">
                  <c:v>107490.24238959115</c:v>
                </c:pt>
                <c:pt idx="210">
                  <c:v>104328.76467225065</c:v>
                </c:pt>
                <c:pt idx="211">
                  <c:v>101167.28695491015</c:v>
                </c:pt>
                <c:pt idx="212">
                  <c:v>98005.809237569643</c:v>
                </c:pt>
                <c:pt idx="213">
                  <c:v>94844.331520229141</c:v>
                </c:pt>
                <c:pt idx="214">
                  <c:v>91682.85380288864</c:v>
                </c:pt>
                <c:pt idx="215">
                  <c:v>88521.376085548138</c:v>
                </c:pt>
                <c:pt idx="216">
                  <c:v>85359.898368207636</c:v>
                </c:pt>
                <c:pt idx="217">
                  <c:v>82198.420650867134</c:v>
                </c:pt>
                <c:pt idx="218">
                  <c:v>79036.942933526632</c:v>
                </c:pt>
                <c:pt idx="219">
                  <c:v>75875.46521618613</c:v>
                </c:pt>
                <c:pt idx="220">
                  <c:v>72713.987498845629</c:v>
                </c:pt>
                <c:pt idx="221">
                  <c:v>69552.509781505127</c:v>
                </c:pt>
                <c:pt idx="222">
                  <c:v>66391.032064164625</c:v>
                </c:pt>
                <c:pt idx="223">
                  <c:v>63229.554346824116</c:v>
                </c:pt>
                <c:pt idx="224">
                  <c:v>60068.076629483607</c:v>
                </c:pt>
                <c:pt idx="225">
                  <c:v>56906.598912143098</c:v>
                </c:pt>
                <c:pt idx="226">
                  <c:v>53745.121194802588</c:v>
                </c:pt>
                <c:pt idx="227">
                  <c:v>50583.643477462079</c:v>
                </c:pt>
                <c:pt idx="228">
                  <c:v>47422.16576012157</c:v>
                </c:pt>
                <c:pt idx="229">
                  <c:v>44260.688042781061</c:v>
                </c:pt>
                <c:pt idx="230">
                  <c:v>41099.210325440552</c:v>
                </c:pt>
                <c:pt idx="231">
                  <c:v>37937.732608100043</c:v>
                </c:pt>
                <c:pt idx="232">
                  <c:v>34776.254890759534</c:v>
                </c:pt>
                <c:pt idx="233">
                  <c:v>31614.777173419028</c:v>
                </c:pt>
                <c:pt idx="234">
                  <c:v>28453.299456078523</c:v>
                </c:pt>
                <c:pt idx="235">
                  <c:v>25291.821738738017</c:v>
                </c:pt>
                <c:pt idx="236">
                  <c:v>22130.344021397512</c:v>
                </c:pt>
                <c:pt idx="237">
                  <c:v>18968.866304057006</c:v>
                </c:pt>
                <c:pt idx="238">
                  <c:v>15807.388586716501</c:v>
                </c:pt>
                <c:pt idx="239">
                  <c:v>12645.910869375995</c:v>
                </c:pt>
                <c:pt idx="240">
                  <c:v>9484.4331520354899</c:v>
                </c:pt>
                <c:pt idx="241">
                  <c:v>6322.9554346949844</c:v>
                </c:pt>
                <c:pt idx="242">
                  <c:v>3161.4777173544785</c:v>
                </c:pt>
                <c:pt idx="243">
                  <c:v>1.3972567103337497E-8</c:v>
                </c:pt>
                <c:pt idx="244">
                  <c:v>-3161.4777173265334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6-4114-B7C2-05162E3E1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Y [mm]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FEA!$C$7</c:f>
              <c:strCache>
                <c:ptCount val="1"/>
                <c:pt idx="0">
                  <c:v>displacement Y [mm]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FEA!$C$8:$C$870</c:f>
              <c:numCache>
                <c:formatCode>General</c:formatCode>
                <c:ptCount val="863"/>
                <c:pt idx="0">
                  <c:v>0</c:v>
                </c:pt>
                <c:pt idx="1">
                  <c:v>-2.2243130657744544E-3</c:v>
                </c:pt>
                <c:pt idx="2">
                  <c:v>-6.6560783401863211E-3</c:v>
                </c:pt>
                <c:pt idx="3">
                  <c:v>-1.3278434966098556E-2</c:v>
                </c:pt>
                <c:pt idx="4">
                  <c:v>-2.2074522086374115E-2</c:v>
                </c:pt>
                <c:pt idx="5">
                  <c:v>-3.3027478843875961E-2</c:v>
                </c:pt>
                <c:pt idx="6">
                  <c:v>-4.6120444381467049E-2</c:v>
                </c:pt>
                <c:pt idx="7">
                  <c:v>-6.1336557842010336E-2</c:v>
                </c:pt>
                <c:pt idx="8">
                  <c:v>-7.8658958368368781E-2</c:v>
                </c:pt>
                <c:pt idx="9">
                  <c:v>-9.8070785103405334E-2</c:v>
                </c:pt>
                <c:pt idx="10">
                  <c:v>-0.11955517718998296</c:v>
                </c:pt>
                <c:pt idx="11">
                  <c:v>-0.14309527377096459</c:v>
                </c:pt>
                <c:pt idx="12">
                  <c:v>-0.16867421398921323</c:v>
                </c:pt>
                <c:pt idx="13">
                  <c:v>-0.1962751369875918</c:v>
                </c:pt>
                <c:pt idx="14">
                  <c:v>-0.22588118190896328</c:v>
                </c:pt>
                <c:pt idx="15">
                  <c:v>-0.25747548789619062</c:v>
                </c:pt>
                <c:pt idx="16">
                  <c:v>-0.29104119409213675</c:v>
                </c:pt>
                <c:pt idx="17">
                  <c:v>-0.32656143963966466</c:v>
                </c:pt>
                <c:pt idx="18">
                  <c:v>-0.36401936368163729</c:v>
                </c:pt>
                <c:pt idx="19">
                  <c:v>-0.40339810536091758</c:v>
                </c:pt>
                <c:pt idx="20">
                  <c:v>-0.44468080382036856</c:v>
                </c:pt>
                <c:pt idx="21">
                  <c:v>-0.48785059820285315</c:v>
                </c:pt>
                <c:pt idx="22">
                  <c:v>-0.53289062765123429</c:v>
                </c:pt>
                <c:pt idx="23">
                  <c:v>-0.57978403130837497</c:v>
                </c:pt>
                <c:pt idx="24">
                  <c:v>-0.62851394831713803</c:v>
                </c:pt>
                <c:pt idx="25">
                  <c:v>-0.67906351782038654</c:v>
                </c:pt>
                <c:pt idx="26">
                  <c:v>-0.73141587896098348</c:v>
                </c:pt>
                <c:pt idx="27">
                  <c:v>-0.78555417088179169</c:v>
                </c:pt>
                <c:pt idx="28">
                  <c:v>-0.84146153272567425</c:v>
                </c:pt>
                <c:pt idx="29">
                  <c:v>-0.89912110363549402</c:v>
                </c:pt>
                <c:pt idx="30">
                  <c:v>-0.95851602275411407</c:v>
                </c:pt>
                <c:pt idx="31">
                  <c:v>-1.0196294292243973</c:v>
                </c:pt>
                <c:pt idx="32">
                  <c:v>-1.0824444621892066</c:v>
                </c:pt>
                <c:pt idx="33">
                  <c:v>-1.1469442607914051</c:v>
                </c:pt>
                <c:pt idx="34">
                  <c:v>-1.2131119641738555</c:v>
                </c:pt>
                <c:pt idx="35">
                  <c:v>-1.2809307114794208</c:v>
                </c:pt>
                <c:pt idx="36">
                  <c:v>-1.3503836418509643</c:v>
                </c:pt>
                <c:pt idx="37">
                  <c:v>-1.4214604194935709</c:v>
                </c:pt>
                <c:pt idx="38">
                  <c:v>-1.4941506248752707</c:v>
                </c:pt>
                <c:pt idx="39">
                  <c:v>-1.568443753705286</c:v>
                </c:pt>
                <c:pt idx="40">
                  <c:v>-1.6443292158955884</c:v>
                </c:pt>
                <c:pt idx="41">
                  <c:v>-1.7217963345054224</c:v>
                </c:pt>
                <c:pt idx="42">
                  <c:v>-1.8008343446684452</c:v>
                </c:pt>
                <c:pt idx="43">
                  <c:v>-1.881432392502123</c:v>
                </c:pt>
                <c:pt idx="44">
                  <c:v>-1.9635795339990159</c:v>
                </c:pt>
                <c:pt idx="45">
                  <c:v>-2.0472647338995738</c:v>
                </c:pt>
                <c:pt idx="46">
                  <c:v>-2.1324768645460561</c:v>
                </c:pt>
                <c:pt idx="47">
                  <c:v>-2.2192047047171779</c:v>
                </c:pt>
                <c:pt idx="48">
                  <c:v>-2.3074369384430766</c:v>
                </c:pt>
                <c:pt idx="49">
                  <c:v>-2.3971621538001835</c:v>
                </c:pt>
                <c:pt idx="50">
                  <c:v>-2.4883688416855665</c:v>
                </c:pt>
                <c:pt idx="51">
                  <c:v>-2.5810453945703133</c:v>
                </c:pt>
                <c:pt idx="52">
                  <c:v>-2.6751801052314987</c:v>
                </c:pt>
                <c:pt idx="53">
                  <c:v>-2.7707611654622761</c:v>
                </c:pt>
                <c:pt idx="54">
                  <c:v>-2.8677766647596217</c:v>
                </c:pt>
                <c:pt idx="55">
                  <c:v>-2.9662145889892404</c:v>
                </c:pt>
                <c:pt idx="56">
                  <c:v>-3.0660628190271395</c:v>
                </c:pt>
                <c:pt idx="57">
                  <c:v>-3.1673091293773563</c:v>
                </c:pt>
                <c:pt idx="58">
                  <c:v>-3.269941186765311</c:v>
                </c:pt>
                <c:pt idx="59">
                  <c:v>-3.3739465487062521</c:v>
                </c:pt>
                <c:pt idx="60">
                  <c:v>-3.4793126620482324</c:v>
                </c:pt>
                <c:pt idx="61">
                  <c:v>-3.5860268614890538</c:v>
                </c:pt>
                <c:pt idx="62">
                  <c:v>-3.6940763680665922</c:v>
                </c:pt>
                <c:pt idx="63">
                  <c:v>-3.8034482876219062</c:v>
                </c:pt>
                <c:pt idx="64">
                  <c:v>-3.9141296092345081</c:v>
                </c:pt>
                <c:pt idx="65">
                  <c:v>-4.0261072036291718</c:v>
                </c:pt>
                <c:pt idx="66">
                  <c:v>-4.1393678215536189</c:v>
                </c:pt>
                <c:pt idx="67">
                  <c:v>-4.2538980921264224</c:v>
                </c:pt>
                <c:pt idx="68">
                  <c:v>-4.3696845211544364</c:v>
                </c:pt>
                <c:pt idx="69">
                  <c:v>-4.4867134894190466</c:v>
                </c:pt>
                <c:pt idx="70">
                  <c:v>-4.6049712509305163</c:v>
                </c:pt>
                <c:pt idx="71">
                  <c:v>-4.7244439311496853</c:v>
                </c:pt>
                <c:pt idx="72">
                  <c:v>-4.845117525176251</c:v>
                </c:pt>
                <c:pt idx="73">
                  <c:v>-4.9669778959028408</c:v>
                </c:pt>
                <c:pt idx="74">
                  <c:v>-5.0900107721340726</c:v>
                </c:pt>
                <c:pt idx="75">
                  <c:v>-5.2142017466697608</c:v>
                </c:pt>
                <c:pt idx="76">
                  <c:v>-5.3395362743514152</c:v>
                </c:pt>
                <c:pt idx="77">
                  <c:v>-5.4659996700711488</c:v>
                </c:pt>
                <c:pt idx="78">
                  <c:v>-5.5935771067420808</c:v>
                </c:pt>
                <c:pt idx="79">
                  <c:v>-5.7222536132293094</c:v>
                </c:pt>
                <c:pt idx="80">
                  <c:v>-5.8520140722404799</c:v>
                </c:pt>
                <c:pt idx="81">
                  <c:v>-5.9828432181749704</c:v>
                </c:pt>
                <c:pt idx="82">
                  <c:v>-6.1147256349306636</c:v>
                </c:pt>
                <c:pt idx="83">
                  <c:v>-6.2476457536672605</c:v>
                </c:pt>
                <c:pt idx="84">
                  <c:v>-6.3815878505250518</c:v>
                </c:pt>
                <c:pt idx="85">
                  <c:v>-6.5165360442980349</c:v>
                </c:pt>
                <c:pt idx="86">
                  <c:v>-6.6524742940602257</c:v>
                </c:pt>
                <c:pt idx="87">
                  <c:v>-6.7893863967439865</c:v>
                </c:pt>
                <c:pt idx="88">
                  <c:v>-6.9272559846691442</c:v>
                </c:pt>
                <c:pt idx="89">
                  <c:v>-7.0660665230216502</c:v>
                </c:pt>
                <c:pt idx="90">
                  <c:v>-7.2058013072804865</c:v>
                </c:pt>
                <c:pt idx="91">
                  <c:v>-7.3464434605914732</c:v>
                </c:pt>
                <c:pt idx="92">
                  <c:v>-7.4879759310866181</c:v>
                </c:pt>
                <c:pt idx="93">
                  <c:v>-7.6303814891475721</c:v>
                </c:pt>
                <c:pt idx="94">
                  <c:v>-7.7736427246117366</c:v>
                </c:pt>
                <c:pt idx="95">
                  <c:v>-7.9177420439195103</c:v>
                </c:pt>
                <c:pt idx="96">
                  <c:v>-8.0626616672011142</c:v>
                </c:pt>
                <c:pt idx="97">
                  <c:v>-8.2083836253013942</c:v>
                </c:pt>
                <c:pt idx="98">
                  <c:v>-8.3548897567409259</c:v>
                </c:pt>
                <c:pt idx="99">
                  <c:v>-8.5021617046117335</c:v>
                </c:pt>
                <c:pt idx="100">
                  <c:v>-8.6501809134058263</c:v>
                </c:pt>
                <c:pt idx="101">
                  <c:v>-8.7989286257747441</c:v>
                </c:pt>
                <c:pt idx="102">
                  <c:v>-8.9483858792182236</c:v>
                </c:pt>
                <c:pt idx="103">
                  <c:v>-9.0985335027000271</c:v>
                </c:pt>
                <c:pt idx="104">
                  <c:v>-9.2493521131889302</c:v>
                </c:pt>
                <c:pt idx="105">
                  <c:v>-9.4008221121227802</c:v>
                </c:pt>
                <c:pt idx="106">
                  <c:v>-9.5529236817934855</c:v>
                </c:pt>
                <c:pt idx="107">
                  <c:v>-9.7056367816506999</c:v>
                </c:pt>
                <c:pt idx="108">
                  <c:v>-9.8589411445219124</c:v>
                </c:pt>
                <c:pt idx="109">
                  <c:v>-10.012816272746562</c:v>
                </c:pt>
                <c:pt idx="110">
                  <c:v>-10.167241434221721</c:v>
                </c:pt>
                <c:pt idx="111">
                  <c:v>-10.322195658356801</c:v>
                </c:pt>
                <c:pt idx="112">
                  <c:v>-10.477657731934658</c:v>
                </c:pt>
                <c:pt idx="113">
                  <c:v>-10.633606194876357</c:v>
                </c:pt>
                <c:pt idx="114">
                  <c:v>-10.790024841600651</c:v>
                </c:pt>
                <c:pt idx="115">
                  <c:v>-10.946897275718744</c:v>
                </c:pt>
                <c:pt idx="116">
                  <c:v>-11.104206906644437</c:v>
                </c:pt>
                <c:pt idx="117">
                  <c:v>-11.261936946123489</c:v>
                </c:pt>
                <c:pt idx="118">
                  <c:v>-11.420070404679777</c:v>
                </c:pt>
                <c:pt idx="119">
                  <c:v>-11.578590087975757</c:v>
                </c:pt>
                <c:pt idx="120">
                  <c:v>-11.737478593084617</c:v>
                </c:pt>
                <c:pt idx="121">
                  <c:v>-11.896718304671435</c:v>
                </c:pt>
                <c:pt idx="122">
                  <c:v>-12.056291391080537</c:v>
                </c:pt>
                <c:pt idx="123">
                  <c:v>-12.216179800326174</c:v>
                </c:pt>
                <c:pt idx="124">
                  <c:v>-12.376365255983494</c:v>
                </c:pt>
                <c:pt idx="125">
                  <c:v>-12.536829252976709</c:v>
                </c:pt>
                <c:pt idx="126">
                  <c:v>-12.697558974837174</c:v>
                </c:pt>
                <c:pt idx="127">
                  <c:v>-12.85854144272178</c:v>
                </c:pt>
                <c:pt idx="128">
                  <c:v>-13.019763512307556</c:v>
                </c:pt>
                <c:pt idx="129">
                  <c:v>-13.181211870606562</c:v>
                </c:pt>
                <c:pt idx="130">
                  <c:v>-13.342873032698526</c:v>
                </c:pt>
                <c:pt idx="131">
                  <c:v>-13.504733338378527</c:v>
                </c:pt>
                <c:pt idx="132">
                  <c:v>-13.666778948716971</c:v>
                </c:pt>
                <c:pt idx="133">
                  <c:v>-13.828995842528942</c:v>
                </c:pt>
                <c:pt idx="134">
                  <c:v>-13.991369812749955</c:v>
                </c:pt>
                <c:pt idx="135">
                  <c:v>-14.15388646271497</c:v>
                </c:pt>
                <c:pt idx="136">
                  <c:v>-14.316531202337417</c:v>
                </c:pt>
                <c:pt idx="137">
                  <c:v>-14.47928924418486</c:v>
                </c:pt>
                <c:pt idx="138">
                  <c:v>-14.64214559944778</c:v>
                </c:pt>
                <c:pt idx="139">
                  <c:v>-14.8050850737978</c:v>
                </c:pt>
                <c:pt idx="140">
                  <c:v>-14.968092263131561</c:v>
                </c:pt>
                <c:pt idx="141">
                  <c:v>-15.131151549196243</c:v>
                </c:pt>
                <c:pt idx="142">
                  <c:v>-15.29424709509262</c:v>
                </c:pt>
                <c:pt idx="143">
                  <c:v>-15.45736284065131</c:v>
                </c:pt>
                <c:pt idx="144">
                  <c:v>-15.620482497677727</c:v>
                </c:pt>
                <c:pt idx="145">
                  <c:v>-15.783589545061051</c:v>
                </c:pt>
                <c:pt idx="146">
                  <c:v>-15.946667223742297</c:v>
                </c:pt>
                <c:pt idx="147">
                  <c:v>-16.109698531536395</c:v>
                </c:pt>
                <c:pt idx="148">
                  <c:v>-16.272666217802939</c:v>
                </c:pt>
                <c:pt idx="149">
                  <c:v>-16.435552777960027</c:v>
                </c:pt>
                <c:pt idx="150">
                  <c:v>-16.598340447835387</c:v>
                </c:pt>
                <c:pt idx="151">
                  <c:v>-16.76101119784872</c:v>
                </c:pt>
                <c:pt idx="152">
                  <c:v>-16.923546727018877</c:v>
                </c:pt>
                <c:pt idx="153">
                  <c:v>-17.085928456789251</c:v>
                </c:pt>
                <c:pt idx="154">
                  <c:v>-17.248137524664447</c:v>
                </c:pt>
                <c:pt idx="155">
                  <c:v>-17.410154777650934</c:v>
                </c:pt>
                <c:pt idx="156">
                  <c:v>-17.571968065643656</c:v>
                </c:pt>
                <c:pt idx="157">
                  <c:v>-17.73356504848892</c:v>
                </c:pt>
                <c:pt idx="158">
                  <c:v>-17.894933191490203</c:v>
                </c:pt>
                <c:pt idx="159">
                  <c:v>-18.056059760771156</c:v>
                </c:pt>
                <c:pt idx="160">
                  <c:v>-18.216931818490036</c:v>
                </c:pt>
                <c:pt idx="161">
                  <c:v>-18.37753621789961</c:v>
                </c:pt>
                <c:pt idx="162">
                  <c:v>-18.537859598246229</c:v>
                </c:pt>
                <c:pt idx="163">
                  <c:v>-18.697896098982554</c:v>
                </c:pt>
                <c:pt idx="164">
                  <c:v>-18.857639762582991</c:v>
                </c:pt>
                <c:pt idx="165">
                  <c:v>-19.017084532116456</c:v>
                </c:pt>
                <c:pt idx="166">
                  <c:v>-19.176224248737462</c:v>
                </c:pt>
                <c:pt idx="167">
                  <c:v>-19.335052649092074</c:v>
                </c:pt>
                <c:pt idx="168">
                  <c:v>-19.493563362635058</c:v>
                </c:pt>
                <c:pt idx="169">
                  <c:v>-19.651749908854427</c:v>
                </c:pt>
                <c:pt idx="170">
                  <c:v>-19.809613884321884</c:v>
                </c:pt>
                <c:pt idx="171">
                  <c:v>-19.967156913652833</c:v>
                </c:pt>
                <c:pt idx="172">
                  <c:v>-20.124380650251808</c:v>
                </c:pt>
                <c:pt idx="173">
                  <c:v>-20.281286777084556</c:v>
                </c:pt>
                <c:pt idx="174">
                  <c:v>-20.437877007477976</c:v>
                </c:pt>
                <c:pt idx="175">
                  <c:v>-20.594153085949181</c:v>
                </c:pt>
                <c:pt idx="176">
                  <c:v>-20.750116789065018</c:v>
                </c:pt>
                <c:pt idx="177">
                  <c:v>-20.905769926333477</c:v>
                </c:pt>
                <c:pt idx="178">
                  <c:v>-21.061114341128452</c:v>
                </c:pt>
                <c:pt idx="179">
                  <c:v>-21.216151911649455</c:v>
                </c:pt>
                <c:pt idx="180">
                  <c:v>-21.370884551917921</c:v>
                </c:pt>
                <c:pt idx="181">
                  <c:v>-21.52531421281191</c:v>
                </c:pt>
                <c:pt idx="182">
                  <c:v>-21.679442883141022</c:v>
                </c:pt>
                <c:pt idx="183">
                  <c:v>-21.833272590763521</c:v>
                </c:pt>
                <c:pt idx="184">
                  <c:v>-21.986805403747788</c:v>
                </c:pt>
                <c:pt idx="185">
                  <c:v>-22.140043431580267</c:v>
                </c:pt>
                <c:pt idx="186">
                  <c:v>-22.292988826422295</c:v>
                </c:pt>
                <c:pt idx="187">
                  <c:v>-22.445643784418309</c:v>
                </c:pt>
                <c:pt idx="188">
                  <c:v>-22.59801054705807</c:v>
                </c:pt>
                <c:pt idx="189">
                  <c:v>-22.750091402595721</c:v>
                </c:pt>
                <c:pt idx="190">
                  <c:v>-22.901888687528697</c:v>
                </c:pt>
                <c:pt idx="191">
                  <c:v>-23.053404788139645</c:v>
                </c:pt>
                <c:pt idx="192">
                  <c:v>-23.204642142104763</c:v>
                </c:pt>
                <c:pt idx="193">
                  <c:v>-23.355603240172186</c:v>
                </c:pt>
                <c:pt idx="194">
                  <c:v>-23.506290627914233</c:v>
                </c:pt>
                <c:pt idx="195">
                  <c:v>-23.656706907557666</c:v>
                </c:pt>
                <c:pt idx="196">
                  <c:v>-23.806854739896341</c:v>
                </c:pt>
                <c:pt idx="197">
                  <c:v>-23.956736846290916</c:v>
                </c:pt>
                <c:pt idx="198">
                  <c:v>-24.106356010760656</c:v>
                </c:pt>
                <c:pt idx="199">
                  <c:v>-24.255715082172678</c:v>
                </c:pt>
                <c:pt idx="200">
                  <c:v>-24.404816976534395</c:v>
                </c:pt>
                <c:pt idx="201">
                  <c:v>-24.553664679395304</c:v>
                </c:pt>
                <c:pt idx="202">
                  <c:v>-24.702261248364696</c:v>
                </c:pt>
                <c:pt idx="203">
                  <c:v>-24.850609815752403</c:v>
                </c:pt>
                <c:pt idx="204">
                  <c:v>-24.99871359134017</c:v>
                </c:pt>
                <c:pt idx="205">
                  <c:v>-25.146575865291833</c:v>
                </c:pt>
                <c:pt idx="206">
                  <c:v>-25.294200011211096</c:v>
                </c:pt>
                <c:pt idx="207">
                  <c:v>-25.441589489356403</c:v>
                </c:pt>
                <c:pt idx="208">
                  <c:v>-25.588747850023111</c:v>
                </c:pt>
                <c:pt idx="209">
                  <c:v>-25.735678737103989</c:v>
                </c:pt>
                <c:pt idx="210">
                  <c:v>-25.882385891839956</c:v>
                </c:pt>
                <c:pt idx="211">
                  <c:v>-26.028873156773955</c:v>
                </c:pt>
                <c:pt idx="212">
                  <c:v>-26.175144479921855</c:v>
                </c:pt>
                <c:pt idx="213">
                  <c:v>-26.321203919175542</c:v>
                </c:pt>
                <c:pt idx="214">
                  <c:v>-26.467055646954528</c:v>
                </c:pt>
                <c:pt idx="215">
                  <c:v>-26.612703955123894</c:v>
                </c:pt>
                <c:pt idx="216">
                  <c:v>-26.758153260197908</c:v>
                </c:pt>
                <c:pt idx="217">
                  <c:v>-26.903408108850332</c:v>
                </c:pt>
                <c:pt idx="218">
                  <c:v>-27.04847318375441</c:v>
                </c:pt>
                <c:pt idx="219">
                  <c:v>-27.1933533097775</c:v>
                </c:pt>
                <c:pt idx="220">
                  <c:v>-27.33805346055772</c:v>
                </c:pt>
                <c:pt idx="221">
                  <c:v>-27.482578765492551</c:v>
                </c:pt>
                <c:pt idx="222">
                  <c:v>-27.626934517172074</c:v>
                </c:pt>
                <c:pt idx="223">
                  <c:v>-27.771126179292878</c:v>
                </c:pt>
                <c:pt idx="224">
                  <c:v>-27.915159395092051</c:v>
                </c:pt>
                <c:pt idx="225">
                  <c:v>-28.05903999634474</c:v>
                </c:pt>
                <c:pt idx="226">
                  <c:v>-28.202774012973123</c:v>
                </c:pt>
                <c:pt idx="227">
                  <c:v>-28.346367683319638</c:v>
                </c:pt>
                <c:pt idx="228">
                  <c:v>-28.489827465142881</c:v>
                </c:pt>
                <c:pt idx="229">
                  <c:v>-28.63316004740085</c:v>
                </c:pt>
                <c:pt idx="230">
                  <c:v>-28.776372362893277</c:v>
                </c:pt>
                <c:pt idx="231">
                  <c:v>-28.919471601842833</c:v>
                </c:pt>
                <c:pt idx="232">
                  <c:v>-29.062465226503956</c:v>
                </c:pt>
                <c:pt idx="233">
                  <c:v>-29.20536098689843</c:v>
                </c:pt>
                <c:pt idx="234">
                  <c:v>-29.348166937788427</c:v>
                </c:pt>
                <c:pt idx="235">
                  <c:v>-29.49089145701112</c:v>
                </c:pt>
                <c:pt idx="236">
                  <c:v>-29.633543265314213</c:v>
                </c:pt>
                <c:pt idx="237">
                  <c:v>-29.776131447849139</c:v>
                </c:pt>
                <c:pt idx="238">
                  <c:v>-29.918665477498813</c:v>
                </c:pt>
                <c:pt idx="239">
                  <c:v>-30.061155240239948</c:v>
                </c:pt>
                <c:pt idx="240">
                  <c:v>-30.203611062766676</c:v>
                </c:pt>
                <c:pt idx="241">
                  <c:v>-30.346043742633231</c:v>
                </c:pt>
                <c:pt idx="242">
                  <c:v>-30.48846458120958</c:v>
                </c:pt>
                <c:pt idx="243">
                  <c:v>-30.63088541978593</c:v>
                </c:pt>
                <c:pt idx="244">
                  <c:v>-30.773308297855053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D9B-A95E-3A73E476A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878815"/>
        <c:axId val="1312879295"/>
      </c:scatterChart>
      <c:valAx>
        <c:axId val="131287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9295"/>
        <c:crosses val="autoZero"/>
        <c:crossBetween val="midCat"/>
      </c:valAx>
      <c:valAx>
        <c:axId val="131287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8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Pickthall\Desktop\Screenshot%202024-07-03%20090212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619125</xdr:colOff>
      <xdr:row>11</xdr:row>
      <xdr:rowOff>1</xdr:rowOff>
    </xdr:from>
    <xdr:to>
      <xdr:col>12</xdr:col>
      <xdr:colOff>3095625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696450" y="2095501"/>
          <a:ext cx="2476500" cy="504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/>
            <a:t>Input the Profile</a:t>
          </a:r>
          <a:r>
            <a:rPr lang="en-CA" sz="1100" b="1" baseline="0"/>
            <a:t> # in the YELLOW cell.</a:t>
          </a:r>
        </a:p>
        <a:p>
          <a:r>
            <a:rPr lang="en-CA" sz="1100" b="1" baseline="0"/>
            <a:t>Don't input data here. Only for looking.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400050</xdr:colOff>
          <xdr:row>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31750</xdr:rowOff>
        </xdr:from>
        <xdr:to>
          <xdr:col>11</xdr:col>
          <xdr:colOff>374650</xdr:colOff>
          <xdr:row>4</xdr:row>
          <xdr:rowOff>114300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6</xdr:row>
          <xdr:rowOff>114300</xdr:rowOff>
        </xdr:from>
        <xdr:to>
          <xdr:col>11</xdr:col>
          <xdr:colOff>381000</xdr:colOff>
          <xdr:row>8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10</xdr:row>
          <xdr:rowOff>12700</xdr:rowOff>
        </xdr:from>
        <xdr:to>
          <xdr:col>11</xdr:col>
          <xdr:colOff>0</xdr:colOff>
          <xdr:row>14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171450</xdr:rowOff>
        </xdr:from>
        <xdr:to>
          <xdr:col>10</xdr:col>
          <xdr:colOff>603250</xdr:colOff>
          <xdr:row>20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76201</xdr:colOff>
      <xdr:row>23</xdr:row>
      <xdr:rowOff>152400</xdr:rowOff>
    </xdr:from>
    <xdr:to>
      <xdr:col>15</xdr:col>
      <xdr:colOff>1035051</xdr:colOff>
      <xdr:row>25</xdr:row>
      <xdr:rowOff>168275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781801" y="4314825"/>
          <a:ext cx="4302125" cy="377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</a:t>
          </a:r>
          <a:r>
            <a:rPr lang="en-US" sz="1100" baseline="0"/>
            <a:t> </a:t>
          </a:r>
          <a:r>
            <a:rPr lang="en-US" sz="1100"/>
            <a:t>This</a:t>
          </a:r>
          <a:r>
            <a:rPr lang="en-US" sz="1100" baseline="0"/>
            <a:t> sheets needs instructions, it will not be clear without them.</a:t>
          </a:r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20114</xdr:colOff>
      <xdr:row>30</xdr:row>
      <xdr:rowOff>95250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287314" cy="5524500"/>
        </a:xfrm>
        <a:prstGeom prst="rect">
          <a:avLst/>
        </a:prstGeom>
      </xdr:spPr>
    </xdr:pic>
    <xdr:clientData/>
  </xdr:twoCellAnchor>
  <xdr:twoCellAnchor>
    <xdr:from>
      <xdr:col>3</xdr:col>
      <xdr:colOff>56044</xdr:colOff>
      <xdr:row>13</xdr:row>
      <xdr:rowOff>21981</xdr:rowOff>
    </xdr:from>
    <xdr:to>
      <xdr:col>3</xdr:col>
      <xdr:colOff>183173</xdr:colOff>
      <xdr:row>25</xdr:row>
      <xdr:rowOff>104774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 flipH="1">
          <a:off x="1880448" y="2403231"/>
          <a:ext cx="127129" cy="228087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425450</xdr:colOff>
      <xdr:row>12</xdr:row>
      <xdr:rowOff>77670</xdr:rowOff>
    </xdr:from>
    <xdr:to>
      <xdr:col>22</xdr:col>
      <xdr:colOff>182460</xdr:colOff>
      <xdr:row>40</xdr:row>
      <xdr:rowOff>115261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032F88-A7D2-0FD8-BEED-DB78BB31C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0100" y="2249370"/>
          <a:ext cx="7900885" cy="51048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17</xdr:col>
      <xdr:colOff>468151</xdr:colOff>
      <xdr:row>38</xdr:row>
      <xdr:rowOff>48615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221751" cy="709711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15</xdr:row>
      <xdr:rowOff>50797</xdr:rowOff>
    </xdr:from>
    <xdr:to>
      <xdr:col>4</xdr:col>
      <xdr:colOff>285474</xdr:colOff>
      <xdr:row>27</xdr:row>
      <xdr:rowOff>130175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00050" y="2955922"/>
          <a:ext cx="4305024" cy="22510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Input</a:t>
          </a:r>
          <a:r>
            <a:rPr lang="en-US" sz="1100" baseline="0"/>
            <a:t> cells are in BLUE and are required.</a:t>
          </a:r>
        </a:p>
        <a:p>
          <a:endParaRPr lang="en-US" sz="1100" baseline="0"/>
        </a:p>
        <a:p>
          <a:r>
            <a:rPr lang="en-US" sz="1100" baseline="0"/>
            <a:t>The main pole is the one you want to perform an analyis of.</a:t>
          </a:r>
        </a:p>
        <a:p>
          <a:r>
            <a:rPr lang="en-US" sz="1100"/>
            <a:t>You must also fill in the lines</a:t>
          </a:r>
          <a:r>
            <a:rPr lang="en-US" sz="1100" baseline="0"/>
            <a:t> that are attached from the main pole to each sub pole. (ie. The main pole has a C1 attachment going to the sub pole)</a:t>
          </a:r>
        </a:p>
        <a:p>
          <a:endParaRPr lang="en-US" sz="1100" baseline="0"/>
        </a:p>
        <a:p>
          <a:r>
            <a:rPr lang="en-US" sz="1100" baseline="0"/>
            <a:t>Sub poles are populated automatically based on the "Spans" sheet. You can also fill them in manually, but be sure to replace the formula in E2 after doing so.</a:t>
          </a:r>
        </a:p>
        <a:p>
          <a:endParaRPr lang="en-US" sz="1100" baseline="0"/>
        </a:p>
        <a:p>
          <a:r>
            <a:rPr lang="en-US" sz="1100" baseline="0"/>
            <a:t>This sheet is usable, but still requires some work.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738394</xdr:colOff>
      <xdr:row>66</xdr:row>
      <xdr:rowOff>50311</xdr:rowOff>
    </xdr:from>
    <xdr:to>
      <xdr:col>17</xdr:col>
      <xdr:colOff>22679</xdr:colOff>
      <xdr:row>94</xdr:row>
      <xdr:rowOff>172810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750833</xdr:colOff>
      <xdr:row>36</xdr:row>
      <xdr:rowOff>114790</xdr:rowOff>
    </xdr:from>
    <xdr:to>
      <xdr:col>17</xdr:col>
      <xdr:colOff>17793</xdr:colOff>
      <xdr:row>65</xdr:row>
      <xdr:rowOff>62155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933450</xdr:colOff>
          <xdr:row>0</xdr:row>
          <xdr:rowOff>114300</xdr:rowOff>
        </xdr:from>
        <xdr:to>
          <xdr:col>10</xdr:col>
          <xdr:colOff>342900</xdr:colOff>
          <xdr:row>4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Pole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687733</xdr:colOff>
      <xdr:row>0</xdr:row>
      <xdr:rowOff>69712</xdr:rowOff>
    </xdr:from>
    <xdr:to>
      <xdr:col>4</xdr:col>
      <xdr:colOff>496681</xdr:colOff>
      <xdr:row>5</xdr:row>
      <xdr:rowOff>66675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87733" y="69712"/>
          <a:ext cx="3418923" cy="9018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Runs a simple 2D</a:t>
          </a:r>
          <a:r>
            <a:rPr lang="en-US" sz="1100" baseline="0"/>
            <a:t> FEA on a telephone pole. Values in blue may be changed manually, then click "Solve Pole". Some values in the code may need to be changed if the goal seek fails.</a:t>
          </a:r>
          <a:endParaRPr lang="en-US" sz="1100"/>
        </a:p>
      </xdr:txBody>
    </xdr:sp>
    <xdr:clientData/>
  </xdr:twoCellAnchor>
  <xdr:twoCellAnchor>
    <xdr:from>
      <xdr:col>12</xdr:col>
      <xdr:colOff>759322</xdr:colOff>
      <xdr:row>7</xdr:row>
      <xdr:rowOff>98684</xdr:rowOff>
    </xdr:from>
    <xdr:to>
      <xdr:col>17</xdr:col>
      <xdr:colOff>25364</xdr:colOff>
      <xdr:row>36</xdr:row>
      <xdr:rowOff>42615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0</xdr:row>
          <xdr:rowOff>114300</xdr:rowOff>
        </xdr:from>
        <xdr:to>
          <xdr:col>7</xdr:col>
          <xdr:colOff>800100</xdr:colOff>
          <xdr:row>4</xdr:row>
          <xdr:rowOff>38100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FEA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150112</xdr:colOff>
      <xdr:row>66</xdr:row>
      <xdr:rowOff>47136</xdr:rowOff>
    </xdr:from>
    <xdr:to>
      <xdr:col>20</xdr:col>
      <xdr:colOff>406855</xdr:colOff>
      <xdr:row>94</xdr:row>
      <xdr:rowOff>172810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168901</xdr:colOff>
      <xdr:row>36</xdr:row>
      <xdr:rowOff>114790</xdr:rowOff>
    </xdr:from>
    <xdr:to>
      <xdr:col>20</xdr:col>
      <xdr:colOff>398794</xdr:colOff>
      <xdr:row>65</xdr:row>
      <xdr:rowOff>65330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174215</xdr:colOff>
      <xdr:row>7</xdr:row>
      <xdr:rowOff>101859</xdr:rowOff>
    </xdr:from>
    <xdr:to>
      <xdr:col>20</xdr:col>
      <xdr:colOff>409540</xdr:colOff>
      <xdr:row>36</xdr:row>
      <xdr:rowOff>45790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617A0C-5AAD-4424-B6FE-0552BD345ADB}" name="InputData" displayName="InputData" ref="L10:P22" totalsRowShown="0">
  <autoFilter ref="L10:P22" xr:uid="{28617A0C-5AAD-4424-B6FE-0552BD345ADB}"/>
  <tableColumns count="5">
    <tableColumn id="1" xr3:uid="{782FBA35-C980-49AF-A161-A6D9AB90D46A}" name="Name" dataDxfId="18"/>
    <tableColumn id="2" xr3:uid="{50ACCDFD-83E8-4E2C-B6D7-6710E562DF91}" name="Column"/>
    <tableColumn id="3" xr3:uid="{4E74D041-89C7-4955-8510-FA78F3CC520B}" name="Col Num">
      <calculatedColumnFormula array="1">COLUMN( INDIRECT( M11 &amp; "1"))</calculatedColumnFormula>
    </tableColumn>
    <tableColumn id="6" xr3:uid="{8408FFA0-3E4A-4547-8F0A-5C2147CB810C}" name="Image Height"/>
    <tableColumn id="5" xr3:uid="{B9DFBF63-19CA-4F5A-AFC5-50E123712A1A}" name="Actual Height" dataDxfId="17">
      <calculatedColumnFormula>ROUND(#REF!*$P$5 + IF(#REF!&lt;&gt;0, $P$6, 0), 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928C0-F909-4FDB-8F53-0EEAF33426B5}" name="PoleData" displayName="PoleData" ref="A1:BE5" totalsRowShown="0">
  <autoFilter ref="A1:BE5" xr:uid="{318928C0-F909-4FDB-8F53-0EEAF33426B5}"/>
  <tableColumns count="57">
    <tableColumn id="1" xr3:uid="{79BA610A-D5A5-4116-A788-67780AD50187}" name="Profile #"/>
    <tableColumn id="2" xr3:uid="{A80CAE9B-3A69-411D-B1C1-F9A36D031BD0}" name="Structure #"/>
    <tableColumn id="3" xr3:uid="{8BA80E03-5CFB-447B-891D-029D18A2B214}" name="Latitude"/>
    <tableColumn id="4" xr3:uid="{B9D23B6A-8973-41B0-800B-05F21A5E9153}" name="Longitude"/>
    <tableColumn id="5" xr3:uid="{29D868AF-9103-4D57-8000-7111D6FB952A}" name="Elevation (m)"/>
    <tableColumn id="6" xr3:uid="{DA84B072-1282-4232-A509-BA35EC8599B8}" name="Length"/>
    <tableColumn id="7" xr3:uid="{5493B69D-14FA-443C-8849-6B843B3DFD6A}" name="Class"/>
    <tableColumn id="8" xr3:uid="{995A7D27-6898-4D27-B161-DF08C23818EB}" name="Pole Circ"/>
    <tableColumn id="9" xr3:uid="{6289957A-0B65-4769-9338-0840490BDB71}" name="Pole Species"/>
    <tableColumn id="10" xr3:uid="{6A053C7A-B72B-492D-A58A-11DCEF1A9DF3}" name="Top of Pole"/>
    <tableColumn id="11" xr3:uid="{BE14F3BC-0E5B-43DE-89E3-716A17BBE131}" name="P1"/>
    <tableColumn id="12" xr3:uid="{937655DE-333D-40F2-ACA8-1C6E02A1E08D}" name="P1 Tension Type"/>
    <tableColumn id="13" xr3:uid="{7D26A04D-13E4-40BA-9A47-3658E41850EA}" name="P1 attach type"/>
    <tableColumn id="14" xr3:uid="{D14068CA-2778-4C2C-BB77-A1D2C5DD91C5}" name="P1 # wires"/>
    <tableColumn id="15" xr3:uid="{39DA9468-3B18-45C4-9999-386F1A9B91B2}" name="P2"/>
    <tableColumn id="16" xr3:uid="{AC346121-0AD3-4D8A-9617-8923AA75E5E9}" name="P2 notes"/>
    <tableColumn id="17" xr3:uid="{427896D6-E263-400E-8524-87DEF4E1CD27}" name="Equip"/>
    <tableColumn id="18" xr3:uid="{BC8F85BF-49B6-452D-8CAB-914FE1E8A312}" name="Equip Height"/>
    <tableColumn id="19" xr3:uid="{50EF64BE-735D-4B13-9E55-54AC8BB1A2A0}" name="S1"/>
    <tableColumn id="20" xr3:uid="{34A8EA65-C887-4EC3-84D8-061F4F610830}" name="S2"/>
    <tableColumn id="21" xr3:uid="{77E35B2E-D2A4-4FCA-AB97-3D5E83B38A09}" name="S3"/>
    <tableColumn id="22" xr3:uid="{254BDD3F-E4AB-422F-A868-18873A89D97C}" name="S4"/>
    <tableColumn id="23" xr3:uid="{65D88170-C46D-4F45-B758-86012DE82EA5}" name="S5"/>
    <tableColumn id="24" xr3:uid="{D3C60E89-64C1-40CE-B46C-45EF4B989349}" name="S tension type"/>
    <tableColumn id="25" xr3:uid="{B3692FD3-ECE7-4288-9F7A-DC406DC8C4BF}" name="s attach type"/>
    <tableColumn id="26" xr3:uid="{B355D101-78EE-40AE-96DA-0BF023E1ADE9}" name="S notes"/>
    <tableColumn id="27" xr3:uid="{0B3660A7-B1F9-4544-96CA-DE4BE52B618D}" name="C1"/>
    <tableColumn id="28" xr3:uid="{F4C989F4-BBF5-4A23-BC81-28AE6DA22ECE}" name="C1 size"/>
    <tableColumn id="29" xr3:uid="{ACAE9DAF-5951-49BC-AB5D-24E3AF3268D8}" name="C2"/>
    <tableColumn id="30" xr3:uid="{9DE1E9FF-74D2-4A8B-AA85-0FAD4020E67C}" name="C2 size"/>
    <tableColumn id="31" xr3:uid="{B1F44BFC-06AB-493F-A0A7-40C05B3680D6}" name="C3"/>
    <tableColumn id="32" xr3:uid="{2A76D653-0D0D-4536-9638-369D8CFBD637}" name="C3 size"/>
    <tableColumn id="33" xr3:uid="{F2036271-D8B6-4E8A-954C-7E68937A8A82}" name="C tension type"/>
    <tableColumn id="34" xr3:uid="{2AA1F88D-747B-4AF8-B5AD-E82AB34D1569}" name="C attach type"/>
    <tableColumn id="35" xr3:uid="{C79B2420-2596-4FED-BCFE-313DD3789958}" name="C notes"/>
    <tableColumn id="36" xr3:uid="{44C7428C-23B7-4EFE-9CE5-00CD1F002622}" name="guy1 attachment"/>
    <tableColumn id="37" xr3:uid="{DE145455-1754-4B7E-83CC-9861DB95A30D}" name="guy1 direction"/>
    <tableColumn id="38" xr3:uid="{F14BDF6C-493C-4D68-A201-40A108E1C93D}" name="guy1 size"/>
    <tableColumn id="39" xr3:uid="{734C4BDC-91B1-405D-AF3F-1C78D1DF8515}" name="guy1 length"/>
    <tableColumn id="40" xr3:uid="{1FF84C78-6226-4A4F-9529-BE0E1A75916F}" name="guy2 attachment"/>
    <tableColumn id="41" xr3:uid="{C0159E12-2062-48EB-AB49-771103282020}" name="guy2 direction"/>
    <tableColumn id="42" xr3:uid="{C306DFAD-B8CB-4EBC-B2CA-991AE8D1FB0D}" name="guy2 size"/>
    <tableColumn id="43" xr3:uid="{10D4EE7F-241C-4456-B0B0-226AC1ED6752}" name="guy2 length"/>
    <tableColumn id="44" xr3:uid="{B79015DC-44D0-4A5B-9037-28D244B31521}" name="guy3 attachment"/>
    <tableColumn id="45" xr3:uid="{37588CCD-D10B-4983-99FC-F12CAF887A4D}" name="guy3 direction"/>
    <tableColumn id="46" xr3:uid="{86751E88-2808-4824-8E4E-2B1A0D819509}" name="guy3 size"/>
    <tableColumn id="47" xr3:uid="{EB1FBD6D-3011-47F0-9F0C-8D5EA319A4A6}" name="guy3 length"/>
    <tableColumn id="48" xr3:uid="{1CE3EB04-74DA-4CBE-AD2F-903D0A274C47}" name="guy4 attachment"/>
    <tableColumn id="49" xr3:uid="{CD6D0BFA-D557-452F-9AE9-E2E1F8DE4E0A}" name="guy4 direction"/>
    <tableColumn id="50" xr3:uid="{A20B63EE-0B39-407B-A961-8A4B47E301CB}" name="guy4 size"/>
    <tableColumn id="51" xr3:uid="{490EA733-42AE-442B-83B8-70D26821A659}" name="guy4 length"/>
    <tableColumn id="52" xr3:uid="{91DF5731-03E6-4388-BE59-CCC6891ECC34}" name="notes"/>
    <tableColumn id="53" xr3:uid="{3A24D626-4B8E-4221-B845-55640BE208A6}" name="Required Info"/>
    <tableColumn id="54" xr3:uid="{9F77A0D4-047A-4386-A5BA-B00768C4F46C}" name="guy1 length?" dataDxfId="15">
      <calculatedColumnFormula>IF( AND( NOT( ISBLANK( PoleData[[#This Row],[guy1 attachment]])), ISBLANK( PoleData[[#This Row],[guy1 length]])), "Missing", "")</calculatedColumnFormula>
    </tableColumn>
    <tableColumn id="55" xr3:uid="{D3820308-E9CF-4DA1-BBDB-5AD97F9A15E9}" name="guy2 length?" dataDxfId="14">
      <calculatedColumnFormula>IF( AND( NOT( ISBLANK( PoleData[[#This Row],[guy2 attachment]])), ISBLANK( PoleData[[#This Row],[guy2 length]])), "Missing", "")</calculatedColumnFormula>
    </tableColumn>
    <tableColumn id="56" xr3:uid="{29843DAC-2AC3-4125-BB7B-AD4AC5AA4D9A}" name="guy3 length?" dataDxfId="13">
      <calculatedColumnFormula>IF( AND( NOT( ISBLANK( PoleData[[#This Row],[guy3 attachment]])), ISBLANK( PoleData[[#This Row],[guy3 length]])), "Missing", "")</calculatedColumnFormula>
    </tableColumn>
    <tableColumn id="57" xr3:uid="{0633A1C2-1BE6-466B-ADF4-CFBCBA5917D3}" name="guy4 length2" dataDxfId="12">
      <calculatedColumnFormula>IF( AND( NOT( ISBLANK( PoleData[[#This Row],[guy4 attachment]])), ISBLANK( PoleData[[#This Row],[guy4 length]])), "Missing", 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A14F37-131D-4B22-B06C-19AAB9EF6F45}" name="SpanData" displayName="SpanData" ref="A1:F4" totalsRowShown="0">
  <autoFilter ref="A1:F4" xr:uid="{70A14F37-131D-4B22-B06C-19AAB9EF6F45}"/>
  <tableColumns count="6">
    <tableColumn id="1" xr3:uid="{C9C4793C-FB47-4433-AD21-B1372FBE4FB0}" name="Span1"/>
    <tableColumn id="2" xr3:uid="{95F4422E-1EE2-4F78-A586-2F0002EF146F}" name="Span2"/>
    <tableColumn id="3" xr3:uid="{A68C7610-AFCE-491C-9296-2700858CC616}" name="Clearance Type"/>
    <tableColumn id="4" xr3:uid="{4FB58E54-8E37-4B5D-B60A-A790E0ADEA9F}" name="Clearance Requirement">
      <calculatedColumnFormula>_xlfn.XLOOKUP(C2, ClearanceReqs[Clearance Type], ClearanceReqs[Clearance Requirement])</calculatedColumnFormula>
    </tableColumn>
    <tableColumn id="5" xr3:uid="{9B2107C4-EADC-4CC2-A09A-801553921205}" name="Actual Clearance"/>
    <tableColumn id="6" xr3:uid="{A0F8D4A9-B7F4-4ABF-9F41-3D0CE6335DC5}" name="Clearance Room" dataDxfId="10">
      <calculatedColumnFormula>SpanData[[#This Row],[Actual Clearance]]-SpanData[[#This Row],[Clearance Requirement]]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8AD4D1-4619-40D3-8570-93D5B6522125}" name="Table4" displayName="Table4" ref="A1:I5" totalsRowShown="0">
  <autoFilter ref="A1:I5" xr:uid="{138AD4D1-4619-40D3-8570-93D5B6522125}"/>
  <tableColumns count="9">
    <tableColumn id="1" xr3:uid="{0168FC94-8E79-448D-885B-7ADF21CE9072}" name="Profile #">
      <calculatedColumnFormula>PoleData[[#This Row],[Profile '#]]</calculatedColumnFormula>
    </tableColumn>
    <tableColumn id="4" xr3:uid="{19151518-04B7-4BF9-B100-24846559CDC3}" name="S + C exists?" dataDxfId="7">
      <calculatedColumnFormula>IF( AND(MIN(PoleData[[#This Row],[S1]:[S5]])&gt;0, MIN(PoleData[[#This Row],[C1]])&gt;0), TRUE, FALSE)</calculatedColumnFormula>
    </tableColumn>
    <tableColumn id="2" xr3:uid="{CD0AB88E-1980-452C-88B9-623FD3393CEF}" name="C clearance" dataDxfId="6">
      <calculatedColumnFormula array="1">IF(Table4[[#This Row],[S + C exists?]], MIN(_xlfn._xlws.FILTER(PoleData[[#This Row],[S1]:[S5]], PoleData[[#This Row],[S1]:[S5]]&lt;&gt;0)) - PoleData[[#This Row],[C1]], "")</calculatedColumnFormula>
    </tableColumn>
    <tableColumn id="7" xr3:uid="{213B8034-4DEF-472E-B535-1649B5D09596}" name="C clearance -req" dataDxfId="5">
      <calculatedColumnFormula>IFERROR(ROUND(Table4[[#This Row],[C clearance]]-1.3, 2), "")</calculatedColumnFormula>
    </tableColumn>
    <tableColumn id="8" xr3:uid="{42F6CB5D-EB6B-4F37-B911-54C5C40C1B47}" name="Clearance Issue?" dataDxfId="4">
      <calculatedColumnFormula>IFERROR( IF(Table4[[#This Row],[C clearance -req]]&lt;0, TRUE, FALSE), FALSE)</calculatedColumnFormula>
    </tableColumn>
    <tableColumn id="5" xr3:uid="{B2969CB4-B912-43C4-9068-AC5A0DB6065E}" name="Span1 Clearance Room" dataDxfId="3">
      <calculatedColumnFormula>IFERROR( _xlfn.XLOOKUP(Table4[[#This Row],[Profile '#]], SpanData[Span1], SpanData[Clearance Room]), "")</calculatedColumnFormula>
    </tableColumn>
    <tableColumn id="6" xr3:uid="{A1B8CC91-F998-4B42-A95B-A108370BA540}" name="Span2 Clearance Room" dataDxfId="2">
      <calculatedColumnFormula>IFERROR( _xlfn.XLOOKUP(Table4[[#This Row],[Profile '#]], SpanData[Span2], SpanData[Clearance Room]), "")</calculatedColumnFormula>
    </tableColumn>
    <tableColumn id="9" xr3:uid="{B00E64F2-B633-4A23-B006-D1832E2DB4BB}" name="Space to lower C?" dataDxfId="1">
      <calculatedColumnFormula>IF(Table4[[#This Row],[Clearance Issue?]], MIN(Table4[[#This Row],[Span1 Clearance Room]:[Span2 Clearance Room]])+Table4[[#This Row],[C clearance -req]], "")</calculatedColumnFormula>
    </tableColumn>
    <tableColumn id="10" xr3:uid="{4107CDE0-B5CF-4A0D-8BCC-9EF1ECAB7575}" name="Recommendation" dataDxfId="0">
      <calculatedColumnFormula>IF(Table4[[#This Row],[Clearance Issue?]], IF(_xlfn.NUMBERVALUE(Table4[[#This Row],[Space to lower C?]])&gt;0, "Lower C by " &amp; Table4[[#This Row],[C clearance -req]] &amp; "m", "Taller pole may be needed"),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FAFB31-BA33-4A47-AFC0-557AC067D9ED}" name="ClearanceReqs" displayName="ClearanceReqs" ref="T3:U9" totalsRowShown="0">
  <autoFilter ref="T3:U9" xr:uid="{F4FAFB31-BA33-4A47-AFC0-557AC067D9ED}"/>
  <tableColumns count="2">
    <tableColumn id="1" xr3:uid="{FB4504C7-7F77-4BD8-BCE6-CB724AB216CA}" name="Clearance Type"/>
    <tableColumn id="2" xr3:uid="{371E1C6E-FD68-464C-9673-48A1D253B9A7}" name="Clearance Require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9389-5FF7-4D8A-BEAE-6DFF383BC618}">
  <sheetPr codeName="Sheet1"/>
  <dimension ref="B2:M20"/>
  <sheetViews>
    <sheetView workbookViewId="0">
      <selection activeCell="E28" sqref="E28"/>
    </sheetView>
  </sheetViews>
  <sheetFormatPr defaultColWidth="9.1796875" defaultRowHeight="14.5" x14ac:dyDescent="0.35"/>
  <cols>
    <col min="1" max="1" width="9" style="3" customWidth="1"/>
    <col min="2" max="2" width="12.81640625" style="3" bestFit="1" customWidth="1"/>
    <col min="3" max="3" width="9.1796875" style="3"/>
    <col min="4" max="4" width="15.453125" style="3" bestFit="1" customWidth="1"/>
    <col min="5" max="5" width="10.54296875" style="3" bestFit="1" customWidth="1"/>
    <col min="6" max="6" width="14.26953125" style="3" bestFit="1" customWidth="1"/>
    <col min="7" max="7" width="9.1796875" style="3"/>
    <col min="8" max="8" width="13.81640625" style="3" bestFit="1" customWidth="1"/>
    <col min="9" max="9" width="9.1796875" style="3"/>
    <col min="10" max="10" width="15.81640625" style="3" bestFit="1" customWidth="1"/>
    <col min="11" max="11" width="11" style="3" bestFit="1" customWidth="1"/>
    <col min="12" max="12" width="9.1796875" style="3"/>
    <col min="13" max="13" width="50" style="3" customWidth="1"/>
    <col min="14" max="16384" width="9.1796875" style="3"/>
  </cols>
  <sheetData>
    <row r="2" spans="2:13" x14ac:dyDescent="0.35">
      <c r="B2" s="4" t="s">
        <v>9</v>
      </c>
      <c r="C2" s="2" t="s">
        <v>4</v>
      </c>
      <c r="D2" s="1" t="s">
        <v>3</v>
      </c>
      <c r="E2">
        <f>IFERROR( INDEX(PoleData[], MATCH($C$2, PoleData[Profile '#], 0), MATCH(D2, PoleData[#Headers], 0)), "")</f>
        <v>0</v>
      </c>
      <c r="F2" s="1" t="s">
        <v>6</v>
      </c>
      <c r="G2">
        <f>IFERROR( INDEX(PoleData[], MATCH($C$2, PoleData[Profile '#], 0), MATCH(F2, PoleData[#Headers], 0)), "")</f>
        <v>8.363999999999999</v>
      </c>
      <c r="H2" s="1" t="s">
        <v>28</v>
      </c>
      <c r="I2">
        <f>IFERROR( INDEX(PoleData[], MATCH($C$2, PoleData[Profile '#], 0), MATCH(H2, PoleData[#Headers], 0)), "")</f>
        <v>6.0860000000000003</v>
      </c>
      <c r="J2" s="1" t="s">
        <v>24</v>
      </c>
      <c r="K2">
        <f>IFERROR( INDEX(PoleData[], MATCH($C$2, PoleData[Profile '#], 0), MATCH(J2, PoleData[#Headers], 0)), "")</f>
        <v>0</v>
      </c>
      <c r="L2" s="1" t="s">
        <v>23</v>
      </c>
      <c r="M2">
        <f>IFERROR( INDEX(PoleData[], MATCH($C$2, PoleData[Profile '#], 0), MATCH(L2, PoleData[#Headers], 0)), "")</f>
        <v>0</v>
      </c>
    </row>
    <row r="3" spans="2:13" x14ac:dyDescent="0.35">
      <c r="B3" s="1" t="s">
        <v>64</v>
      </c>
      <c r="C3">
        <f>IFERROR( INDEX(PoleData[], MATCH($C$2, PoleData[Profile '#], 0), MATCH(B3, PoleData[#Headers], 0)), "")</f>
        <v>0</v>
      </c>
      <c r="D3" s="1" t="s">
        <v>17</v>
      </c>
      <c r="E3">
        <f>IFERROR( INDEX(PoleData[], MATCH($C$2, PoleData[Profile '#], 0), MATCH(D3, PoleData[#Headers], 0)), "")</f>
        <v>0</v>
      </c>
      <c r="F3" s="1" t="s">
        <v>7</v>
      </c>
      <c r="G3">
        <f>IFERROR( INDEX(PoleData[], MATCH($C$2, PoleData[Profile '#], 0), MATCH(F3, PoleData[#Headers], 0)), "")</f>
        <v>7.99</v>
      </c>
      <c r="H3" s="1" t="s">
        <v>29</v>
      </c>
      <c r="I3" t="str">
        <f>IFERROR( INDEX(PoleData[], MATCH($C$2, PoleData[Profile '#], 0), MATCH(H3, PoleData[#Headers], 0)), "")</f>
        <v>25mm</v>
      </c>
      <c r="J3" s="1" t="s">
        <v>25</v>
      </c>
      <c r="K3">
        <f>IFERROR( INDEX(PoleData[], MATCH($C$2, PoleData[Profile '#], 0), MATCH(J3, PoleData[#Headers], 0)), "")</f>
        <v>0</v>
      </c>
      <c r="L3" s="1"/>
      <c r="M3" t="str">
        <f>IFERROR( INDEX(PoleData[], MATCH($C$2, PoleData[Profile '#], 0), MATCH(L3, PoleData[#Headers], 0)), "")</f>
        <v/>
      </c>
    </row>
    <row r="4" spans="2:13" x14ac:dyDescent="0.35">
      <c r="B4" s="1" t="s">
        <v>0</v>
      </c>
      <c r="C4">
        <f>IFERROR( INDEX(PoleData[], MATCH($C$2, PoleData[Profile '#], 0), MATCH(B4, PoleData[#Headers], 0)), "")</f>
        <v>49.271946999999997</v>
      </c>
      <c r="D4" s="1" t="s">
        <v>18</v>
      </c>
      <c r="E4">
        <f>IFERROR( INDEX(PoleData[], MATCH($C$2, PoleData[Profile '#], 0), MATCH(D4, PoleData[#Headers], 0)), "")</f>
        <v>0</v>
      </c>
      <c r="F4" s="1" t="s">
        <v>15</v>
      </c>
      <c r="G4">
        <f>IFERROR( INDEX(PoleData[], MATCH($C$2, PoleData[Profile '#], 0), MATCH(F4, PoleData[#Headers], 0)), "")</f>
        <v>7.7010000000000005</v>
      </c>
      <c r="H4" s="1" t="s">
        <v>30</v>
      </c>
      <c r="I4">
        <f>IFERROR( INDEX(PoleData[], MATCH($C$2, PoleData[Profile '#], 0), MATCH(H4, PoleData[#Headers], 0)), "")</f>
        <v>5.7799999999999994</v>
      </c>
      <c r="J4" s="1" t="s">
        <v>26</v>
      </c>
      <c r="K4">
        <f>IFERROR( INDEX(PoleData[], MATCH($C$2, PoleData[Profile '#], 0), MATCH(J4, PoleData[#Headers], 0)), "")</f>
        <v>0</v>
      </c>
      <c r="L4" s="1"/>
      <c r="M4" t="str">
        <f>IFERROR( INDEX(PoleData[], MATCH($C$2, PoleData[Profile '#], 0), MATCH(L4, PoleData[#Headers], 0)), "")</f>
        <v/>
      </c>
    </row>
    <row r="5" spans="2:13" x14ac:dyDescent="0.35">
      <c r="B5" s="1" t="s">
        <v>1</v>
      </c>
      <c r="C5">
        <f>IFERROR( INDEX(PoleData[], MATCH($C$2, PoleData[Profile '#], 0), MATCH(B5, PoleData[#Headers], 0)), "")</f>
        <v>-122.99690099999999</v>
      </c>
      <c r="D5" s="1" t="s">
        <v>48</v>
      </c>
      <c r="E5">
        <f>IFERROR( INDEX(PoleData[], MATCH($C$2, PoleData[Profile '#], 0), MATCH(D5, PoleData[#Headers], 0)), "")</f>
        <v>0</v>
      </c>
      <c r="F5" s="1" t="s">
        <v>54</v>
      </c>
      <c r="G5">
        <f>IFERROR( INDEX(PoleData[], MATCH($C$2, PoleData[Profile '#], 0), MATCH(F5, PoleData[#Headers], 0)), "")</f>
        <v>0</v>
      </c>
      <c r="H5" s="1" t="s">
        <v>31</v>
      </c>
      <c r="I5" t="str">
        <f>IFERROR( INDEX(PoleData[], MATCH($C$2, PoleData[Profile '#], 0), MATCH(H5, PoleData[#Headers], 0)), "")</f>
        <v>25mm</v>
      </c>
      <c r="J5" s="1" t="s">
        <v>27</v>
      </c>
      <c r="K5">
        <f>IFERROR( INDEX(PoleData[], MATCH($C$2, PoleData[Profile '#], 0), MATCH(J5, PoleData[#Headers], 0)), "")</f>
        <v>0</v>
      </c>
      <c r="L5" s="1"/>
      <c r="M5" t="str">
        <f>IFERROR( INDEX(PoleData[], MATCH($C$2, PoleData[Profile '#], 0), MATCH(L5, PoleData[#Headers], 0)), "")</f>
        <v/>
      </c>
    </row>
    <row r="6" spans="2:13" x14ac:dyDescent="0.35">
      <c r="B6" s="1" t="s">
        <v>2</v>
      </c>
      <c r="C6">
        <f>IFERROR( INDEX(PoleData[], MATCH($C$2, PoleData[Profile '#], 0), MATCH(B6, PoleData[#Headers], 0)), "")</f>
        <v>10.5</v>
      </c>
      <c r="D6" s="1"/>
      <c r="E6" t="str">
        <f>IFERROR( INDEX(PoleData[], MATCH($C$2, PoleData[Profile '#], 0), MATCH(D6, PoleData[#Headers], 0)), "")</f>
        <v/>
      </c>
      <c r="F6" s="1" t="s">
        <v>59</v>
      </c>
      <c r="G6">
        <f>IFERROR( INDEX(PoleData[], MATCH($C$2, PoleData[Profile '#], 0), MATCH(F6, PoleData[#Headers], 0)), "")</f>
        <v>0</v>
      </c>
      <c r="H6" s="1" t="s">
        <v>32</v>
      </c>
      <c r="I6">
        <f>IFERROR( INDEX(PoleData[], MATCH($C$2, PoleData[Profile '#], 0), MATCH(H6, PoleData[#Headers], 0)), "")</f>
        <v>0</v>
      </c>
      <c r="J6" s="1"/>
      <c r="K6" t="str">
        <f>IFERROR( INDEX(PoleData[], MATCH($C$2, PoleData[Profile '#], 0), MATCH(J6, PoleData[#Headers], 0)), "")</f>
        <v/>
      </c>
      <c r="L6" s="1"/>
      <c r="M6" t="str">
        <f>IFERROR( INDEX(PoleData[], MATCH($C$2, PoleData[Profile '#], 0), MATCH(L6, PoleData[#Headers], 0)), "")</f>
        <v/>
      </c>
    </row>
    <row r="7" spans="2:13" x14ac:dyDescent="0.35">
      <c r="B7" s="1"/>
      <c r="C7" t="str">
        <f>IFERROR( INDEX(PoleData[], MATCH($C$2, PoleData[Profile '#], 0), MATCH(B7, PoleData[#Headers], 0)), "")</f>
        <v/>
      </c>
      <c r="D7" s="1" t="s">
        <v>4</v>
      </c>
      <c r="E7">
        <f>IFERROR( INDEX(PoleData[], MATCH($C$2, PoleData[Profile '#], 0), MATCH(D7, PoleData[#Headers], 0)), "")</f>
        <v>0</v>
      </c>
      <c r="F7" s="1" t="s">
        <v>65</v>
      </c>
      <c r="G7">
        <f>IFERROR( INDEX(PoleData[], MATCH($C$2, PoleData[Profile '#], 0), MATCH(F7, PoleData[#Headers], 0)), "")</f>
        <v>0</v>
      </c>
      <c r="H7" s="1" t="s">
        <v>33</v>
      </c>
      <c r="I7">
        <f>IFERROR( INDEX(PoleData[], MATCH($C$2, PoleData[Profile '#], 0), MATCH(H7, PoleData[#Headers], 0)), "")</f>
        <v>0</v>
      </c>
      <c r="J7" s="1" t="s">
        <v>44</v>
      </c>
      <c r="K7">
        <f>IFERROR( INDEX(PoleData[], MATCH($C$2, PoleData[Profile '#], 0), MATCH(J7, PoleData[#Headers], 0)), "")</f>
        <v>0</v>
      </c>
      <c r="L7" s="1"/>
      <c r="M7" t="str">
        <f>IFERROR( INDEX(PoleData[], MATCH($C$2, PoleData[Profile '#], 0), MATCH(L7, PoleData[#Headers], 0)), "")</f>
        <v/>
      </c>
    </row>
    <row r="8" spans="2:13" x14ac:dyDescent="0.35">
      <c r="B8" s="1"/>
      <c r="C8" t="str">
        <f>IFERROR( INDEX(PoleData[], MATCH($C$2, PoleData[Profile '#], 0), MATCH(B8, PoleData[#Headers], 0)), "")</f>
        <v/>
      </c>
      <c r="D8" s="1" t="s">
        <v>53</v>
      </c>
      <c r="E8">
        <f>IFERROR( INDEX(PoleData[], MATCH($C$2, PoleData[Profile '#], 0), MATCH(D8, PoleData[#Headers], 0)), "")</f>
        <v>0</v>
      </c>
      <c r="F8" s="1" t="s">
        <v>19</v>
      </c>
      <c r="G8" t="str">
        <f>IFERROR( INDEX(PoleData[], MATCH($C$2, PoleData[Profile '#], 0), MATCH(F8, PoleData[#Headers], 0)), "")</f>
        <v>Tangent</v>
      </c>
      <c r="H8" s="1" t="s">
        <v>34</v>
      </c>
      <c r="I8">
        <f>IFERROR( INDEX(PoleData[], MATCH($C$2, PoleData[Profile '#], 0), MATCH(H8, PoleData[#Headers], 0)), "")</f>
        <v>0</v>
      </c>
      <c r="J8" s="1" t="s">
        <v>45</v>
      </c>
      <c r="K8">
        <f>IFERROR( INDEX(PoleData[], MATCH($C$2, PoleData[Profile '#], 0), MATCH(J8, PoleData[#Headers], 0)), "")</f>
        <v>0</v>
      </c>
      <c r="L8" s="1"/>
      <c r="M8" t="str">
        <f>IFERROR( INDEX(PoleData[], MATCH($C$2, PoleData[Profile '#], 0), MATCH(L8, PoleData[#Headers], 0)), "")</f>
        <v/>
      </c>
    </row>
    <row r="9" spans="2:13" x14ac:dyDescent="0.35">
      <c r="B9" s="1"/>
      <c r="C9" t="str">
        <f>IFERROR( INDEX(PoleData[], MATCH($C$2, PoleData[Profile '#], 0), MATCH(B9, PoleData[#Headers], 0)), "")</f>
        <v/>
      </c>
      <c r="D9" s="1"/>
      <c r="E9" t="str">
        <f>IFERROR( INDEX(PoleData[], MATCH($C$2, PoleData[Profile '#], 0), MATCH(D9, PoleData[#Headers], 0)), "")</f>
        <v/>
      </c>
      <c r="F9" s="1" t="s">
        <v>66</v>
      </c>
      <c r="G9">
        <f>IFERROR( INDEX(PoleData[], MATCH($C$2, PoleData[Profile '#], 0), MATCH(F9, PoleData[#Headers], 0)), "")</f>
        <v>0</v>
      </c>
      <c r="H9" s="1" t="s">
        <v>57</v>
      </c>
      <c r="I9" t="str">
        <f>IFERROR( INDEX(PoleData[], MATCH($C$2, PoleData[Profile '#], 0), MATCH(H9, PoleData[#Headers], 0)), "")</f>
        <v>Tangent</v>
      </c>
      <c r="J9" s="1" t="s">
        <v>46</v>
      </c>
      <c r="K9">
        <f>IFERROR( INDEX(PoleData[], MATCH($C$2, PoleData[Profile '#], 0), MATCH(J9, PoleData[#Headers], 0)), "")</f>
        <v>0</v>
      </c>
      <c r="L9" s="1"/>
      <c r="M9" t="str">
        <f>IFERROR( INDEX(PoleData[], MATCH($C$2, PoleData[Profile '#], 0), MATCH(L9, PoleData[#Headers], 0)), "")</f>
        <v/>
      </c>
    </row>
    <row r="10" spans="2:13" x14ac:dyDescent="0.35">
      <c r="B10" s="1"/>
      <c r="C10" t="str">
        <f>IFERROR( INDEX(PoleData[], MATCH($C$2, PoleData[Profile '#], 0), MATCH(B10, PoleData[#Headers], 0)), "")</f>
        <v/>
      </c>
      <c r="D10" s="1" t="s">
        <v>13</v>
      </c>
      <c r="E10">
        <f>IFERROR( INDEX(PoleData[], MATCH($C$2, PoleData[Profile '#], 0), MATCH(D10, PoleData[#Headers], 0)), "")</f>
        <v>0</v>
      </c>
      <c r="F10" s="1"/>
      <c r="G10" t="str">
        <f>IFERROR( INDEX(PoleData[], MATCH($C$2, PoleData[Profile '#], 0), MATCH(F10, PoleData[#Headers], 0)), "")</f>
        <v/>
      </c>
      <c r="H10" s="1" t="s">
        <v>58</v>
      </c>
      <c r="I10">
        <f>IFERROR( INDEX(PoleData[], MATCH($C$2, PoleData[Profile '#], 0), MATCH(H10, PoleData[#Headers], 0)), "")</f>
        <v>0</v>
      </c>
      <c r="J10" s="1" t="s">
        <v>47</v>
      </c>
      <c r="K10">
        <f>IFERROR( INDEX(PoleData[], MATCH($C$2, PoleData[Profile '#], 0), MATCH(J10, PoleData[#Headers], 0)), "")</f>
        <v>0</v>
      </c>
      <c r="L10" s="1"/>
      <c r="M10" t="str">
        <f>IFERROR( INDEX(PoleData[], MATCH($C$2, PoleData[Profile '#], 0), MATCH(L10, PoleData[#Headers], 0)), "")</f>
        <v/>
      </c>
    </row>
    <row r="11" spans="2:13" x14ac:dyDescent="0.35">
      <c r="B11" s="1" t="s">
        <v>10</v>
      </c>
      <c r="C11">
        <f>IFERROR( INDEX(PoleData[], MATCH($C$2, PoleData[Profile '#], 0), MATCH(B11, PoleData[#Headers], 0)), "")</f>
        <v>40</v>
      </c>
      <c r="D11" s="1" t="s">
        <v>14</v>
      </c>
      <c r="E11">
        <f>IFERROR( INDEX(PoleData[], MATCH($C$2, PoleData[Profile '#], 0), MATCH(D11, PoleData[#Headers], 0)), "")</f>
        <v>0</v>
      </c>
      <c r="F11" s="1"/>
      <c r="G11" t="str">
        <f>IFERROR( INDEX(PoleData[], MATCH($C$2, PoleData[Profile '#], 0), MATCH(F11, PoleData[#Headers], 0)), "")</f>
        <v/>
      </c>
      <c r="H11" s="1"/>
      <c r="I11" t="str">
        <f>IFERROR( INDEX(PoleData[], MATCH($C$2, PoleData[Profile '#], 0), MATCH(H11, PoleData[#Headers], 0)), "")</f>
        <v/>
      </c>
      <c r="J11" s="1"/>
      <c r="K11" t="str">
        <f>IFERROR( INDEX(PoleData[], MATCH($C$2, PoleData[Profile '#], 0), MATCH(J11, PoleData[#Headers], 0)), "")</f>
        <v/>
      </c>
      <c r="L11" s="1"/>
      <c r="M11" t="str">
        <f>IFERROR( INDEX(PoleData[], MATCH($C$2, PoleData[Profile '#], 0), MATCH(L11, PoleData[#Headers], 0)), "")</f>
        <v/>
      </c>
    </row>
    <row r="12" spans="2:13" x14ac:dyDescent="0.35">
      <c r="B12" s="1" t="s">
        <v>8</v>
      </c>
      <c r="C12">
        <f>IFERROR( INDEX(PoleData[], MATCH($C$2, PoleData[Profile '#], 0), MATCH(B12, PoleData[#Headers], 0)), "")</f>
        <v>3</v>
      </c>
      <c r="D12" s="1"/>
      <c r="E12" t="str">
        <f>IFERROR( INDEX(PoleData[], MATCH($C$2, PoleData[Profile '#], 0), MATCH(D12, PoleData[#Headers], 0)), "")</f>
        <v/>
      </c>
      <c r="F12" s="1"/>
      <c r="G12" t="str">
        <f>IFERROR( INDEX(PoleData[], MATCH($C$2, PoleData[Profile '#], 0), MATCH(F12, PoleData[#Headers], 0)), "")</f>
        <v/>
      </c>
      <c r="H12" s="1"/>
      <c r="I12" t="str">
        <f>IFERROR( INDEX(PoleData[], MATCH($C$2, PoleData[Profile '#], 0), MATCH(H12, PoleData[#Headers], 0)), "")</f>
        <v/>
      </c>
      <c r="J12" s="1" t="s">
        <v>49</v>
      </c>
      <c r="K12">
        <f>IFERROR( INDEX(PoleData[], MATCH($C$2, PoleData[Profile '#], 0), MATCH(J12, PoleData[#Headers], 0)), "")</f>
        <v>0</v>
      </c>
      <c r="L12" s="1"/>
      <c r="M12" t="str">
        <f>IFERROR( INDEX(PoleData[], MATCH($C$2, PoleData[Profile '#], 0), MATCH(L12, PoleData[#Headers], 0)), "")</f>
        <v/>
      </c>
    </row>
    <row r="13" spans="2:13" x14ac:dyDescent="0.35">
      <c r="B13" s="1" t="s">
        <v>12</v>
      </c>
      <c r="C13">
        <f>IFERROR( INDEX(PoleData[], MATCH($C$2, PoleData[Profile '#], 0), MATCH(B13, PoleData[#Headers], 0)), "")</f>
        <v>0</v>
      </c>
      <c r="D13" s="1"/>
      <c r="E13" t="str">
        <f>IFERROR( INDEX(PoleData[], MATCH($C$2, PoleData[Profile '#], 0), MATCH(D13, PoleData[#Headers], 0)), "")</f>
        <v/>
      </c>
      <c r="F13" s="1"/>
      <c r="G13" t="str">
        <f>IFERROR( INDEX(PoleData[], MATCH($C$2, PoleData[Profile '#], 0), MATCH(F13, PoleData[#Headers], 0)), "")</f>
        <v/>
      </c>
      <c r="H13" s="1"/>
      <c r="I13" t="str">
        <f>IFERROR( INDEX(PoleData[], MATCH($C$2, PoleData[Profile '#], 0), MATCH(H13, PoleData[#Headers], 0)), "")</f>
        <v/>
      </c>
      <c r="J13" s="1" t="s">
        <v>50</v>
      </c>
      <c r="K13">
        <f>IFERROR( INDEX(PoleData[], MATCH($C$2, PoleData[Profile '#], 0), MATCH(J13, PoleData[#Headers], 0)), "")</f>
        <v>0</v>
      </c>
      <c r="L13" s="1"/>
      <c r="M13" t="str">
        <f>IFERROR( INDEX(PoleData[], MATCH($C$2, PoleData[Profile '#], 0), MATCH(L13, PoleData[#Headers], 0)), "")</f>
        <v/>
      </c>
    </row>
    <row r="14" spans="2:13" x14ac:dyDescent="0.35">
      <c r="B14" s="1" t="s">
        <v>21</v>
      </c>
      <c r="C14">
        <f>IFERROR( INDEX(PoleData[], MATCH($C$2, PoleData[Profile '#], 0), MATCH(B14, PoleData[#Headers], 0)), "")</f>
        <v>0</v>
      </c>
      <c r="D14" s="1"/>
      <c r="E14" t="str">
        <f>IFERROR( INDEX(PoleData[], MATCH($C$2, PoleData[Profile '#], 0), MATCH(D14, PoleData[#Headers], 0)), "")</f>
        <v/>
      </c>
      <c r="F14" s="1"/>
      <c r="G14" t="str">
        <f>IFERROR( INDEX(PoleData[], MATCH($C$2, PoleData[Profile '#], 0), MATCH(F14, PoleData[#Headers], 0)), "")</f>
        <v/>
      </c>
      <c r="H14" s="1"/>
      <c r="I14" t="str">
        <f>IFERROR( INDEX(PoleData[], MATCH($C$2, PoleData[Profile '#], 0), MATCH(H14, PoleData[#Headers], 0)), "")</f>
        <v/>
      </c>
      <c r="J14" s="1" t="s">
        <v>51</v>
      </c>
      <c r="K14">
        <f>IFERROR( INDEX(PoleData[], MATCH($C$2, PoleData[Profile '#], 0), MATCH(J14, PoleData[#Headers], 0)), "")</f>
        <v>0</v>
      </c>
      <c r="L14" s="1"/>
      <c r="M14" t="str">
        <f>IFERROR( INDEX(PoleData[], MATCH($C$2, PoleData[Profile '#], 0), MATCH(L14, PoleData[#Headers], 0)), "")</f>
        <v/>
      </c>
    </row>
    <row r="15" spans="2:13" x14ac:dyDescent="0.35">
      <c r="B15" s="1"/>
      <c r="C15" t="str">
        <f>IFERROR( INDEX(PoleData[], MATCH($C$2, PoleData[Profile '#], 0), MATCH(B15, PoleData[#Headers], 0)), "")</f>
        <v/>
      </c>
      <c r="D15" s="1"/>
      <c r="E15" t="str">
        <f>IFERROR( INDEX(PoleData[], MATCH($C$2, PoleData[Profile '#], 0), MATCH(D15, PoleData[#Headers], 0)), "")</f>
        <v/>
      </c>
      <c r="F15" s="1"/>
      <c r="G15" t="str">
        <f>IFERROR( INDEX(PoleData[], MATCH($C$2, PoleData[Profile '#], 0), MATCH(F15, PoleData[#Headers], 0)), "")</f>
        <v/>
      </c>
      <c r="H15" s="1"/>
      <c r="I15" t="str">
        <f>IFERROR( INDEX(PoleData[], MATCH($C$2, PoleData[Profile '#], 0), MATCH(H15, PoleData[#Headers], 0)), "")</f>
        <v/>
      </c>
      <c r="J15" s="1" t="s">
        <v>52</v>
      </c>
      <c r="K15">
        <f>IFERROR( INDEX(PoleData[], MATCH($C$2, PoleData[Profile '#], 0), MATCH(J15, PoleData[#Headers], 0)), "")</f>
        <v>0</v>
      </c>
      <c r="L15" s="1"/>
      <c r="M15" t="str">
        <f>IFERROR( INDEX(PoleData[], MATCH($C$2, PoleData[Profile '#], 0), MATCH(L15, PoleData[#Headers], 0)), "")</f>
        <v/>
      </c>
    </row>
    <row r="16" spans="2:13" x14ac:dyDescent="0.35">
      <c r="B16" s="1" t="s">
        <v>11</v>
      </c>
      <c r="C16">
        <f>IFERROR( INDEX(PoleData[], MATCH($C$2, PoleData[Profile '#], 0), MATCH(B16, PoleData[#Headers], 0)), "")</f>
        <v>8.5679999999999996</v>
      </c>
      <c r="D16" s="1"/>
      <c r="E16" t="str">
        <f>IFERROR( INDEX(PoleData[], MATCH($C$2, PoleData[Profile '#], 0), MATCH(D16, PoleData[#Headers], 0)), "")</f>
        <v/>
      </c>
      <c r="F16" s="1"/>
      <c r="G16" t="str">
        <f>IFERROR( INDEX(PoleData[], MATCH($C$2, PoleData[Profile '#], 0), MATCH(F16, PoleData[#Headers], 0)), "")</f>
        <v/>
      </c>
      <c r="H16" s="1"/>
      <c r="I16" t="str">
        <f>IFERROR( INDEX(PoleData[], MATCH($C$2, PoleData[Profile '#], 0), MATCH(H16, PoleData[#Headers], 0)), "")</f>
        <v/>
      </c>
      <c r="J16" s="1"/>
      <c r="K16" t="str">
        <f>IFERROR( INDEX(PoleData[], MATCH($C$2, PoleData[Profile '#], 0), MATCH(J16, PoleData[#Headers], 0)), "")</f>
        <v/>
      </c>
      <c r="L16" s="1"/>
      <c r="M16" t="str">
        <f>IFERROR( INDEX(PoleData[], MATCH($C$2, PoleData[Profile '#], 0), MATCH(L16, PoleData[#Headers], 0)), "")</f>
        <v/>
      </c>
    </row>
    <row r="17" spans="2:13" x14ac:dyDescent="0.35">
      <c r="B17" s="1"/>
      <c r="C17" t="str">
        <f>IFERROR( INDEX(PoleData[], MATCH($C$2, PoleData[Profile '#], 0), MATCH(B17, PoleData[#Headers], 0)), "")</f>
        <v/>
      </c>
      <c r="D17" s="1"/>
      <c r="E17" t="str">
        <f>IFERROR( INDEX(PoleData[], MATCH($C$2, PoleData[Profile '#], 0), MATCH(D17, PoleData[#Headers], 0)), "")</f>
        <v/>
      </c>
      <c r="F17" s="1"/>
      <c r="G17" t="str">
        <f>IFERROR( INDEX(PoleData[], MATCH($C$2, PoleData[Profile '#], 0), MATCH(F17, PoleData[#Headers], 0)), "")</f>
        <v/>
      </c>
      <c r="H17" s="1"/>
      <c r="I17" t="str">
        <f>IFERROR( INDEX(PoleData[], MATCH($C$2, PoleData[Profile '#], 0), MATCH(H17, PoleData[#Headers], 0)), "")</f>
        <v/>
      </c>
      <c r="J17" s="1" t="s">
        <v>60</v>
      </c>
      <c r="K17">
        <f>IFERROR( INDEX(PoleData[], MATCH($C$2, PoleData[Profile '#], 0), MATCH(J17, PoleData[#Headers], 0)), "")</f>
        <v>0</v>
      </c>
      <c r="L17" s="1"/>
      <c r="M17" t="str">
        <f>IFERROR( INDEX(PoleData[], MATCH($C$2, PoleData[Profile '#], 0), MATCH(L17, PoleData[#Headers], 0)), "")</f>
        <v/>
      </c>
    </row>
    <row r="18" spans="2:13" x14ac:dyDescent="0.35">
      <c r="B18" s="1"/>
      <c r="C18" t="str">
        <f>IFERROR( INDEX(PoleData[], MATCH($C$2, PoleData[Profile '#], 0), MATCH(B18, PoleData[#Headers], 0)), "")</f>
        <v/>
      </c>
      <c r="D18" s="1"/>
      <c r="E18" t="str">
        <f>IFERROR( INDEX(PoleData[], MATCH($C$2, PoleData[Profile '#], 0), MATCH(D18, PoleData[#Headers], 0)), "")</f>
        <v/>
      </c>
      <c r="F18" s="1"/>
      <c r="G18" t="str">
        <f>IFERROR( INDEX(PoleData[], MATCH($C$2, PoleData[Profile '#], 0), MATCH(F18, PoleData[#Headers], 0)), "")</f>
        <v/>
      </c>
      <c r="H18" s="1"/>
      <c r="I18" t="str">
        <f>IFERROR( INDEX(PoleData[], MATCH($C$2, PoleData[Profile '#], 0), MATCH(H18, PoleData[#Headers], 0)), "")</f>
        <v/>
      </c>
      <c r="J18" s="1" t="s">
        <v>61</v>
      </c>
      <c r="K18">
        <f>IFERROR( INDEX(PoleData[], MATCH($C$2, PoleData[Profile '#], 0), MATCH(J18, PoleData[#Headers], 0)), "")</f>
        <v>0</v>
      </c>
      <c r="L18" s="1"/>
      <c r="M18" t="str">
        <f>IFERROR( INDEX(PoleData[], MATCH($C$2, PoleData[Profile '#], 0), MATCH(L18, PoleData[#Headers], 0)), "")</f>
        <v/>
      </c>
    </row>
    <row r="19" spans="2:13" x14ac:dyDescent="0.35">
      <c r="B19" s="1"/>
      <c r="C19" t="str">
        <f>IFERROR( INDEX(PoleData[], MATCH($C$2, PoleData[Profile '#], 0), MATCH(B19, PoleData[#Headers], 0)), "")</f>
        <v/>
      </c>
      <c r="D19" s="1"/>
      <c r="E19" t="str">
        <f>IFERROR( INDEX(PoleData[], MATCH($C$2, PoleData[Profile '#], 0), MATCH(D19, PoleData[#Headers], 0)), "")</f>
        <v/>
      </c>
      <c r="F19" s="1"/>
      <c r="G19" t="str">
        <f>IFERROR( INDEX(PoleData[], MATCH($C$2, PoleData[Profile '#], 0), MATCH(F19, PoleData[#Headers], 0)), "")</f>
        <v/>
      </c>
      <c r="H19" s="1"/>
      <c r="I19" t="str">
        <f>IFERROR( INDEX(PoleData[], MATCH($C$2, PoleData[Profile '#], 0), MATCH(H19, PoleData[#Headers], 0)), "")</f>
        <v/>
      </c>
      <c r="J19" s="1" t="s">
        <v>62</v>
      </c>
      <c r="K19">
        <f>IFERROR( INDEX(PoleData[], MATCH($C$2, PoleData[Profile '#], 0), MATCH(J19, PoleData[#Headers], 0)), "")</f>
        <v>0</v>
      </c>
      <c r="L19" s="1"/>
      <c r="M19" t="str">
        <f>IFERROR( INDEX(PoleData[], MATCH($C$2, PoleData[Profile '#], 0), MATCH(L19, PoleData[#Headers], 0)), "")</f>
        <v/>
      </c>
    </row>
    <row r="20" spans="2:13" x14ac:dyDescent="0.35">
      <c r="B20" s="1"/>
      <c r="C20" t="str">
        <f>IFERROR( INDEX(PoleData[], MATCH($C$2, PoleData[Profile '#], 0), MATCH(B20, PoleData[#Headers], 0)), "")</f>
        <v/>
      </c>
      <c r="D20" s="1"/>
      <c r="E20" t="str">
        <f>IFERROR( INDEX(PoleData[], MATCH($C$2, PoleData[Profile '#], 0), MATCH(D20, PoleData[#Headers], 0)), "")</f>
        <v/>
      </c>
      <c r="F20" s="1"/>
      <c r="G20" t="str">
        <f>IFERROR( INDEX(PoleData[], MATCH($C$2, PoleData[Profile '#], 0), MATCH(F20, PoleData[#Headers], 0)), "")</f>
        <v/>
      </c>
      <c r="H20" s="1"/>
      <c r="I20" t="str">
        <f>IFERROR( INDEX(PoleData[], MATCH($C$2, PoleData[Profile '#], 0), MATCH(H20, PoleData[#Headers], 0)), "")</f>
        <v/>
      </c>
      <c r="J20" s="1" t="s">
        <v>63</v>
      </c>
      <c r="K20">
        <f>IFERROR( INDEX(PoleData[], MATCH($C$2, PoleData[Profile '#], 0), MATCH(J20, PoleData[#Headers], 0)), "")</f>
        <v>0</v>
      </c>
      <c r="L20" s="1"/>
      <c r="M20" t="str">
        <f>IFERROR( INDEX(PoleData[], MATCH($C$2, PoleData[Profile '#], 0), MATCH(L20, PoleData[#Headers], 0)), "")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4E284-7809-4781-B8C6-351EF24F7D92}">
  <sheetPr codeName="Sheet2"/>
  <dimension ref="L1:Q22"/>
  <sheetViews>
    <sheetView zoomScale="115" zoomScaleNormal="115" workbookViewId="0">
      <selection activeCell="M24" sqref="M24"/>
    </sheetView>
  </sheetViews>
  <sheetFormatPr defaultRowHeight="14.5" x14ac:dyDescent="0.35"/>
  <cols>
    <col min="12" max="12" width="12.26953125" style="6" bestFit="1" customWidth="1"/>
    <col min="13" max="13" width="10" customWidth="1"/>
    <col min="14" max="14" width="10.7265625" customWidth="1"/>
    <col min="15" max="15" width="14.81640625" style="5" customWidth="1"/>
    <col min="16" max="16" width="15" customWidth="1"/>
  </cols>
  <sheetData>
    <row r="1" spans="12:17" x14ac:dyDescent="0.35">
      <c r="L1"/>
      <c r="O1" s="5" t="s">
        <v>78</v>
      </c>
      <c r="P1" t="s">
        <v>106</v>
      </c>
    </row>
    <row r="2" spans="12:17" x14ac:dyDescent="0.35">
      <c r="L2"/>
    </row>
    <row r="3" spans="12:17" x14ac:dyDescent="0.35">
      <c r="L3"/>
      <c r="O3" s="5" t="s">
        <v>80</v>
      </c>
      <c r="P3">
        <v>1</v>
      </c>
    </row>
    <row r="4" spans="12:17" x14ac:dyDescent="0.35">
      <c r="L4"/>
      <c r="O4" s="5" t="s">
        <v>79</v>
      </c>
      <c r="P4">
        <v>49.05479967593395</v>
      </c>
    </row>
    <row r="5" spans="12:17" x14ac:dyDescent="0.35">
      <c r="L5"/>
      <c r="O5" s="5" t="s">
        <v>81</v>
      </c>
      <c r="P5">
        <f>P3/P4</f>
        <v>2.0385365073473029E-2</v>
      </c>
    </row>
    <row r="6" spans="12:17" x14ac:dyDescent="0.35">
      <c r="L6"/>
      <c r="O6" s="5" t="s">
        <v>84</v>
      </c>
      <c r="P6">
        <v>0</v>
      </c>
    </row>
    <row r="7" spans="12:17" x14ac:dyDescent="0.35">
      <c r="L7"/>
    </row>
    <row r="8" spans="12:17" x14ac:dyDescent="0.35">
      <c r="L8"/>
      <c r="O8" s="5" t="s">
        <v>85</v>
      </c>
      <c r="P8" t="s">
        <v>22</v>
      </c>
      <c r="Q8" t="str">
        <f>IFERROR( "WARNING: Pole already exists at row " &amp; MATCH( P8, PoleData[Profile '#], 0) + 1, "")</f>
        <v>WARNING: Pole already exists at row 5</v>
      </c>
    </row>
    <row r="9" spans="12:17" x14ac:dyDescent="0.35">
      <c r="L9"/>
      <c r="Q9" s="7">
        <f>IFERROR(MATCH( P8, PoleData[Profile '#], 0) +1, "")</f>
        <v>5</v>
      </c>
    </row>
    <row r="10" spans="12:17" x14ac:dyDescent="0.35">
      <c r="L10" s="6" t="s">
        <v>82</v>
      </c>
      <c r="M10" t="s">
        <v>83</v>
      </c>
      <c r="N10" t="s">
        <v>100</v>
      </c>
      <c r="O10" t="s">
        <v>99</v>
      </c>
      <c r="P10" t="s">
        <v>98</v>
      </c>
    </row>
    <row r="11" spans="12:17" x14ac:dyDescent="0.35">
      <c r="L11" s="6" t="s">
        <v>11</v>
      </c>
      <c r="M11" t="s">
        <v>86</v>
      </c>
      <c r="N11" cm="1">
        <f t="array" aca="1" ref="N11" ca="1">COLUMN( INDIRECT( M11 &amp; "1"))</f>
        <v>10</v>
      </c>
      <c r="O11">
        <v>290.03153633301685</v>
      </c>
      <c r="P11">
        <f>ROUND(InputData[[#This Row],[Image Height]]*$P$5 + IF(InputData[[#This Row],[Image Height]]&lt;&gt;0, $P$6, 0), 2)</f>
        <v>5.91</v>
      </c>
    </row>
    <row r="12" spans="12:17" x14ac:dyDescent="0.35">
      <c r="L12" s="6" t="s">
        <v>3</v>
      </c>
      <c r="M12" t="s">
        <v>87</v>
      </c>
      <c r="N12" cm="1">
        <f t="array" aca="1" ref="N12" ca="1">COLUMN( INDIRECT( M12 &amp; "1"))</f>
        <v>11</v>
      </c>
      <c r="O12"/>
      <c r="P12">
        <f>ROUND(InputData[[#This Row],[Image Height]]*$P$5 + IF(InputData[[#This Row],[Image Height]]&lt;&gt;0, $P$6, 0), 2)</f>
        <v>0</v>
      </c>
    </row>
    <row r="13" spans="12:17" x14ac:dyDescent="0.35">
      <c r="L13" s="6" t="s">
        <v>4</v>
      </c>
      <c r="M13" t="s">
        <v>88</v>
      </c>
      <c r="N13" cm="1">
        <f t="array" aca="1" ref="N13" ca="1">COLUMN( INDIRECT( M13 &amp; "1"))</f>
        <v>15</v>
      </c>
      <c r="O13"/>
      <c r="P13">
        <f>ROUND(InputData[[#This Row],[Image Height]]*$P$5 + IF(InputData[[#This Row],[Image Height]]&lt;&gt;0, $P$6, 0), 2)</f>
        <v>0</v>
      </c>
    </row>
    <row r="14" spans="12:17" x14ac:dyDescent="0.35">
      <c r="L14" s="6" t="s">
        <v>14</v>
      </c>
      <c r="M14" t="s">
        <v>94</v>
      </c>
      <c r="N14" cm="1">
        <f t="array" aca="1" ref="N14" ca="1">COLUMN( INDIRECT( M14 &amp; "1"))</f>
        <v>18</v>
      </c>
      <c r="O14"/>
      <c r="P14">
        <f>ROUND(InputData[[#This Row],[Image Height]]*$P$5 + IF(InputData[[#This Row],[Image Height]]&lt;&gt;0, $P$6, 0), 2)</f>
        <v>0</v>
      </c>
    </row>
    <row r="15" spans="12:17" x14ac:dyDescent="0.35">
      <c r="L15" s="6" t="s">
        <v>6</v>
      </c>
      <c r="M15" t="s">
        <v>89</v>
      </c>
      <c r="N15" cm="1">
        <f t="array" aca="1" ref="N15" ca="1">COLUMN( INDIRECT( M15 &amp; "1"))</f>
        <v>19</v>
      </c>
      <c r="O15">
        <v>227.87384948246165</v>
      </c>
      <c r="P15">
        <f>ROUND(InputData[[#This Row],[Image Height]]*$P$5 + IF(InputData[[#This Row],[Image Height]]&lt;&gt;0, $P$6, 0), 2)</f>
        <v>4.6500000000000004</v>
      </c>
    </row>
    <row r="16" spans="12:17" x14ac:dyDescent="0.35">
      <c r="L16" s="6" t="s">
        <v>7</v>
      </c>
      <c r="M16" t="s">
        <v>90</v>
      </c>
      <c r="N16" cm="1">
        <f t="array" aca="1" ref="N16" ca="1">COLUMN( INDIRECT( M16 &amp; "1"))</f>
        <v>20</v>
      </c>
      <c r="O16">
        <v>223.4386891249973</v>
      </c>
      <c r="P16">
        <f>ROUND(InputData[[#This Row],[Image Height]]*$P$5 + IF(InputData[[#This Row],[Image Height]]&lt;&gt;0, $P$6, 0), 2)</f>
        <v>4.55</v>
      </c>
    </row>
    <row r="17" spans="12:16" x14ac:dyDescent="0.35">
      <c r="L17" s="6" t="s">
        <v>15</v>
      </c>
      <c r="M17" t="s">
        <v>91</v>
      </c>
      <c r="N17" cm="1">
        <f t="array" aca="1" ref="N17" ca="1">COLUMN( INDIRECT( M17 &amp; "1"))</f>
        <v>21</v>
      </c>
      <c r="O17">
        <v>215.92847280859772</v>
      </c>
      <c r="P17">
        <f>ROUND(InputData[[#This Row],[Image Height]]*$P$5 + IF(InputData[[#This Row],[Image Height]]&lt;&gt;0, $P$6, 0), 2)</f>
        <v>4.4000000000000004</v>
      </c>
    </row>
    <row r="18" spans="12:16" x14ac:dyDescent="0.35">
      <c r="L18" s="6" t="s">
        <v>54</v>
      </c>
      <c r="M18" t="s">
        <v>92</v>
      </c>
      <c r="N18" cm="1">
        <f t="array" aca="1" ref="N18" ca="1">COLUMN( INDIRECT( M18 &amp; "1"))</f>
        <v>22</v>
      </c>
      <c r="O18"/>
      <c r="P18">
        <f>ROUND(InputData[[#This Row],[Image Height]]*$P$5 + IF(InputData[[#This Row],[Image Height]]&lt;&gt;0, $P$6, 0), 2)</f>
        <v>0</v>
      </c>
    </row>
    <row r="19" spans="12:16" x14ac:dyDescent="0.35">
      <c r="L19" s="6" t="s">
        <v>59</v>
      </c>
      <c r="M19" t="s">
        <v>93</v>
      </c>
      <c r="N19" cm="1">
        <f t="array" aca="1" ref="N19" ca="1">COLUMN( INDIRECT( M19 &amp; "1"))</f>
        <v>23</v>
      </c>
      <c r="O19"/>
      <c r="P19">
        <f>ROUND(InputData[[#This Row],[Image Height]]*$P$5 + IF(InputData[[#This Row],[Image Height]]&lt;&gt;0, $P$6, 0), 2)</f>
        <v>0</v>
      </c>
    </row>
    <row r="20" spans="12:16" x14ac:dyDescent="0.35">
      <c r="L20" s="6" t="s">
        <v>28</v>
      </c>
      <c r="M20" t="s">
        <v>95</v>
      </c>
      <c r="N20" cm="1">
        <f t="array" aca="1" ref="N20" ca="1">COLUMN( INDIRECT( M20 &amp; "1"))</f>
        <v>27</v>
      </c>
      <c r="O20">
        <v>187.17988988395297</v>
      </c>
      <c r="P20">
        <f>ROUND(InputData[[#This Row],[Image Height]]*$P$5 + IF(InputData[[#This Row],[Image Height]]&lt;&gt;0, $P$6, 0), 2)</f>
        <v>3.82</v>
      </c>
    </row>
    <row r="21" spans="12:16" x14ac:dyDescent="0.35">
      <c r="L21" s="6" t="s">
        <v>30</v>
      </c>
      <c r="M21" t="s">
        <v>96</v>
      </c>
      <c r="N21" cm="1">
        <f t="array" aca="1" ref="N21" ca="1">COLUMN( INDIRECT( M21 &amp; "1"))</f>
        <v>29</v>
      </c>
      <c r="O21">
        <v>178.0368665883683</v>
      </c>
      <c r="P21">
        <f>ROUND(InputData[[#This Row],[Image Height]]*$P$5 + IF(InputData[[#This Row],[Image Height]]&lt;&gt;0, $P$6, 0), 2)</f>
        <v>3.63</v>
      </c>
    </row>
    <row r="22" spans="12:16" x14ac:dyDescent="0.35">
      <c r="L22" s="6" t="s">
        <v>32</v>
      </c>
      <c r="M22" t="s">
        <v>97</v>
      </c>
      <c r="N22" cm="1">
        <f t="array" aca="1" ref="N22" ca="1">COLUMN( INDIRECT( M22 &amp; "1"))</f>
        <v>31</v>
      </c>
      <c r="O22"/>
      <c r="P22">
        <f>ROUND(InputData[[#This Row],[Image Height]]*$P$5 + IF(InputData[[#This Row],[Image Height]]&lt;&gt;0, $P$6, 0), 2)</f>
        <v>0</v>
      </c>
    </row>
  </sheetData>
  <conditionalFormatting sqref="P8:Q8">
    <cfRule type="expression" dxfId="19" priority="1">
      <formula>IF($Q$8&lt;&gt;"", TRUE, FALSE)</formula>
    </cfRule>
  </conditionalFormatting>
  <pageMargins left="0.7" right="0.7" top="0.75" bottom="0.75" header="0.3" footer="0.3"/>
  <pageSetup orientation="portrait" horizontalDpi="1200" verticalDpi="1200" r:id="rId1"/>
  <ignoredErrors>
    <ignoredError sqref="P11:P2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g_inser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line_insert">
                <anchor moveWithCells="1" sizeWithCells="1">
                  <from>
                    <xdr:col>10</xdr:col>
                    <xdr:colOff>12700</xdr:colOff>
                    <xdr:row>3</xdr:row>
                    <xdr:rowOff>31750</xdr:rowOff>
                  </from>
                  <to>
                    <xdr:col>11</xdr:col>
                    <xdr:colOff>374650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t_scale">
                <anchor moveWithCells="1" sizeWithCells="1">
                  <from>
                    <xdr:col>10</xdr:col>
                    <xdr:colOff>12700</xdr:colOff>
                    <xdr:row>6</xdr:row>
                    <xdr:rowOff>114300</xdr:rowOff>
                  </from>
                  <to>
                    <xdr:col>11</xdr:col>
                    <xdr:colOff>381000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get_height">
                <anchor moveWithCells="1" sizeWithCells="1">
                  <from>
                    <xdr:col>10</xdr:col>
                    <xdr:colOff>12700</xdr:colOff>
                    <xdr:row>10</xdr:row>
                    <xdr:rowOff>12700</xdr:rowOff>
                  </from>
                  <to>
                    <xdr:col>11</xdr:col>
                    <xdr:colOff>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store_data">
                <anchor moveWithCells="1" sizeWithCells="1">
                  <from>
                    <xdr:col>10</xdr:col>
                    <xdr:colOff>0</xdr:colOff>
                    <xdr:row>15</xdr:row>
                    <xdr:rowOff>171450</xdr:rowOff>
                  </from>
                  <to>
                    <xdr:col>10</xdr:col>
                    <xdr:colOff>603250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E6"/>
  <sheetViews>
    <sheetView tabSelected="1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Y17" sqref="Y17"/>
    </sheetView>
  </sheetViews>
  <sheetFormatPr defaultRowHeight="14.5" x14ac:dyDescent="0.35"/>
  <cols>
    <col min="1" max="1" width="10.54296875" customWidth="1"/>
    <col min="2" max="2" width="12.81640625" bestFit="1" customWidth="1"/>
    <col min="3" max="3" width="10.453125" customWidth="1"/>
    <col min="4" max="4" width="12" customWidth="1"/>
    <col min="5" max="5" width="15" customWidth="1"/>
    <col min="6" max="6" width="10.81640625" customWidth="1"/>
    <col min="7" max="8" width="12.81640625" customWidth="1"/>
    <col min="9" max="9" width="14.26953125" customWidth="1"/>
    <col min="10" max="10" width="13.1796875" customWidth="1"/>
    <col min="11" max="11" width="8.54296875" customWidth="1"/>
    <col min="12" max="12" width="17.453125" customWidth="1"/>
    <col min="13" max="13" width="15.54296875" customWidth="1"/>
    <col min="14" max="14" width="12" customWidth="1"/>
    <col min="15" max="15" width="8.81640625" customWidth="1"/>
    <col min="16" max="16" width="19.1796875" bestFit="1" customWidth="1"/>
    <col min="17" max="17" width="11.54296875" bestFit="1" customWidth="1"/>
    <col min="18" max="18" width="14.453125" customWidth="1"/>
    <col min="24" max="24" width="15.7265625" customWidth="1"/>
    <col min="25" max="25" width="14.26953125" customWidth="1"/>
    <col min="26" max="26" width="21.453125" bestFit="1" customWidth="1"/>
    <col min="33" max="33" width="15.81640625" customWidth="1"/>
    <col min="34" max="34" width="14.54296875" customWidth="1"/>
    <col min="35" max="35" width="19.7265625" bestFit="1" customWidth="1"/>
    <col min="36" max="36" width="17.81640625" customWidth="1"/>
    <col min="37" max="37" width="15.7265625" customWidth="1"/>
    <col min="38" max="39" width="13.7265625" customWidth="1"/>
    <col min="40" max="40" width="17.81640625" customWidth="1"/>
    <col min="41" max="41" width="15.7265625" customWidth="1"/>
    <col min="42" max="43" width="13.7265625" customWidth="1"/>
    <col min="44" max="44" width="17.81640625" customWidth="1"/>
    <col min="45" max="45" width="15.7265625" customWidth="1"/>
    <col min="46" max="47" width="13.7265625" customWidth="1"/>
    <col min="48" max="48" width="17.81640625" customWidth="1"/>
    <col min="49" max="49" width="15.7265625" customWidth="1"/>
    <col min="50" max="51" width="13.7265625" customWidth="1"/>
    <col min="52" max="52" width="64.81640625" bestFit="1" customWidth="1"/>
    <col min="53" max="53" width="27.453125" bestFit="1" customWidth="1"/>
    <col min="54" max="57" width="14.54296875" bestFit="1" customWidth="1"/>
    <col min="58" max="58" width="10.26953125" bestFit="1" customWidth="1"/>
    <col min="59" max="59" width="10.54296875" bestFit="1" customWidth="1"/>
    <col min="61" max="61" width="10.26953125" bestFit="1" customWidth="1"/>
    <col min="62" max="62" width="10.54296875" bestFit="1" customWidth="1"/>
    <col min="64" max="64" width="11.26953125" bestFit="1" customWidth="1"/>
    <col min="66" max="66" width="11.26953125" bestFit="1" customWidth="1"/>
  </cols>
  <sheetData>
    <row r="1" spans="1:57" x14ac:dyDescent="0.35">
      <c r="A1" t="s">
        <v>9</v>
      </c>
      <c r="B1" t="s">
        <v>64</v>
      </c>
      <c r="C1" t="s">
        <v>0</v>
      </c>
      <c r="D1" t="s">
        <v>1</v>
      </c>
      <c r="E1" t="s">
        <v>2</v>
      </c>
      <c r="F1" t="s">
        <v>10</v>
      </c>
      <c r="G1" t="s">
        <v>8</v>
      </c>
      <c r="H1" t="s">
        <v>12</v>
      </c>
      <c r="I1" t="s">
        <v>21</v>
      </c>
      <c r="J1" t="s">
        <v>11</v>
      </c>
      <c r="K1" t="s">
        <v>3</v>
      </c>
      <c r="L1" t="s">
        <v>17</v>
      </c>
      <c r="M1" t="s">
        <v>18</v>
      </c>
      <c r="N1" t="s">
        <v>48</v>
      </c>
      <c r="O1" t="s">
        <v>4</v>
      </c>
      <c r="P1" t="s">
        <v>53</v>
      </c>
      <c r="Q1" t="s">
        <v>13</v>
      </c>
      <c r="R1" t="s">
        <v>14</v>
      </c>
      <c r="S1" t="s">
        <v>6</v>
      </c>
      <c r="T1" t="s">
        <v>7</v>
      </c>
      <c r="U1" t="s">
        <v>15</v>
      </c>
      <c r="V1" t="s">
        <v>54</v>
      </c>
      <c r="W1" t="s">
        <v>59</v>
      </c>
      <c r="X1" t="s">
        <v>16</v>
      </c>
      <c r="Y1" t="s">
        <v>19</v>
      </c>
      <c r="Z1" t="s">
        <v>56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57</v>
      </c>
      <c r="AI1" t="s">
        <v>58</v>
      </c>
      <c r="AJ1" t="s">
        <v>24</v>
      </c>
      <c r="AK1" t="s">
        <v>25</v>
      </c>
      <c r="AL1" t="s">
        <v>26</v>
      </c>
      <c r="AM1" t="s">
        <v>27</v>
      </c>
      <c r="AN1" t="s">
        <v>44</v>
      </c>
      <c r="AO1" t="s">
        <v>45</v>
      </c>
      <c r="AP1" t="s">
        <v>46</v>
      </c>
      <c r="AQ1" t="s">
        <v>47</v>
      </c>
      <c r="AR1" t="s">
        <v>49</v>
      </c>
      <c r="AS1" t="s">
        <v>50</v>
      </c>
      <c r="AT1" t="s">
        <v>51</v>
      </c>
      <c r="AU1" t="s">
        <v>52</v>
      </c>
      <c r="AV1" t="s">
        <v>60</v>
      </c>
      <c r="AW1" t="s">
        <v>61</v>
      </c>
      <c r="AX1" t="s">
        <v>62</v>
      </c>
      <c r="AY1" t="s">
        <v>63</v>
      </c>
      <c r="AZ1" t="s">
        <v>23</v>
      </c>
      <c r="BA1" t="s">
        <v>101</v>
      </c>
      <c r="BB1" t="s">
        <v>102</v>
      </c>
      <c r="BC1" t="s">
        <v>103</v>
      </c>
      <c r="BD1" t="s">
        <v>104</v>
      </c>
      <c r="BE1" t="s">
        <v>105</v>
      </c>
    </row>
    <row r="2" spans="1:57" x14ac:dyDescent="0.35">
      <c r="A2" t="s">
        <v>3</v>
      </c>
      <c r="C2">
        <v>49.271787000000003</v>
      </c>
      <c r="D2">
        <v>-122.997136</v>
      </c>
      <c r="E2">
        <v>10</v>
      </c>
      <c r="F2">
        <v>40</v>
      </c>
      <c r="G2">
        <v>3</v>
      </c>
      <c r="J2">
        <v>9.2480000000000011</v>
      </c>
      <c r="S2">
        <v>9.0779999999999994</v>
      </c>
      <c r="T2">
        <v>8.6870000000000012</v>
      </c>
      <c r="U2">
        <v>8.3469999999999995</v>
      </c>
      <c r="Y2" t="s">
        <v>20</v>
      </c>
      <c r="AA2">
        <v>6.4939999999999998</v>
      </c>
      <c r="AB2" t="s">
        <v>55</v>
      </c>
      <c r="AC2">
        <v>6.1709999999999994</v>
      </c>
      <c r="AD2" t="s">
        <v>55</v>
      </c>
      <c r="AH2" t="s">
        <v>20</v>
      </c>
      <c r="BB2" t="str">
        <f>IF( AND( NOT( ISBLANK( PoleData[[#This Row],[guy1 attachment]])), ISBLANK( PoleData[[#This Row],[guy1 length]])), "Missing", "")</f>
        <v/>
      </c>
      <c r="BC2" t="str">
        <f>IF( AND( NOT( ISBLANK( PoleData[[#This Row],[guy2 attachment]])), ISBLANK( PoleData[[#This Row],[guy2 length]])), "Missing", "")</f>
        <v/>
      </c>
      <c r="BD2" t="str">
        <f>IF( AND( NOT( ISBLANK( PoleData[[#This Row],[guy3 attachment]])), ISBLANK( PoleData[[#This Row],[guy3 length]])), "Missing", "")</f>
        <v/>
      </c>
      <c r="BE2" t="str">
        <f>IF( AND( NOT( ISBLANK( PoleData[[#This Row],[guy4 attachment]])), ISBLANK( PoleData[[#This Row],[guy4 length]])), "Missing", "")</f>
        <v/>
      </c>
    </row>
    <row r="3" spans="1:57" x14ac:dyDescent="0.35">
      <c r="A3" t="s">
        <v>4</v>
      </c>
      <c r="C3">
        <v>49.271946999999997</v>
      </c>
      <c r="D3">
        <v>-122.99690099999999</v>
      </c>
      <c r="E3">
        <v>10.5</v>
      </c>
      <c r="F3">
        <v>40</v>
      </c>
      <c r="G3">
        <v>3</v>
      </c>
      <c r="J3">
        <v>8.5679999999999996</v>
      </c>
      <c r="S3">
        <v>8.363999999999999</v>
      </c>
      <c r="T3">
        <v>7.99</v>
      </c>
      <c r="U3">
        <v>7.7010000000000005</v>
      </c>
      <c r="Y3" t="s">
        <v>20</v>
      </c>
      <c r="AA3">
        <v>6.0860000000000003</v>
      </c>
      <c r="AB3" t="s">
        <v>55</v>
      </c>
      <c r="AC3">
        <v>5.7799999999999994</v>
      </c>
      <c r="AD3" t="s">
        <v>55</v>
      </c>
      <c r="AH3" t="s">
        <v>20</v>
      </c>
      <c r="BB3" t="str">
        <f>IF( AND( NOT( ISBLANK( PoleData[[#This Row],[guy1 attachment]])), ISBLANK( PoleData[[#This Row],[guy1 length]])), "Missing", "")</f>
        <v/>
      </c>
      <c r="BC3" t="str">
        <f>IF( AND( NOT( ISBLANK( PoleData[[#This Row],[guy2 attachment]])), ISBLANK( PoleData[[#This Row],[guy2 length]])), "Missing", "")</f>
        <v/>
      </c>
      <c r="BD3" t="str">
        <f>IF( AND( NOT( ISBLANK( PoleData[[#This Row],[guy3 attachment]])), ISBLANK( PoleData[[#This Row],[guy3 length]])), "Missing", "")</f>
        <v/>
      </c>
      <c r="BE3" t="str">
        <f>IF( AND( NOT( ISBLANK( PoleData[[#This Row],[guy4 attachment]])), ISBLANK( PoleData[[#This Row],[guy4 length]])), "Missing", "")</f>
        <v/>
      </c>
    </row>
    <row r="4" spans="1:57" x14ac:dyDescent="0.35">
      <c r="A4" t="s">
        <v>5</v>
      </c>
      <c r="C4">
        <v>49.272112</v>
      </c>
      <c r="D4">
        <v>-122.99646300000001</v>
      </c>
      <c r="E4">
        <v>10.5</v>
      </c>
      <c r="F4">
        <v>40</v>
      </c>
      <c r="G4">
        <v>3</v>
      </c>
      <c r="J4">
        <v>8.5849999999999991</v>
      </c>
      <c r="S4">
        <v>8.4830000000000005</v>
      </c>
      <c r="T4">
        <v>8.1430000000000007</v>
      </c>
      <c r="U4">
        <v>7.8199999999999994</v>
      </c>
      <c r="Y4" t="s">
        <v>20</v>
      </c>
      <c r="AA4">
        <v>6.29</v>
      </c>
      <c r="AB4" t="s">
        <v>55</v>
      </c>
      <c r="AC4">
        <v>5.7119999999999997</v>
      </c>
      <c r="AD4" t="s">
        <v>55</v>
      </c>
      <c r="AH4" t="s">
        <v>20</v>
      </c>
      <c r="BB4" t="str">
        <f>IF( AND( NOT( ISBLANK( PoleData[[#This Row],[guy1 attachment]])), ISBLANK( PoleData[[#This Row],[guy1 length]])), "Missing", "")</f>
        <v/>
      </c>
      <c r="BC4" t="str">
        <f>IF( AND( NOT( ISBLANK( PoleData[[#This Row],[guy2 attachment]])), ISBLANK( PoleData[[#This Row],[guy2 length]])), "Missing", "")</f>
        <v/>
      </c>
      <c r="BD4" t="str">
        <f>IF( AND( NOT( ISBLANK( PoleData[[#This Row],[guy3 attachment]])), ISBLANK( PoleData[[#This Row],[guy3 length]])), "Missing", "")</f>
        <v/>
      </c>
      <c r="BE4" t="str">
        <f>IF( AND( NOT( ISBLANK( PoleData[[#This Row],[guy4 attachment]])), ISBLANK( PoleData[[#This Row],[guy4 length]])), "Missing", "")</f>
        <v/>
      </c>
    </row>
    <row r="5" spans="1:57" x14ac:dyDescent="0.35">
      <c r="A5" t="s">
        <v>22</v>
      </c>
      <c r="C5">
        <v>49.272281</v>
      </c>
      <c r="D5">
        <v>-122.995992</v>
      </c>
      <c r="E5">
        <v>11</v>
      </c>
      <c r="F5">
        <v>40</v>
      </c>
      <c r="G5">
        <v>3</v>
      </c>
      <c r="J5">
        <v>10.047000000000001</v>
      </c>
      <c r="S5">
        <v>9.69</v>
      </c>
      <c r="T5">
        <v>9.2989999999999995</v>
      </c>
      <c r="U5">
        <v>9.01</v>
      </c>
      <c r="Y5" t="s">
        <v>20</v>
      </c>
      <c r="AA5">
        <v>6.4939999999999998</v>
      </c>
      <c r="AB5" t="s">
        <v>55</v>
      </c>
      <c r="AC5">
        <v>6.1709999999999994</v>
      </c>
      <c r="AD5" t="s">
        <v>55</v>
      </c>
      <c r="AH5" t="s">
        <v>20</v>
      </c>
      <c r="BB5" t="str">
        <f>IF( AND( NOT( ISBLANK( PoleData[[#This Row],[guy1 attachment]])), ISBLANK( PoleData[[#This Row],[guy1 length]])), "Missing", "")</f>
        <v/>
      </c>
      <c r="BC5" t="str">
        <f>IF( AND( NOT( ISBLANK( PoleData[[#This Row],[guy2 attachment]])), ISBLANK( PoleData[[#This Row],[guy2 length]])), "Missing", "")</f>
        <v/>
      </c>
      <c r="BD5" t="str">
        <f>IF( AND( NOT( ISBLANK( PoleData[[#This Row],[guy3 attachment]])), ISBLANK( PoleData[[#This Row],[guy3 length]])), "Missing", "")</f>
        <v/>
      </c>
      <c r="BE5" t="str">
        <f>IF( AND( NOT( ISBLANK( PoleData[[#This Row],[guy4 attachment]])), ISBLANK( PoleData[[#This Row],[guy4 length]])), "Missing", "")</f>
        <v/>
      </c>
    </row>
    <row r="6" spans="1:57" x14ac:dyDescent="0.35">
      <c r="D6" s="8"/>
    </row>
  </sheetData>
  <conditionalFormatting sqref="AA2:AA9795">
    <cfRule type="expression" dxfId="16" priority="1">
      <formula>AND(MIN($S2:$V2)-$AA2&lt;1.3, MIN($S2:$V2) &lt;&gt; 0)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B3918-8F46-45CD-AEFD-3C5A296F5206}">
  <sheetPr codeName="Sheet5"/>
  <dimension ref="A1:F4"/>
  <sheetViews>
    <sheetView workbookViewId="0">
      <pane ySplit="1" topLeftCell="A2" activePane="bottomLeft" state="frozen"/>
      <selection pane="bottomLeft" activeCell="D15" sqref="D15"/>
    </sheetView>
  </sheetViews>
  <sheetFormatPr defaultRowHeight="14.5" x14ac:dyDescent="0.35"/>
  <cols>
    <col min="3" max="3" width="16.54296875" customWidth="1"/>
    <col min="4" max="4" width="24" customWidth="1"/>
    <col min="5" max="5" width="17.81640625" customWidth="1"/>
    <col min="6" max="6" width="17.453125" customWidth="1"/>
  </cols>
  <sheetData>
    <row r="1" spans="1:6" x14ac:dyDescent="0.35">
      <c r="A1" t="s">
        <v>67</v>
      </c>
      <c r="B1" t="s">
        <v>68</v>
      </c>
      <c r="C1" t="s">
        <v>36</v>
      </c>
      <c r="D1" t="s">
        <v>35</v>
      </c>
      <c r="E1" t="s">
        <v>43</v>
      </c>
      <c r="F1" t="s">
        <v>69</v>
      </c>
    </row>
    <row r="2" spans="1:6" x14ac:dyDescent="0.35">
      <c r="A2" t="s">
        <v>3</v>
      </c>
      <c r="B2" t="s">
        <v>4</v>
      </c>
      <c r="C2" t="s">
        <v>39</v>
      </c>
      <c r="D2">
        <f>_xlfn.XLOOKUP(C2, ClearanceReqs[Clearance Type], ClearanceReqs[Clearance Requirement])</f>
        <v>4.5</v>
      </c>
      <c r="E2">
        <v>5.3</v>
      </c>
      <c r="F2">
        <f>SpanData[[#This Row],[Actual Clearance]]-SpanData[[#This Row],[Clearance Requirement]]</f>
        <v>0.79999999999999982</v>
      </c>
    </row>
    <row r="3" spans="1:6" x14ac:dyDescent="0.35">
      <c r="A3" t="s">
        <v>4</v>
      </c>
      <c r="B3" t="s">
        <v>5</v>
      </c>
      <c r="C3" t="s">
        <v>39</v>
      </c>
      <c r="D3">
        <f>_xlfn.XLOOKUP(C3, ClearanceReqs[Clearance Type], ClearanceReqs[Clearance Requirement])</f>
        <v>4.5</v>
      </c>
      <c r="E3">
        <v>5</v>
      </c>
      <c r="F3">
        <f>SpanData[[#This Row],[Actual Clearance]]-SpanData[[#This Row],[Clearance Requirement]]</f>
        <v>0.5</v>
      </c>
    </row>
    <row r="4" spans="1:6" x14ac:dyDescent="0.35">
      <c r="A4" t="s">
        <v>5</v>
      </c>
      <c r="B4" t="s">
        <v>22</v>
      </c>
      <c r="C4" t="s">
        <v>39</v>
      </c>
      <c r="D4">
        <f>_xlfn.XLOOKUP(C4, ClearanceReqs[Clearance Type], ClearanceReqs[Clearance Requirement])</f>
        <v>4.5</v>
      </c>
      <c r="E4">
        <v>4.0999999999999996</v>
      </c>
      <c r="F4">
        <f>SpanData[[#This Row],[Actual Clearance]]-SpanData[[#This Row],[Clearance Requirement]]</f>
        <v>-0.40000000000000036</v>
      </c>
    </row>
  </sheetData>
  <conditionalFormatting sqref="E2:E1048576">
    <cfRule type="expression" dxfId="11" priority="1">
      <formula>$D2&gt;$E2</formula>
    </cfRule>
  </conditionalFormatting>
  <dataValidations count="1">
    <dataValidation type="list" allowBlank="1" showInputMessage="1" showErrorMessage="1" sqref="C2:C4" xr:uid="{07216841-ABCA-4882-BCC2-32EA6F2AD262}">
      <formula1>INDIRECT("ClearanceReqs[Clearance Type]")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EABA7-9206-45BE-99A4-7635BEE319A9}">
  <sheetPr codeName="Sheet6"/>
  <dimension ref="A1:I5"/>
  <sheetViews>
    <sheetView workbookViewId="0">
      <selection activeCell="H13" sqref="H13"/>
    </sheetView>
  </sheetViews>
  <sheetFormatPr defaultRowHeight="14.5" x14ac:dyDescent="0.35"/>
  <cols>
    <col min="1" max="1" width="10.54296875" customWidth="1"/>
    <col min="2" max="2" width="13.81640625" bestFit="1" customWidth="1"/>
    <col min="3" max="3" width="13.1796875" customWidth="1"/>
    <col min="4" max="4" width="17.54296875" bestFit="1" customWidth="1"/>
    <col min="5" max="5" width="18.1796875" bestFit="1" customWidth="1"/>
    <col min="6" max="7" width="23.7265625" bestFit="1" customWidth="1"/>
    <col min="8" max="8" width="19" bestFit="1" customWidth="1"/>
    <col min="9" max="9" width="23.81640625" bestFit="1" customWidth="1"/>
  </cols>
  <sheetData>
    <row r="1" spans="1:9" x14ac:dyDescent="0.35">
      <c r="A1" t="s">
        <v>9</v>
      </c>
      <c r="B1" t="s">
        <v>71</v>
      </c>
      <c r="C1" t="s">
        <v>70</v>
      </c>
      <c r="D1" t="s">
        <v>74</v>
      </c>
      <c r="E1" t="s">
        <v>75</v>
      </c>
      <c r="F1" t="s">
        <v>72</v>
      </c>
      <c r="G1" t="s">
        <v>73</v>
      </c>
      <c r="H1" t="s">
        <v>76</v>
      </c>
      <c r="I1" t="s">
        <v>77</v>
      </c>
    </row>
    <row r="2" spans="1:9" x14ac:dyDescent="0.35">
      <c r="A2" t="str">
        <f>PoleData[[#This Row],[Profile '#]]</f>
        <v>P1</v>
      </c>
      <c r="B2" t="b">
        <f>IF( AND(MIN(PoleData[[#This Row],[S1]:[S5]])&gt;0, MIN(PoleData[[#This Row],[C1]])&gt;0), TRUE, FALSE)</f>
        <v>1</v>
      </c>
      <c r="C2" cm="1">
        <f t="array" ref="C2">IF(Table4[[#This Row],[S + C exists?]], MIN(_xlfn._xlws.FILTER(PoleData[[#This Row],[S1]:[S5]], PoleData[[#This Row],[S1]:[S5]]&lt;&gt;0)) - PoleData[[#This Row],[C1]], "")</f>
        <v>1.8529999999999998</v>
      </c>
      <c r="D2">
        <f>IFERROR(ROUND(Table4[[#This Row],[C clearance]]-1.3, 2), "")</f>
        <v>0.55000000000000004</v>
      </c>
      <c r="E2" t="b">
        <f>IFERROR( IF(Table4[[#This Row],[C clearance -req]]&lt;0, TRUE, FALSE), FALSE)</f>
        <v>0</v>
      </c>
      <c r="F2">
        <f>IFERROR( _xlfn.XLOOKUP(Table4[[#This Row],[Profile '#]], SpanData[Span1], SpanData[Clearance Room]), "")</f>
        <v>0.79999999999999982</v>
      </c>
      <c r="G2" t="str">
        <f>IFERROR( _xlfn.XLOOKUP(Table4[[#This Row],[Profile '#]], SpanData[Span2], SpanData[Clearance Room]), "")</f>
        <v/>
      </c>
      <c r="H2" t="str">
        <f>IF(Table4[[#This Row],[Clearance Issue?]], MIN(Table4[[#This Row],[Span1 Clearance Room]:[Span2 Clearance Room]])+Table4[[#This Row],[C clearance -req]], "")</f>
        <v/>
      </c>
      <c r="I2" t="str">
        <f>IF(Table4[[#This Row],[Clearance Issue?]], IF(_xlfn.NUMBERVALUE(Table4[[#This Row],[Space to lower C?]])&gt;0, "Lower C by " &amp; Table4[[#This Row],[C clearance -req]] &amp; "m", "Taller pole may be needed"), "")</f>
        <v/>
      </c>
    </row>
    <row r="3" spans="1:9" x14ac:dyDescent="0.35">
      <c r="A3" t="str">
        <f>PoleData[[#This Row],[Profile '#]]</f>
        <v>P2</v>
      </c>
      <c r="B3" t="b">
        <f>IF( AND(MIN(PoleData[[#This Row],[S1]:[S5]])&gt;0, MIN(PoleData[[#This Row],[C1]])&gt;0), TRUE, FALSE)</f>
        <v>1</v>
      </c>
      <c r="C3" cm="1">
        <f t="array" ref="C3">IF(Table4[[#This Row],[S + C exists?]], MIN(_xlfn._xlws.FILTER(PoleData[[#This Row],[S1]:[S5]], PoleData[[#This Row],[S1]:[S5]]&lt;&gt;0)) - PoleData[[#This Row],[C1]], "")</f>
        <v>1.6150000000000002</v>
      </c>
      <c r="D3">
        <f>IFERROR(ROUND(Table4[[#This Row],[C clearance]]-1.3, 2), "")</f>
        <v>0.32</v>
      </c>
      <c r="E3" t="b">
        <f>IFERROR( IF(Table4[[#This Row],[C clearance -req]]&lt;0, TRUE, FALSE), FALSE)</f>
        <v>0</v>
      </c>
      <c r="F3">
        <f>IFERROR( _xlfn.XLOOKUP(Table4[[#This Row],[Profile '#]], SpanData[Span1], SpanData[Clearance Room]), "")</f>
        <v>0.5</v>
      </c>
      <c r="G3">
        <f>IFERROR( _xlfn.XLOOKUP(Table4[[#This Row],[Profile '#]], SpanData[Span2], SpanData[Clearance Room]), "")</f>
        <v>0.79999999999999982</v>
      </c>
      <c r="H3" t="str">
        <f>IF(Table4[[#This Row],[Clearance Issue?]], MIN(Table4[[#This Row],[Span1 Clearance Room]:[Span2 Clearance Room]])+Table4[[#This Row],[C clearance -req]], "")</f>
        <v/>
      </c>
      <c r="I3" t="str">
        <f>IF(Table4[[#This Row],[Clearance Issue?]], IF(_xlfn.NUMBERVALUE(Table4[[#This Row],[Space to lower C?]])&gt;0, "Lower C by " &amp; Table4[[#This Row],[C clearance -req]] &amp; "m", "Taller pole may be needed"), "")</f>
        <v/>
      </c>
    </row>
    <row r="4" spans="1:9" x14ac:dyDescent="0.35">
      <c r="A4" t="str">
        <f>PoleData[[#This Row],[Profile '#]]</f>
        <v>P3</v>
      </c>
      <c r="B4" t="b">
        <f>IF( AND(MIN(PoleData[[#This Row],[S1]:[S5]])&gt;0, MIN(PoleData[[#This Row],[C1]])&gt;0), TRUE, FALSE)</f>
        <v>1</v>
      </c>
      <c r="C4" cm="1">
        <f t="array" ref="C4">IF(Table4[[#This Row],[S + C exists?]], MIN(_xlfn._xlws.FILTER(PoleData[[#This Row],[S1]:[S5]], PoleData[[#This Row],[S1]:[S5]]&lt;&gt;0)) - PoleData[[#This Row],[C1]], "")</f>
        <v>1.5299999999999994</v>
      </c>
      <c r="D4">
        <f>IFERROR(ROUND(Table4[[#This Row],[C clearance]]-1.3, 2), "")</f>
        <v>0.23</v>
      </c>
      <c r="E4" t="b">
        <f>IFERROR( IF(Table4[[#This Row],[C clearance -req]]&lt;0, TRUE, FALSE), FALSE)</f>
        <v>0</v>
      </c>
      <c r="F4">
        <f>IFERROR( _xlfn.XLOOKUP(Table4[[#This Row],[Profile '#]], SpanData[Span1], SpanData[Clearance Room]), "")</f>
        <v>-0.40000000000000036</v>
      </c>
      <c r="G4">
        <f>IFERROR( _xlfn.XLOOKUP(Table4[[#This Row],[Profile '#]], SpanData[Span2], SpanData[Clearance Room]), "")</f>
        <v>0.5</v>
      </c>
      <c r="H4" t="str">
        <f>IF(Table4[[#This Row],[Clearance Issue?]], MIN(Table4[[#This Row],[Span1 Clearance Room]:[Span2 Clearance Room]])+Table4[[#This Row],[C clearance -req]], "")</f>
        <v/>
      </c>
      <c r="I4" t="str">
        <f>IF(Table4[[#This Row],[Clearance Issue?]], IF(_xlfn.NUMBERVALUE(Table4[[#This Row],[Space to lower C?]])&gt;0, "Lower C by " &amp; Table4[[#This Row],[C clearance -req]] &amp; "m", "Taller pole may be needed"), "")</f>
        <v/>
      </c>
    </row>
    <row r="5" spans="1:9" x14ac:dyDescent="0.35">
      <c r="A5" t="str">
        <f>PoleData[[#This Row],[Profile '#]]</f>
        <v>P4</v>
      </c>
      <c r="B5" t="b">
        <f>IF( AND(MIN(PoleData[[#This Row],[S1]:[S5]])&gt;0, MIN(PoleData[[#This Row],[C1]])&gt;0), TRUE, FALSE)</f>
        <v>1</v>
      </c>
      <c r="C5" cm="1">
        <f t="array" ref="C5">IF(Table4[[#This Row],[S + C exists?]], MIN(_xlfn._xlws.FILTER(PoleData[[#This Row],[S1]:[S5]], PoleData[[#This Row],[S1]:[S5]]&lt;&gt;0)) - PoleData[[#This Row],[C1]], "")</f>
        <v>2.516</v>
      </c>
      <c r="D5">
        <f>IFERROR(ROUND(Table4[[#This Row],[C clearance]]-1.3, 2), "")</f>
        <v>1.22</v>
      </c>
      <c r="E5" t="b">
        <f>IFERROR( IF(Table4[[#This Row],[C clearance -req]]&lt;0, TRUE, FALSE), FALSE)</f>
        <v>0</v>
      </c>
      <c r="F5" t="str">
        <f>IFERROR( _xlfn.XLOOKUP(Table4[[#This Row],[Profile '#]], SpanData[Span1], SpanData[Clearance Room]), "")</f>
        <v/>
      </c>
      <c r="G5">
        <f>IFERROR( _xlfn.XLOOKUP(Table4[[#This Row],[Profile '#]], SpanData[Span2], SpanData[Clearance Room]), "")</f>
        <v>-0.40000000000000036</v>
      </c>
      <c r="H5" t="str">
        <f>IF(Table4[[#This Row],[Clearance Issue?]], MIN(Table4[[#This Row],[Span1 Clearance Room]:[Span2 Clearance Room]])+Table4[[#This Row],[C clearance -req]], "")</f>
        <v/>
      </c>
      <c r="I5" t="str">
        <f>IF(Table4[[#This Row],[Clearance Issue?]], IF(_xlfn.NUMBERVALUE(Table4[[#This Row],[Space to lower C?]])&gt;0, "Lower C by " &amp; Table4[[#This Row],[C clearance -req]] &amp; "m", "Taller pole may be needed"), "")</f>
        <v/>
      </c>
    </row>
  </sheetData>
  <conditionalFormatting sqref="E1:E1048576">
    <cfRule type="cellIs" dxfId="9" priority="2" operator="equal">
      <formula>TRUE</formula>
    </cfRule>
  </conditionalFormatting>
  <conditionalFormatting sqref="H1:H1048576">
    <cfRule type="cellIs" dxfId="8" priority="1" operator="lessThan">
      <formula>0</formula>
    </cfRule>
  </conditionalFormatting>
  <pageMargins left="0.7" right="0.7" top="0.75" bottom="0.75" header="0.3" footer="0.3"/>
  <pageSetup orientation="portrait" horizontalDpi="1200" verticalDpi="12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1146-5A97-455F-8C14-246F7CC8E688}">
  <sheetPr codeName="Sheet7"/>
  <dimension ref="T3:U9"/>
  <sheetViews>
    <sheetView topLeftCell="D1" workbookViewId="0">
      <selection activeCell="T17" sqref="T17"/>
    </sheetView>
  </sheetViews>
  <sheetFormatPr defaultRowHeight="14.5" x14ac:dyDescent="0.35"/>
  <cols>
    <col min="20" max="20" width="16.54296875" customWidth="1"/>
    <col min="21" max="21" width="24" customWidth="1"/>
  </cols>
  <sheetData>
    <row r="3" spans="20:21" x14ac:dyDescent="0.35">
      <c r="T3" t="s">
        <v>36</v>
      </c>
      <c r="U3" t="s">
        <v>35</v>
      </c>
    </row>
    <row r="4" spans="20:21" x14ac:dyDescent="0.35">
      <c r="T4" t="s">
        <v>37</v>
      </c>
      <c r="U4">
        <v>3.7</v>
      </c>
    </row>
    <row r="5" spans="20:21" x14ac:dyDescent="0.35">
      <c r="T5" t="s">
        <v>38</v>
      </c>
      <c r="U5">
        <v>4.5</v>
      </c>
    </row>
    <row r="6" spans="20:21" x14ac:dyDescent="0.35">
      <c r="T6" t="s">
        <v>39</v>
      </c>
      <c r="U6">
        <v>4.5</v>
      </c>
    </row>
    <row r="7" spans="20:21" x14ac:dyDescent="0.35">
      <c r="T7" t="s">
        <v>40</v>
      </c>
      <c r="U7">
        <v>5.6</v>
      </c>
    </row>
    <row r="8" spans="20:21" x14ac:dyDescent="0.35">
      <c r="T8" t="s">
        <v>41</v>
      </c>
      <c r="U8">
        <v>5.6</v>
      </c>
    </row>
    <row r="9" spans="20:21" x14ac:dyDescent="0.35">
      <c r="T9" t="s">
        <v>42</v>
      </c>
      <c r="U9">
        <v>7.3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AE33-BD13-45EC-A7BE-557FD3C224EF}">
  <sheetPr codeName="Sheet8"/>
  <dimension ref="A1:AN12"/>
  <sheetViews>
    <sheetView workbookViewId="0">
      <selection activeCell="G16" sqref="G16"/>
    </sheetView>
  </sheetViews>
  <sheetFormatPr defaultRowHeight="14.5" x14ac:dyDescent="0.35"/>
  <cols>
    <col min="1" max="1" width="20.81640625" customWidth="1"/>
    <col min="2" max="2" width="16.453125" bestFit="1" customWidth="1"/>
    <col min="3" max="3" width="13.90625" bestFit="1" customWidth="1"/>
    <col min="4" max="4" width="12" customWidth="1"/>
    <col min="5" max="5" width="16.26953125" customWidth="1"/>
    <col min="6" max="6" width="13.90625" bestFit="1" customWidth="1"/>
    <col min="7" max="7" width="16.08984375" customWidth="1"/>
    <col min="8" max="8" width="10.08984375" customWidth="1"/>
    <col min="9" max="10" width="11.54296875" customWidth="1"/>
    <col min="11" max="11" width="7.1796875" customWidth="1"/>
    <col min="12" max="12" width="7.6328125" customWidth="1"/>
    <col min="13" max="13" width="6.36328125" customWidth="1"/>
    <col min="14" max="14" width="9.26953125" customWidth="1"/>
    <col min="15" max="15" width="7.7265625" customWidth="1"/>
  </cols>
  <sheetData>
    <row r="1" spans="1:40" ht="29" x14ac:dyDescent="0.35">
      <c r="A1" s="19" t="s">
        <v>120</v>
      </c>
      <c r="B1" s="20"/>
      <c r="C1" s="9"/>
      <c r="D1" s="9"/>
      <c r="E1" s="18" t="s">
        <v>121</v>
      </c>
      <c r="F1" s="18" t="s">
        <v>0</v>
      </c>
      <c r="G1" s="18" t="s">
        <v>1</v>
      </c>
      <c r="H1" s="18" t="s">
        <v>142</v>
      </c>
      <c r="I1" s="18" t="s">
        <v>143</v>
      </c>
      <c r="J1" s="18" t="s">
        <v>144</v>
      </c>
      <c r="K1" s="22" t="s">
        <v>122</v>
      </c>
      <c r="L1" s="18" t="s">
        <v>126</v>
      </c>
      <c r="M1" s="18" t="s">
        <v>130</v>
      </c>
      <c r="N1" s="18" t="s">
        <v>134</v>
      </c>
      <c r="O1" s="18" t="s">
        <v>138</v>
      </c>
      <c r="P1" s="22" t="s">
        <v>123</v>
      </c>
      <c r="Q1" s="18" t="s">
        <v>127</v>
      </c>
      <c r="R1" s="18" t="s">
        <v>131</v>
      </c>
      <c r="S1" s="18" t="s">
        <v>135</v>
      </c>
      <c r="T1" s="18" t="s">
        <v>139</v>
      </c>
      <c r="U1" s="22" t="s">
        <v>124</v>
      </c>
      <c r="V1" s="18" t="s">
        <v>128</v>
      </c>
      <c r="W1" s="18" t="s">
        <v>132</v>
      </c>
      <c r="X1" s="18" t="s">
        <v>136</v>
      </c>
      <c r="Y1" s="18" t="s">
        <v>140</v>
      </c>
      <c r="Z1" s="22" t="s">
        <v>125</v>
      </c>
      <c r="AA1" s="18" t="s">
        <v>129</v>
      </c>
      <c r="AB1" s="18" t="s">
        <v>133</v>
      </c>
      <c r="AC1" s="18" t="s">
        <v>137</v>
      </c>
      <c r="AD1" s="23" t="s">
        <v>141</v>
      </c>
      <c r="AE1" s="22" t="s">
        <v>145</v>
      </c>
      <c r="AF1" s="18" t="s">
        <v>146</v>
      </c>
      <c r="AG1" s="18" t="s">
        <v>147</v>
      </c>
      <c r="AH1" s="18" t="s">
        <v>148</v>
      </c>
      <c r="AI1" s="23" t="s">
        <v>149</v>
      </c>
      <c r="AJ1" s="22" t="s">
        <v>150</v>
      </c>
      <c r="AK1" s="18" t="s">
        <v>151</v>
      </c>
      <c r="AL1" s="18" t="s">
        <v>152</v>
      </c>
      <c r="AM1" s="18" t="s">
        <v>153</v>
      </c>
      <c r="AN1" s="23" t="s">
        <v>154</v>
      </c>
    </row>
    <row r="2" spans="1:40" x14ac:dyDescent="0.35">
      <c r="A2" s="10" t="s">
        <v>114</v>
      </c>
      <c r="B2" s="15" t="s">
        <v>5</v>
      </c>
      <c r="C2" s="9"/>
      <c r="D2" s="9"/>
      <c r="E2" s="9" t="str" cm="1">
        <f t="array" ref="E2:E3">_xlfn.VSTACK(_xlfn._xlws.FILTER(SpanData[Span2], SpanData[Span1]='FEA Setup'!B2), _xlfn._xlws.FILTER(SpanData[Span1], SpanData[Span2]='FEA Setup'!B2))</f>
        <v>P4</v>
      </c>
      <c r="F2" s="9" cm="1">
        <f t="array" ref="F2:F3">_xlfn.XLOOKUP(_xlfn.ANCHORARRAY('FEA Setup'!$E2), PoleData[Profile '#], PoleData[Latitude], "")</f>
        <v>49.272281</v>
      </c>
      <c r="G2" s="9" cm="1">
        <f t="array" ref="G2:G3">_xlfn.XLOOKUP(_xlfn.ANCHORARRAY('FEA Setup'!$E2), PoleData[Profile '#], PoleData[Longitude], "")</f>
        <v>-122.995992</v>
      </c>
      <c r="H2" s="9" cm="1">
        <f t="array" ref="H2:H3">RADIANS(_xlfn.ANCHORARRAY(F2)-$B$3)*6371000</f>
        <v>18.791942602890582</v>
      </c>
      <c r="I2" s="9" cm="1">
        <f t="array" ref="I2:I3">RADIANS(_xlfn.ANCHORARRAY(G2)-$B$4)*6371000*COS(AVERAGE(_xlfn.ANCHORARRAY(F2)))</f>
        <v>28.588779303877885</v>
      </c>
      <c r="J2" s="9">
        <f>SQRT(SUMSQ(H2,I2))</f>
        <v>34.211919105425387</v>
      </c>
      <c r="K2" s="21" t="s">
        <v>6</v>
      </c>
      <c r="L2" s="17" t="s">
        <v>7</v>
      </c>
      <c r="M2" s="17" t="s">
        <v>15</v>
      </c>
      <c r="N2" s="17" t="s">
        <v>28</v>
      </c>
      <c r="O2" s="17" t="s">
        <v>30</v>
      </c>
      <c r="P2" s="16">
        <f>IFERROR( INDEX(PoleData[], MATCH('FEA Setup'!$B$2, PoleData[Profile '#], 0), MATCH('FEA Setup'!K2, PoleData[#Headers], 0)), "")</f>
        <v>8.4830000000000005</v>
      </c>
      <c r="Q2">
        <f>IFERROR( INDEX(PoleData[], MATCH('FEA Setup'!$B$2, PoleData[Profile '#], 0), MATCH('FEA Setup'!L2, PoleData[#Headers], 0)), "")</f>
        <v>8.1430000000000007</v>
      </c>
      <c r="R2">
        <f>IFERROR( INDEX(PoleData[], MATCH('FEA Setup'!$B$2, PoleData[Profile '#], 0), MATCH('FEA Setup'!M2, PoleData[#Headers], 0)), "")</f>
        <v>7.8199999999999994</v>
      </c>
      <c r="S2">
        <f>IFERROR( INDEX(PoleData[], MATCH('FEA Setup'!$B$2, PoleData[Profile '#], 0), MATCH('FEA Setup'!N2, PoleData[#Headers], 0)), "")</f>
        <v>6.29</v>
      </c>
      <c r="T2">
        <f>IFERROR( INDEX(PoleData[], MATCH('FEA Setup'!$B$2, PoleData[Profile '#], 0), MATCH('FEA Setup'!O2, PoleData[#Headers], 0)), "")</f>
        <v>5.7119999999999997</v>
      </c>
      <c r="U2" s="16" t="str">
        <f>IFERROR( INDEX(PoleData[], MATCH('FEA Setup'!$B$2, PoleData[Profile '#], 0), MATCH( LEFT(K2, 1) &amp; " attach type", PoleData[#Headers], 0)), "")</f>
        <v>Tangent</v>
      </c>
      <c r="V2" t="str">
        <f>IFERROR( INDEX(PoleData[], MATCH('FEA Setup'!$B$2, PoleData[Profile '#], 0), MATCH( LEFT(L2, 1) &amp; " attach type", PoleData[#Headers], 0)), "")</f>
        <v>Tangent</v>
      </c>
      <c r="W2" t="str">
        <f>IFERROR( INDEX(PoleData[], MATCH('FEA Setup'!$B$2, PoleData[Profile '#], 0), MATCH( LEFT(M2, 1) &amp; " attach type", PoleData[#Headers], 0)), "")</f>
        <v>Tangent</v>
      </c>
      <c r="X2" t="str">
        <f>IFERROR( INDEX(PoleData[], MATCH('FEA Setup'!$B$2, PoleData[Profile '#], 0), MATCH( LEFT(N2, 1) &amp; " attach type", PoleData[#Headers], 0)), "")</f>
        <v>Tangent</v>
      </c>
      <c r="Y2" t="str">
        <f>IFERROR( INDEX(PoleData[], MATCH('FEA Setup'!$B$2, PoleData[Profile '#], 0), MATCH( LEFT(O2, 1) &amp; " attach type", PoleData[#Headers], 0)), "")</f>
        <v>Tangent</v>
      </c>
      <c r="Z2" s="16">
        <f>IF( LEFT(K2, 1)="S", 9300, IF( LEFT( K2, 1)="C", 9300, IF( LEFT( K2, 1)="P", 9300, "")))</f>
        <v>9300</v>
      </c>
      <c r="AA2">
        <f t="shared" ref="AA2:AD2" si="0">IF( LEFT(L2, 1)="S", 9300, IF( LEFT( L2, 1)="C", 9300, IF( LEFT( L2, 1)="P", 9300, "")))</f>
        <v>9300</v>
      </c>
      <c r="AB2">
        <f t="shared" si="0"/>
        <v>9300</v>
      </c>
      <c r="AC2">
        <f t="shared" si="0"/>
        <v>9300</v>
      </c>
      <c r="AD2">
        <f t="shared" si="0"/>
        <v>9300</v>
      </c>
      <c r="AE2" s="16">
        <f>IFERROR(Z2*$H2/$J2, "")</f>
        <v>5108.3093488072655</v>
      </c>
      <c r="AF2">
        <f t="shared" ref="AF2:AI2" si="1">IFERROR(AA2*$H2/$J2, "")</f>
        <v>5108.3093488072655</v>
      </c>
      <c r="AG2">
        <f t="shared" si="1"/>
        <v>5108.3093488072655</v>
      </c>
      <c r="AH2">
        <f t="shared" si="1"/>
        <v>5108.3093488072655</v>
      </c>
      <c r="AI2">
        <f t="shared" si="1"/>
        <v>5108.3093488072655</v>
      </c>
      <c r="AJ2" s="16">
        <f>IFERROR(Z2*$I2/$J2, "")</f>
        <v>7771.4333038949944</v>
      </c>
      <c r="AK2">
        <f t="shared" ref="AK2:AN2" si="2">IFERROR(AA2*$I2/$J2, "")</f>
        <v>7771.4333038949944</v>
      </c>
      <c r="AL2">
        <f t="shared" si="2"/>
        <v>7771.4333038949944</v>
      </c>
      <c r="AM2">
        <f t="shared" si="2"/>
        <v>7771.4333038949944</v>
      </c>
      <c r="AN2">
        <f t="shared" si="2"/>
        <v>7771.4333038949944</v>
      </c>
    </row>
    <row r="3" spans="1:40" x14ac:dyDescent="0.35">
      <c r="A3" s="12" t="s">
        <v>0</v>
      </c>
      <c r="B3" s="9">
        <f>_xlfn.XLOOKUP('FEA Setup'!B$2, PoleData[Profile '#], PoleData[Latitude], "")</f>
        <v>49.272112</v>
      </c>
      <c r="C3" s="9"/>
      <c r="D3" s="9"/>
      <c r="E3" s="9" t="str">
        <v>P2</v>
      </c>
      <c r="F3" s="9">
        <v>49.271946999999997</v>
      </c>
      <c r="G3" s="9">
        <v>-122.99690099999999</v>
      </c>
      <c r="H3" s="9">
        <v>-18.347162896645219</v>
      </c>
      <c r="I3" s="9">
        <v>-26.585743810288037</v>
      </c>
      <c r="J3" s="9">
        <f>SQRT(SUMSQ(H3,I3))</f>
        <v>32.302014802521278</v>
      </c>
      <c r="K3" s="21" t="s">
        <v>6</v>
      </c>
      <c r="L3" s="17" t="s">
        <v>7</v>
      </c>
      <c r="M3" s="17" t="s">
        <v>15</v>
      </c>
      <c r="N3" s="17" t="s">
        <v>28</v>
      </c>
      <c r="O3" s="17" t="s">
        <v>30</v>
      </c>
      <c r="P3" s="16">
        <f>IFERROR( INDEX(PoleData[], MATCH('FEA Setup'!$B$2, PoleData[Profile '#], 0), MATCH('FEA Setup'!K3, PoleData[#Headers], 0)), "")</f>
        <v>8.4830000000000005</v>
      </c>
      <c r="Q3">
        <f>IFERROR( INDEX(PoleData[], MATCH('FEA Setup'!$B$2, PoleData[Profile '#], 0), MATCH('FEA Setup'!L3, PoleData[#Headers], 0)), "")</f>
        <v>8.1430000000000007</v>
      </c>
      <c r="R3">
        <f>IFERROR( INDEX(PoleData[], MATCH('FEA Setup'!$B$2, PoleData[Profile '#], 0), MATCH('FEA Setup'!M3, PoleData[#Headers], 0)), "")</f>
        <v>7.8199999999999994</v>
      </c>
      <c r="S3">
        <f>IFERROR( INDEX(PoleData[], MATCH('FEA Setup'!$B$2, PoleData[Profile '#], 0), MATCH('FEA Setup'!N3, PoleData[#Headers], 0)), "")</f>
        <v>6.29</v>
      </c>
      <c r="T3">
        <f>IFERROR( INDEX(PoleData[], MATCH('FEA Setup'!$B$2, PoleData[Profile '#], 0), MATCH('FEA Setup'!O3, PoleData[#Headers], 0)), "")</f>
        <v>5.7119999999999997</v>
      </c>
      <c r="U3" s="16" t="str">
        <f>IFERROR( INDEX(PoleData[], MATCH('FEA Setup'!$B$2, PoleData[Profile '#], 0), MATCH( LEFT(K3, 1) &amp; " attach type", PoleData[#Headers], 0)), "")</f>
        <v>Tangent</v>
      </c>
      <c r="V3" t="str">
        <f>IFERROR( INDEX(PoleData[], MATCH('FEA Setup'!$B$2, PoleData[Profile '#], 0), MATCH( LEFT(L3, 1) &amp; " attach type", PoleData[#Headers], 0)), "")</f>
        <v>Tangent</v>
      </c>
      <c r="W3" t="str">
        <f>IFERROR( INDEX(PoleData[], MATCH('FEA Setup'!$B$2, PoleData[Profile '#], 0), MATCH( LEFT(M3, 1) &amp; " attach type", PoleData[#Headers], 0)), "")</f>
        <v>Tangent</v>
      </c>
      <c r="X3" t="str">
        <f>IFERROR( INDEX(PoleData[], MATCH('FEA Setup'!$B$2, PoleData[Profile '#], 0), MATCH( LEFT(N3, 1) &amp; " attach type", PoleData[#Headers], 0)), "")</f>
        <v>Tangent</v>
      </c>
      <c r="Y3" t="str">
        <f>IFERROR( INDEX(PoleData[], MATCH('FEA Setup'!$B$2, PoleData[Profile '#], 0), MATCH( LEFT(O3, 1) &amp; " attach type", PoleData[#Headers], 0)), "")</f>
        <v>Tangent</v>
      </c>
      <c r="Z3" s="16">
        <f t="shared" ref="Z3:Z11" si="3">IF( LEFT(K3, 1)="S", 9300, IF( LEFT( K3, 1)="C", 9300, IF( LEFT( K3, 1)="P", 9300, "")))</f>
        <v>9300</v>
      </c>
      <c r="AA3">
        <f t="shared" ref="AA3:AA11" si="4">IF( LEFT(L3, 1)="S", 9300, IF( LEFT( L3, 1)="C", 9300, IF( LEFT( L3, 1)="P", 9300, "")))</f>
        <v>9300</v>
      </c>
      <c r="AB3">
        <f t="shared" ref="AB3:AB11" si="5">IF( LEFT(M3, 1)="S", 9300, IF( LEFT( M3, 1)="C", 9300, IF( LEFT( M3, 1)="P", 9300, "")))</f>
        <v>9300</v>
      </c>
      <c r="AC3">
        <f t="shared" ref="AC3:AC11" si="6">IF( LEFT(N3, 1)="S", 9300, IF( LEFT( N3, 1)="C", 9300, IF( LEFT( N3, 1)="P", 9300, "")))</f>
        <v>9300</v>
      </c>
      <c r="AD3">
        <f t="shared" ref="AD3:AD11" si="7">IF( LEFT(O3, 1)="S", 9300, IF( LEFT( O3, 1)="C", 9300, IF( LEFT( O3, 1)="P", 9300, "")))</f>
        <v>9300</v>
      </c>
      <c r="AE3" s="16">
        <f t="shared" ref="AE3:AE11" si="8">IFERROR(Z3*$H3/$J3, "")</f>
        <v>-5282.2901599773404</v>
      </c>
      <c r="AF3">
        <f t="shared" ref="AF3:AF11" si="9">IFERROR(AA3*$H3/$J3, "")</f>
        <v>-5282.2901599773404</v>
      </c>
      <c r="AG3">
        <f t="shared" ref="AG3:AG11" si="10">IFERROR(AB3*$H3/$J3, "")</f>
        <v>-5282.2901599773404</v>
      </c>
      <c r="AH3">
        <f t="shared" ref="AH3:AH11" si="11">IFERROR(AC3*$H3/$J3, "")</f>
        <v>-5282.2901599773404</v>
      </c>
      <c r="AI3">
        <f t="shared" ref="AI3:AI11" si="12">IFERROR(AD3*$H3/$J3, "")</f>
        <v>-5282.2901599773404</v>
      </c>
      <c r="AJ3" s="16">
        <f t="shared" ref="AJ3:AJ11" si="13">IFERROR(Z3*$I3/$J3, "")</f>
        <v>-7654.2413514212203</v>
      </c>
      <c r="AK3">
        <f t="shared" ref="AK3:AK11" si="14">IFERROR(AA3*$I3/$J3, "")</f>
        <v>-7654.2413514212203</v>
      </c>
      <c r="AL3">
        <f t="shared" ref="AL3:AL11" si="15">IFERROR(AB3*$I3/$J3, "")</f>
        <v>-7654.2413514212203</v>
      </c>
      <c r="AM3">
        <f t="shared" ref="AM3:AM11" si="16">IFERROR(AC3*$I3/$J3, "")</f>
        <v>-7654.2413514212203</v>
      </c>
      <c r="AN3">
        <f t="shared" ref="AN3:AN11" si="17">IFERROR(AD3*$I3/$J3, "")</f>
        <v>-7654.2413514212203</v>
      </c>
    </row>
    <row r="4" spans="1:40" x14ac:dyDescent="0.35">
      <c r="A4" s="12" t="s">
        <v>1</v>
      </c>
      <c r="B4" s="9">
        <f>_xlfn.XLOOKUP('FEA Setup'!B$2, PoleData[Profile '#], PoleData[Longitude], "")</f>
        <v>-122.99646300000001</v>
      </c>
      <c r="C4" s="9"/>
      <c r="D4" s="9"/>
      <c r="E4" s="9"/>
      <c r="F4" s="9"/>
      <c r="G4" s="9"/>
      <c r="H4" s="9"/>
      <c r="I4" s="9"/>
      <c r="J4" s="9">
        <f t="shared" ref="J4:J11" si="18">SQRT(SUMSQ(H4,I4))</f>
        <v>0</v>
      </c>
      <c r="K4" s="21"/>
      <c r="L4" s="17"/>
      <c r="M4" s="17"/>
      <c r="N4" s="17"/>
      <c r="O4" s="17"/>
      <c r="P4" s="16" t="str">
        <f>IFERROR( INDEX(PoleData[], MATCH('FEA Setup'!$B$2, PoleData[Profile '#], 0), MATCH('FEA Setup'!K4, PoleData[#Headers], 0)), "")</f>
        <v/>
      </c>
      <c r="Q4" t="str">
        <f>IFERROR( INDEX(PoleData[], MATCH('FEA Setup'!$B$2, PoleData[Profile '#], 0), MATCH('FEA Setup'!L4, PoleData[#Headers], 0)), "")</f>
        <v/>
      </c>
      <c r="R4" t="str">
        <f>IFERROR( INDEX(PoleData[], MATCH('FEA Setup'!$B$2, PoleData[Profile '#], 0), MATCH('FEA Setup'!M4, PoleData[#Headers], 0)), "")</f>
        <v/>
      </c>
      <c r="S4" t="str">
        <f>IFERROR( INDEX(PoleData[], MATCH('FEA Setup'!$B$2, PoleData[Profile '#], 0), MATCH('FEA Setup'!N4, PoleData[#Headers], 0)), "")</f>
        <v/>
      </c>
      <c r="T4" t="str">
        <f>IFERROR( INDEX(PoleData[], MATCH('FEA Setup'!$B$2, PoleData[Profile '#], 0), MATCH('FEA Setup'!O4, PoleData[#Headers], 0)), "")</f>
        <v/>
      </c>
      <c r="U4" s="16" t="str">
        <f>IFERROR( INDEX(PoleData[], MATCH('FEA Setup'!$B$2, PoleData[Profile '#], 0), MATCH( LEFT(K4, 1) &amp; " attach type", PoleData[#Headers], 0)), "")</f>
        <v/>
      </c>
      <c r="V4" t="str">
        <f>IFERROR( INDEX(PoleData[], MATCH('FEA Setup'!$B$2, PoleData[Profile '#], 0), MATCH( LEFT(L4, 1) &amp; " attach type", PoleData[#Headers], 0)), "")</f>
        <v/>
      </c>
      <c r="W4" t="str">
        <f>IFERROR( INDEX(PoleData[], MATCH('FEA Setup'!$B$2, PoleData[Profile '#], 0), MATCH( LEFT(M4, 1) &amp; " attach type", PoleData[#Headers], 0)), "")</f>
        <v/>
      </c>
      <c r="X4" t="str">
        <f>IFERROR( INDEX(PoleData[], MATCH('FEA Setup'!$B$2, PoleData[Profile '#], 0), MATCH( LEFT(N4, 1) &amp; " attach type", PoleData[#Headers], 0)), "")</f>
        <v/>
      </c>
      <c r="Y4" t="str">
        <f>IFERROR( INDEX(PoleData[], MATCH('FEA Setup'!$B$2, PoleData[Profile '#], 0), MATCH( LEFT(O4, 1) &amp; " attach type", PoleData[#Headers], 0)), "")</f>
        <v/>
      </c>
      <c r="Z4" s="16" t="str">
        <f t="shared" si="3"/>
        <v/>
      </c>
      <c r="AA4" t="str">
        <f t="shared" si="4"/>
        <v/>
      </c>
      <c r="AB4" t="str">
        <f t="shared" si="5"/>
        <v/>
      </c>
      <c r="AC4" t="str">
        <f t="shared" si="6"/>
        <v/>
      </c>
      <c r="AD4" t="str">
        <f t="shared" si="7"/>
        <v/>
      </c>
      <c r="AE4" s="16" t="str">
        <f t="shared" si="8"/>
        <v/>
      </c>
      <c r="AF4" t="str">
        <f t="shared" si="9"/>
        <v/>
      </c>
      <c r="AG4" t="str">
        <f t="shared" si="10"/>
        <v/>
      </c>
      <c r="AH4" t="str">
        <f t="shared" si="11"/>
        <v/>
      </c>
      <c r="AI4" t="str">
        <f t="shared" si="12"/>
        <v/>
      </c>
      <c r="AJ4" s="16" t="str">
        <f t="shared" si="13"/>
        <v/>
      </c>
      <c r="AK4" t="str">
        <f t="shared" si="14"/>
        <v/>
      </c>
      <c r="AL4" t="str">
        <f t="shared" si="15"/>
        <v/>
      </c>
      <c r="AM4" t="str">
        <f t="shared" si="16"/>
        <v/>
      </c>
      <c r="AN4" t="str">
        <f t="shared" si="17"/>
        <v/>
      </c>
    </row>
    <row r="5" spans="1:40" x14ac:dyDescent="0.35">
      <c r="A5" s="12" t="s">
        <v>119</v>
      </c>
      <c r="B5" s="9">
        <f>_xlfn.XLOOKUP('FEA Setup'!B$2, PoleData[Profile '#], PoleData[Elevation (m)], "")</f>
        <v>10.5</v>
      </c>
      <c r="C5" s="9" t="str">
        <f>_xlfn.XLOOKUP('FEA Setup'!$B5, PoleData[Profile '#], PoleData[Latitude], "")</f>
        <v/>
      </c>
      <c r="D5" s="9" t="str">
        <f>_xlfn.XLOOKUP('FEA Setup'!$B5, PoleData[Profile '#], PoleData[Longitude], "")</f>
        <v/>
      </c>
      <c r="E5" s="9" t="str">
        <f>_xlfn.XLOOKUP('FEA Setup'!$B5, PoleData[Profile '#], PoleData[Elevation (m)], "")</f>
        <v/>
      </c>
      <c r="F5" s="9" t="str">
        <f>_xlfn.XLOOKUP('FEA Setup'!$B5, PoleData[Profile '#], PoleData[Length], "")</f>
        <v/>
      </c>
      <c r="G5" s="9" t="str">
        <f>_xlfn.XLOOKUP('FEA Setup'!$B5, PoleData[Profile '#], PoleData[Class], "")</f>
        <v/>
      </c>
      <c r="H5" s="9"/>
      <c r="I5" s="9"/>
      <c r="J5" s="9">
        <f t="shared" si="18"/>
        <v>0</v>
      </c>
      <c r="K5" s="21"/>
      <c r="L5" s="17"/>
      <c r="M5" s="17"/>
      <c r="N5" s="17"/>
      <c r="O5" s="17"/>
      <c r="P5" s="16" t="str">
        <f>IFERROR( INDEX(PoleData[], MATCH('FEA Setup'!$B$2, PoleData[Profile '#], 0), MATCH('FEA Setup'!K5, PoleData[#Headers], 0)), "")</f>
        <v/>
      </c>
      <c r="Q5" t="str">
        <f>IFERROR( INDEX(PoleData[], MATCH('FEA Setup'!$B$2, PoleData[Profile '#], 0), MATCH('FEA Setup'!L5, PoleData[#Headers], 0)), "")</f>
        <v/>
      </c>
      <c r="R5" t="str">
        <f>IFERROR( INDEX(PoleData[], MATCH('FEA Setup'!$B$2, PoleData[Profile '#], 0), MATCH('FEA Setup'!M5, PoleData[#Headers], 0)), "")</f>
        <v/>
      </c>
      <c r="S5" t="str">
        <f>IFERROR( INDEX(PoleData[], MATCH('FEA Setup'!$B$2, PoleData[Profile '#], 0), MATCH('FEA Setup'!N5, PoleData[#Headers], 0)), "")</f>
        <v/>
      </c>
      <c r="T5" t="str">
        <f>IFERROR( INDEX(PoleData[], MATCH('FEA Setup'!$B$2, PoleData[Profile '#], 0), MATCH('FEA Setup'!O5, PoleData[#Headers], 0)), "")</f>
        <v/>
      </c>
      <c r="U5" s="16" t="str">
        <f>IFERROR( INDEX(PoleData[], MATCH('FEA Setup'!$B$2, PoleData[Profile '#], 0), MATCH( LEFT(K5, 1) &amp; " attach type", PoleData[#Headers], 0)), "")</f>
        <v/>
      </c>
      <c r="V5" t="str">
        <f>IFERROR( INDEX(PoleData[], MATCH('FEA Setup'!$B$2, PoleData[Profile '#], 0), MATCH( LEFT(L5, 1) &amp; " attach type", PoleData[#Headers], 0)), "")</f>
        <v/>
      </c>
      <c r="W5" t="str">
        <f>IFERROR( INDEX(PoleData[], MATCH('FEA Setup'!$B$2, PoleData[Profile '#], 0), MATCH( LEFT(M5, 1) &amp; " attach type", PoleData[#Headers], 0)), "")</f>
        <v/>
      </c>
      <c r="X5" t="str">
        <f>IFERROR( INDEX(PoleData[], MATCH('FEA Setup'!$B$2, PoleData[Profile '#], 0), MATCH( LEFT(N5, 1) &amp; " attach type", PoleData[#Headers], 0)), "")</f>
        <v/>
      </c>
      <c r="Y5" t="str">
        <f>IFERROR( INDEX(PoleData[], MATCH('FEA Setup'!$B$2, PoleData[Profile '#], 0), MATCH( LEFT(O5, 1) &amp; " attach type", PoleData[#Headers], 0)), "")</f>
        <v/>
      </c>
      <c r="Z5" s="16" t="str">
        <f t="shared" si="3"/>
        <v/>
      </c>
      <c r="AA5" t="str">
        <f t="shared" si="4"/>
        <v/>
      </c>
      <c r="AB5" t="str">
        <f t="shared" si="5"/>
        <v/>
      </c>
      <c r="AC5" t="str">
        <f t="shared" si="6"/>
        <v/>
      </c>
      <c r="AD5" t="str">
        <f t="shared" si="7"/>
        <v/>
      </c>
      <c r="AE5" s="16" t="str">
        <f t="shared" si="8"/>
        <v/>
      </c>
      <c r="AF5" t="str">
        <f t="shared" si="9"/>
        <v/>
      </c>
      <c r="AG5" t="str">
        <f t="shared" si="10"/>
        <v/>
      </c>
      <c r="AH5" t="str">
        <f t="shared" si="11"/>
        <v/>
      </c>
      <c r="AI5" t="str">
        <f t="shared" si="12"/>
        <v/>
      </c>
      <c r="AJ5" s="16" t="str">
        <f t="shared" si="13"/>
        <v/>
      </c>
      <c r="AK5" t="str">
        <f t="shared" si="14"/>
        <v/>
      </c>
      <c r="AL5" t="str">
        <f t="shared" si="15"/>
        <v/>
      </c>
      <c r="AM5" t="str">
        <f t="shared" si="16"/>
        <v/>
      </c>
      <c r="AN5" t="str">
        <f t="shared" si="17"/>
        <v/>
      </c>
    </row>
    <row r="6" spans="1:40" x14ac:dyDescent="0.35">
      <c r="A6" s="12" t="s">
        <v>118</v>
      </c>
      <c r="B6" s="9">
        <f>_xlfn.XLOOKUP('FEA Setup'!B$2, PoleData[Profile '#], PoleData[Length], "")</f>
        <v>40</v>
      </c>
      <c r="C6" s="9" t="str">
        <f>_xlfn.XLOOKUP('FEA Setup'!$B6, PoleData[Profile '#], PoleData[Latitude], "")</f>
        <v/>
      </c>
      <c r="D6" s="9" t="str">
        <f>_xlfn.XLOOKUP('FEA Setup'!$B6, PoleData[Profile '#], PoleData[Longitude], "")</f>
        <v/>
      </c>
      <c r="E6" s="9" t="str">
        <f>_xlfn.XLOOKUP('FEA Setup'!$B6, PoleData[Profile '#], PoleData[Elevation (m)], "")</f>
        <v/>
      </c>
      <c r="F6" s="9" t="str">
        <f>_xlfn.XLOOKUP('FEA Setup'!$B6, PoleData[Profile '#], PoleData[Length], "")</f>
        <v/>
      </c>
      <c r="G6" s="9" t="str">
        <f>_xlfn.XLOOKUP('FEA Setup'!$B6, PoleData[Profile '#], PoleData[Class], "")</f>
        <v/>
      </c>
      <c r="H6" s="9"/>
      <c r="I6" s="9"/>
      <c r="J6" s="9">
        <f t="shared" si="18"/>
        <v>0</v>
      </c>
      <c r="K6" s="21"/>
      <c r="L6" s="17"/>
      <c r="M6" s="17"/>
      <c r="N6" s="17"/>
      <c r="O6" s="17"/>
      <c r="P6" s="16" t="str">
        <f>IFERROR( INDEX(PoleData[], MATCH('FEA Setup'!$B$2, PoleData[Profile '#], 0), MATCH('FEA Setup'!K6, PoleData[#Headers], 0)), "")</f>
        <v/>
      </c>
      <c r="Q6" t="str">
        <f>IFERROR( INDEX(PoleData[], MATCH('FEA Setup'!$B$2, PoleData[Profile '#], 0), MATCH('FEA Setup'!L6, PoleData[#Headers], 0)), "")</f>
        <v/>
      </c>
      <c r="R6" t="str">
        <f>IFERROR( INDEX(PoleData[], MATCH('FEA Setup'!$B$2, PoleData[Profile '#], 0), MATCH('FEA Setup'!M6, PoleData[#Headers], 0)), "")</f>
        <v/>
      </c>
      <c r="S6" t="str">
        <f>IFERROR( INDEX(PoleData[], MATCH('FEA Setup'!$B$2, PoleData[Profile '#], 0), MATCH('FEA Setup'!N6, PoleData[#Headers], 0)), "")</f>
        <v/>
      </c>
      <c r="T6" t="str">
        <f>IFERROR( INDEX(PoleData[], MATCH('FEA Setup'!$B$2, PoleData[Profile '#], 0), MATCH('FEA Setup'!O6, PoleData[#Headers], 0)), "")</f>
        <v/>
      </c>
      <c r="U6" s="16" t="str">
        <f>IFERROR( INDEX(PoleData[], MATCH('FEA Setup'!$B$2, PoleData[Profile '#], 0), MATCH( LEFT(K6, 1) &amp; " attach type", PoleData[#Headers], 0)), "")</f>
        <v/>
      </c>
      <c r="V6" t="str">
        <f>IFERROR( INDEX(PoleData[], MATCH('FEA Setup'!$B$2, PoleData[Profile '#], 0), MATCH( LEFT(L6, 1) &amp; " attach type", PoleData[#Headers], 0)), "")</f>
        <v/>
      </c>
      <c r="W6" t="str">
        <f>IFERROR( INDEX(PoleData[], MATCH('FEA Setup'!$B$2, PoleData[Profile '#], 0), MATCH( LEFT(M6, 1) &amp; " attach type", PoleData[#Headers], 0)), "")</f>
        <v/>
      </c>
      <c r="X6" t="str">
        <f>IFERROR( INDEX(PoleData[], MATCH('FEA Setup'!$B$2, PoleData[Profile '#], 0), MATCH( LEFT(N6, 1) &amp; " attach type", PoleData[#Headers], 0)), "")</f>
        <v/>
      </c>
      <c r="Y6" t="str">
        <f>IFERROR( INDEX(PoleData[], MATCH('FEA Setup'!$B$2, PoleData[Profile '#], 0), MATCH( LEFT(O6, 1) &amp; " attach type", PoleData[#Headers], 0)), "")</f>
        <v/>
      </c>
      <c r="Z6" s="16" t="str">
        <f t="shared" si="3"/>
        <v/>
      </c>
      <c r="AA6" t="str">
        <f t="shared" si="4"/>
        <v/>
      </c>
      <c r="AB6" t="str">
        <f t="shared" si="5"/>
        <v/>
      </c>
      <c r="AC6" t="str">
        <f t="shared" si="6"/>
        <v/>
      </c>
      <c r="AD6" t="str">
        <f t="shared" si="7"/>
        <v/>
      </c>
      <c r="AE6" s="16" t="str">
        <f t="shared" si="8"/>
        <v/>
      </c>
      <c r="AF6" t="str">
        <f t="shared" si="9"/>
        <v/>
      </c>
      <c r="AG6" t="str">
        <f t="shared" si="10"/>
        <v/>
      </c>
      <c r="AH6" t="str">
        <f t="shared" si="11"/>
        <v/>
      </c>
      <c r="AI6" t="str">
        <f t="shared" si="12"/>
        <v/>
      </c>
      <c r="AJ6" s="16" t="str">
        <f t="shared" si="13"/>
        <v/>
      </c>
      <c r="AK6" t="str">
        <f t="shared" si="14"/>
        <v/>
      </c>
      <c r="AL6" t="str">
        <f t="shared" si="15"/>
        <v/>
      </c>
      <c r="AM6" t="str">
        <f t="shared" si="16"/>
        <v/>
      </c>
      <c r="AN6" t="str">
        <f t="shared" si="17"/>
        <v/>
      </c>
    </row>
    <row r="7" spans="1:40" x14ac:dyDescent="0.35">
      <c r="A7" s="12" t="s">
        <v>8</v>
      </c>
      <c r="B7" s="9">
        <f>_xlfn.XLOOKUP('FEA Setup'!B$2, PoleData[Profile '#], PoleData[Class], "")</f>
        <v>3</v>
      </c>
      <c r="F7" s="9" t="str">
        <f>_xlfn.XLOOKUP('FEA Setup'!$B7, PoleData[Profile '#], PoleData[Length], "")</f>
        <v/>
      </c>
      <c r="G7" s="9" t="str">
        <f>_xlfn.XLOOKUP('FEA Setup'!$B7, PoleData[Profile '#], PoleData[Class], "")</f>
        <v/>
      </c>
      <c r="H7" s="9"/>
      <c r="I7" s="9"/>
      <c r="J7" s="9">
        <f t="shared" si="18"/>
        <v>0</v>
      </c>
      <c r="K7" s="21"/>
      <c r="L7" s="17"/>
      <c r="M7" s="17"/>
      <c r="N7" s="17"/>
      <c r="O7" s="17"/>
      <c r="P7" s="16" t="str">
        <f>IFERROR( INDEX(PoleData[], MATCH('FEA Setup'!$B$2, PoleData[Profile '#], 0), MATCH('FEA Setup'!K7, PoleData[#Headers], 0)), "")</f>
        <v/>
      </c>
      <c r="Q7" t="str">
        <f>IFERROR( INDEX(PoleData[], MATCH('FEA Setup'!$B$2, PoleData[Profile '#], 0), MATCH('FEA Setup'!L7, PoleData[#Headers], 0)), "")</f>
        <v/>
      </c>
      <c r="R7" t="str">
        <f>IFERROR( INDEX(PoleData[], MATCH('FEA Setup'!$B$2, PoleData[Profile '#], 0), MATCH('FEA Setup'!M7, PoleData[#Headers], 0)), "")</f>
        <v/>
      </c>
      <c r="S7" t="str">
        <f>IFERROR( INDEX(PoleData[], MATCH('FEA Setup'!$B$2, PoleData[Profile '#], 0), MATCH('FEA Setup'!N7, PoleData[#Headers], 0)), "")</f>
        <v/>
      </c>
      <c r="T7" t="str">
        <f>IFERROR( INDEX(PoleData[], MATCH('FEA Setup'!$B$2, PoleData[Profile '#], 0), MATCH('FEA Setup'!O7, PoleData[#Headers], 0)), "")</f>
        <v/>
      </c>
      <c r="U7" s="16" t="str">
        <f>IFERROR( INDEX(PoleData[], MATCH('FEA Setup'!$B$2, PoleData[Profile '#], 0), MATCH( LEFT(K7, 1) &amp; " attach type", PoleData[#Headers], 0)), "")</f>
        <v/>
      </c>
      <c r="V7" t="str">
        <f>IFERROR( INDEX(PoleData[], MATCH('FEA Setup'!$B$2, PoleData[Profile '#], 0), MATCH( LEFT(L7, 1) &amp; " attach type", PoleData[#Headers], 0)), "")</f>
        <v/>
      </c>
      <c r="W7" t="str">
        <f>IFERROR( INDEX(PoleData[], MATCH('FEA Setup'!$B$2, PoleData[Profile '#], 0), MATCH( LEFT(M7, 1) &amp; " attach type", PoleData[#Headers], 0)), "")</f>
        <v/>
      </c>
      <c r="X7" t="str">
        <f>IFERROR( INDEX(PoleData[], MATCH('FEA Setup'!$B$2, PoleData[Profile '#], 0), MATCH( LEFT(N7, 1) &amp; " attach type", PoleData[#Headers], 0)), "")</f>
        <v/>
      </c>
      <c r="Y7" t="str">
        <f>IFERROR( INDEX(PoleData[], MATCH('FEA Setup'!$B$2, PoleData[Profile '#], 0), MATCH( LEFT(O7, 1) &amp; " attach type", PoleData[#Headers], 0)), "")</f>
        <v/>
      </c>
      <c r="Z7" s="16" t="str">
        <f t="shared" si="3"/>
        <v/>
      </c>
      <c r="AA7" t="str">
        <f t="shared" si="4"/>
        <v/>
      </c>
      <c r="AB7" t="str">
        <f t="shared" si="5"/>
        <v/>
      </c>
      <c r="AC7" t="str">
        <f t="shared" si="6"/>
        <v/>
      </c>
      <c r="AD7" t="str">
        <f t="shared" si="7"/>
        <v/>
      </c>
      <c r="AE7" s="16" t="str">
        <f t="shared" si="8"/>
        <v/>
      </c>
      <c r="AF7" t="str">
        <f t="shared" si="9"/>
        <v/>
      </c>
      <c r="AG7" t="str">
        <f t="shared" si="10"/>
        <v/>
      </c>
      <c r="AH7" t="str">
        <f t="shared" si="11"/>
        <v/>
      </c>
      <c r="AI7" t="str">
        <f t="shared" si="12"/>
        <v/>
      </c>
      <c r="AJ7" s="16" t="str">
        <f t="shared" si="13"/>
        <v/>
      </c>
      <c r="AK7" t="str">
        <f t="shared" si="14"/>
        <v/>
      </c>
      <c r="AL7" t="str">
        <f t="shared" si="15"/>
        <v/>
      </c>
      <c r="AM7" t="str">
        <f t="shared" si="16"/>
        <v/>
      </c>
      <c r="AN7" t="str">
        <f t="shared" si="17"/>
        <v/>
      </c>
    </row>
    <row r="8" spans="1:40" x14ac:dyDescent="0.35">
      <c r="A8" s="12" t="s">
        <v>117</v>
      </c>
      <c r="B8" s="17">
        <f>36/PI()*25.4</f>
        <v>291.06255992645816</v>
      </c>
      <c r="F8" s="9" t="str">
        <f>_xlfn.XLOOKUP('FEA Setup'!$B8, PoleData[Profile '#], PoleData[Length], "")</f>
        <v/>
      </c>
      <c r="G8" s="9" t="str">
        <f>_xlfn.XLOOKUP('FEA Setup'!$B8, PoleData[Profile '#], PoleData[Class], "")</f>
        <v/>
      </c>
      <c r="H8" s="9"/>
      <c r="I8" s="9"/>
      <c r="J8" s="9">
        <f t="shared" si="18"/>
        <v>0</v>
      </c>
      <c r="K8" s="21"/>
      <c r="L8" s="17"/>
      <c r="M8" s="17"/>
      <c r="N8" s="17"/>
      <c r="O8" s="17"/>
      <c r="P8" s="16" t="str">
        <f>IFERROR( INDEX(PoleData[], MATCH('FEA Setup'!$B$2, PoleData[Profile '#], 0), MATCH('FEA Setup'!K8, PoleData[#Headers], 0)), "")</f>
        <v/>
      </c>
      <c r="Q8" t="str">
        <f>IFERROR( INDEX(PoleData[], MATCH('FEA Setup'!$B$2, PoleData[Profile '#], 0), MATCH('FEA Setup'!L8, PoleData[#Headers], 0)), "")</f>
        <v/>
      </c>
      <c r="R8" t="str">
        <f>IFERROR( INDEX(PoleData[], MATCH('FEA Setup'!$B$2, PoleData[Profile '#], 0), MATCH('FEA Setup'!M8, PoleData[#Headers], 0)), "")</f>
        <v/>
      </c>
      <c r="S8" t="str">
        <f>IFERROR( INDEX(PoleData[], MATCH('FEA Setup'!$B$2, PoleData[Profile '#], 0), MATCH('FEA Setup'!N8, PoleData[#Headers], 0)), "")</f>
        <v/>
      </c>
      <c r="T8" t="str">
        <f>IFERROR( INDEX(PoleData[], MATCH('FEA Setup'!$B$2, PoleData[Profile '#], 0), MATCH('FEA Setup'!O8, PoleData[#Headers], 0)), "")</f>
        <v/>
      </c>
      <c r="U8" s="16" t="str">
        <f>IFERROR( INDEX(PoleData[], MATCH('FEA Setup'!$B$2, PoleData[Profile '#], 0), MATCH( LEFT(K8, 1) &amp; " attach type", PoleData[#Headers], 0)), "")</f>
        <v/>
      </c>
      <c r="V8" t="str">
        <f>IFERROR( INDEX(PoleData[], MATCH('FEA Setup'!$B$2, PoleData[Profile '#], 0), MATCH( LEFT(L8, 1) &amp; " attach type", PoleData[#Headers], 0)), "")</f>
        <v/>
      </c>
      <c r="W8" t="str">
        <f>IFERROR( INDEX(PoleData[], MATCH('FEA Setup'!$B$2, PoleData[Profile '#], 0), MATCH( LEFT(M8, 1) &amp; " attach type", PoleData[#Headers], 0)), "")</f>
        <v/>
      </c>
      <c r="X8" t="str">
        <f>IFERROR( INDEX(PoleData[], MATCH('FEA Setup'!$B$2, PoleData[Profile '#], 0), MATCH( LEFT(N8, 1) &amp; " attach type", PoleData[#Headers], 0)), "")</f>
        <v/>
      </c>
      <c r="Y8" t="str">
        <f>IFERROR( INDEX(PoleData[], MATCH('FEA Setup'!$B$2, PoleData[Profile '#], 0), MATCH( LEFT(O8, 1) &amp; " attach type", PoleData[#Headers], 0)), "")</f>
        <v/>
      </c>
      <c r="Z8" s="16" t="str">
        <f t="shared" si="3"/>
        <v/>
      </c>
      <c r="AA8" t="str">
        <f t="shared" si="4"/>
        <v/>
      </c>
      <c r="AB8" t="str">
        <f t="shared" si="5"/>
        <v/>
      </c>
      <c r="AC8" t="str">
        <f t="shared" si="6"/>
        <v/>
      </c>
      <c r="AD8" t="str">
        <f t="shared" si="7"/>
        <v/>
      </c>
      <c r="AE8" s="16" t="str">
        <f t="shared" si="8"/>
        <v/>
      </c>
      <c r="AF8" t="str">
        <f t="shared" si="9"/>
        <v/>
      </c>
      <c r="AG8" t="str">
        <f t="shared" si="10"/>
        <v/>
      </c>
      <c r="AH8" t="str">
        <f t="shared" si="11"/>
        <v/>
      </c>
      <c r="AI8" t="str">
        <f t="shared" si="12"/>
        <v/>
      </c>
      <c r="AJ8" s="16" t="str">
        <f t="shared" si="13"/>
        <v/>
      </c>
      <c r="AK8" t="str">
        <f t="shared" si="14"/>
        <v/>
      </c>
      <c r="AL8" t="str">
        <f t="shared" si="15"/>
        <v/>
      </c>
      <c r="AM8" t="str">
        <f t="shared" si="16"/>
        <v/>
      </c>
      <c r="AN8" t="str">
        <f t="shared" si="17"/>
        <v/>
      </c>
    </row>
    <row r="9" spans="1:40" x14ac:dyDescent="0.35">
      <c r="A9" s="12" t="s">
        <v>116</v>
      </c>
      <c r="B9" s="17">
        <f>23/PI()*25.4</f>
        <v>185.95663550857051</v>
      </c>
      <c r="F9" s="9" t="str">
        <f>_xlfn.XLOOKUP('FEA Setup'!$B9, PoleData[Profile '#], PoleData[Length], "")</f>
        <v/>
      </c>
      <c r="G9" s="9" t="str">
        <f>_xlfn.XLOOKUP('FEA Setup'!$B9, PoleData[Profile '#], PoleData[Class], "")</f>
        <v/>
      </c>
      <c r="H9" s="9"/>
      <c r="I9" s="9"/>
      <c r="J9" s="9">
        <f t="shared" si="18"/>
        <v>0</v>
      </c>
      <c r="K9" s="21"/>
      <c r="L9" s="17"/>
      <c r="M9" s="17"/>
      <c r="N9" s="17"/>
      <c r="O9" s="17"/>
      <c r="P9" s="16" t="str">
        <f>IFERROR( INDEX(PoleData[], MATCH('FEA Setup'!$B$2, PoleData[Profile '#], 0), MATCH('FEA Setup'!K9, PoleData[#Headers], 0)), "")</f>
        <v/>
      </c>
      <c r="Q9" t="str">
        <f>IFERROR( INDEX(PoleData[], MATCH('FEA Setup'!$B$2, PoleData[Profile '#], 0), MATCH('FEA Setup'!L9, PoleData[#Headers], 0)), "")</f>
        <v/>
      </c>
      <c r="R9" t="str">
        <f>IFERROR( INDEX(PoleData[], MATCH('FEA Setup'!$B$2, PoleData[Profile '#], 0), MATCH('FEA Setup'!M9, PoleData[#Headers], 0)), "")</f>
        <v/>
      </c>
      <c r="S9" t="str">
        <f>IFERROR( INDEX(PoleData[], MATCH('FEA Setup'!$B$2, PoleData[Profile '#], 0), MATCH('FEA Setup'!N9, PoleData[#Headers], 0)), "")</f>
        <v/>
      </c>
      <c r="T9" t="str">
        <f>IFERROR( INDEX(PoleData[], MATCH('FEA Setup'!$B$2, PoleData[Profile '#], 0), MATCH('FEA Setup'!O9, PoleData[#Headers], 0)), "")</f>
        <v/>
      </c>
      <c r="U9" s="16" t="str">
        <f>IFERROR( INDEX(PoleData[], MATCH('FEA Setup'!$B$2, PoleData[Profile '#], 0), MATCH( LEFT(K9, 1) &amp; " attach type", PoleData[#Headers], 0)), "")</f>
        <v/>
      </c>
      <c r="V9" t="str">
        <f>IFERROR( INDEX(PoleData[], MATCH('FEA Setup'!$B$2, PoleData[Profile '#], 0), MATCH( LEFT(L9, 1) &amp; " attach type", PoleData[#Headers], 0)), "")</f>
        <v/>
      </c>
      <c r="W9" t="str">
        <f>IFERROR( INDEX(PoleData[], MATCH('FEA Setup'!$B$2, PoleData[Profile '#], 0), MATCH( LEFT(M9, 1) &amp; " attach type", PoleData[#Headers], 0)), "")</f>
        <v/>
      </c>
      <c r="X9" t="str">
        <f>IFERROR( INDEX(PoleData[], MATCH('FEA Setup'!$B$2, PoleData[Profile '#], 0), MATCH( LEFT(N9, 1) &amp; " attach type", PoleData[#Headers], 0)), "")</f>
        <v/>
      </c>
      <c r="Y9" t="str">
        <f>IFERROR( INDEX(PoleData[], MATCH('FEA Setup'!$B$2, PoleData[Profile '#], 0), MATCH( LEFT(O9, 1) &amp; " attach type", PoleData[#Headers], 0)), "")</f>
        <v/>
      </c>
      <c r="Z9" s="16" t="str">
        <f t="shared" si="3"/>
        <v/>
      </c>
      <c r="AA9" t="str">
        <f t="shared" si="4"/>
        <v/>
      </c>
      <c r="AB9" t="str">
        <f t="shared" si="5"/>
        <v/>
      </c>
      <c r="AC9" t="str">
        <f t="shared" si="6"/>
        <v/>
      </c>
      <c r="AD9" t="str">
        <f t="shared" si="7"/>
        <v/>
      </c>
      <c r="AE9" s="16" t="str">
        <f t="shared" si="8"/>
        <v/>
      </c>
      <c r="AF9" t="str">
        <f t="shared" si="9"/>
        <v/>
      </c>
      <c r="AG9" t="str">
        <f t="shared" si="10"/>
        <v/>
      </c>
      <c r="AH9" t="str">
        <f t="shared" si="11"/>
        <v/>
      </c>
      <c r="AI9" t="str">
        <f t="shared" si="12"/>
        <v/>
      </c>
      <c r="AJ9" s="16" t="str">
        <f t="shared" si="13"/>
        <v/>
      </c>
      <c r="AK9" t="str">
        <f t="shared" si="14"/>
        <v/>
      </c>
      <c r="AL9" t="str">
        <f t="shared" si="15"/>
        <v/>
      </c>
      <c r="AM9" t="str">
        <f t="shared" si="16"/>
        <v/>
      </c>
      <c r="AN9" t="str">
        <f t="shared" si="17"/>
        <v/>
      </c>
    </row>
    <row r="10" spans="1:40" x14ac:dyDescent="0.35">
      <c r="A10" s="12" t="s">
        <v>159</v>
      </c>
      <c r="B10">
        <f>PI()*B8^4/64</f>
        <v>352302136.95367068</v>
      </c>
      <c r="F10" s="9" t="str">
        <f>_xlfn.XLOOKUP('FEA Setup'!$B10, PoleData[Profile '#], PoleData[Length], "")</f>
        <v/>
      </c>
      <c r="G10" s="9" t="str">
        <f>_xlfn.XLOOKUP('FEA Setup'!$B10, PoleData[Profile '#], PoleData[Class], "")</f>
        <v/>
      </c>
      <c r="H10" s="9"/>
      <c r="I10" s="9"/>
      <c r="J10" s="9">
        <f t="shared" si="18"/>
        <v>0</v>
      </c>
      <c r="K10" s="21"/>
      <c r="L10" s="17"/>
      <c r="M10" s="17"/>
      <c r="N10" s="17"/>
      <c r="O10" s="17"/>
      <c r="P10" s="16" t="str">
        <f>IFERROR( INDEX(PoleData[], MATCH('FEA Setup'!$B$2, PoleData[Profile '#], 0), MATCH('FEA Setup'!K10, PoleData[#Headers], 0)), "")</f>
        <v/>
      </c>
      <c r="Q10" t="str">
        <f>IFERROR( INDEX(PoleData[], MATCH('FEA Setup'!$B$2, PoleData[Profile '#], 0), MATCH('FEA Setup'!L10, PoleData[#Headers], 0)), "")</f>
        <v/>
      </c>
      <c r="R10" t="str">
        <f>IFERROR( INDEX(PoleData[], MATCH('FEA Setup'!$B$2, PoleData[Profile '#], 0), MATCH('FEA Setup'!M10, PoleData[#Headers], 0)), "")</f>
        <v/>
      </c>
      <c r="S10" t="str">
        <f>IFERROR( INDEX(PoleData[], MATCH('FEA Setup'!$B$2, PoleData[Profile '#], 0), MATCH('FEA Setup'!N10, PoleData[#Headers], 0)), "")</f>
        <v/>
      </c>
      <c r="T10" t="str">
        <f>IFERROR( INDEX(PoleData[], MATCH('FEA Setup'!$B$2, PoleData[Profile '#], 0), MATCH('FEA Setup'!O10, PoleData[#Headers], 0)), "")</f>
        <v/>
      </c>
      <c r="U10" s="16" t="str">
        <f>IFERROR( INDEX(PoleData[], MATCH('FEA Setup'!$B$2, PoleData[Profile '#], 0), MATCH( LEFT(K10, 1) &amp; " attach type", PoleData[#Headers], 0)), "")</f>
        <v/>
      </c>
      <c r="V10" t="str">
        <f>IFERROR( INDEX(PoleData[], MATCH('FEA Setup'!$B$2, PoleData[Profile '#], 0), MATCH( LEFT(L10, 1) &amp; " attach type", PoleData[#Headers], 0)), "")</f>
        <v/>
      </c>
      <c r="W10" t="str">
        <f>IFERROR( INDEX(PoleData[], MATCH('FEA Setup'!$B$2, PoleData[Profile '#], 0), MATCH( LEFT(M10, 1) &amp; " attach type", PoleData[#Headers], 0)), "")</f>
        <v/>
      </c>
      <c r="X10" t="str">
        <f>IFERROR( INDEX(PoleData[], MATCH('FEA Setup'!$B$2, PoleData[Profile '#], 0), MATCH( LEFT(N10, 1) &amp; " attach type", PoleData[#Headers], 0)), "")</f>
        <v/>
      </c>
      <c r="Y10" t="str">
        <f>IFERROR( INDEX(PoleData[], MATCH('FEA Setup'!$B$2, PoleData[Profile '#], 0), MATCH( LEFT(O10, 1) &amp; " attach type", PoleData[#Headers], 0)), "")</f>
        <v/>
      </c>
      <c r="Z10" s="16" t="str">
        <f t="shared" si="3"/>
        <v/>
      </c>
      <c r="AA10" t="str">
        <f t="shared" si="4"/>
        <v/>
      </c>
      <c r="AB10" t="str">
        <f t="shared" si="5"/>
        <v/>
      </c>
      <c r="AC10" t="str">
        <f t="shared" si="6"/>
        <v/>
      </c>
      <c r="AD10" t="str">
        <f t="shared" si="7"/>
        <v/>
      </c>
      <c r="AE10" s="16" t="str">
        <f t="shared" si="8"/>
        <v/>
      </c>
      <c r="AF10" t="str">
        <f t="shared" si="9"/>
        <v/>
      </c>
      <c r="AG10" t="str">
        <f t="shared" si="10"/>
        <v/>
      </c>
      <c r="AH10" t="str">
        <f t="shared" si="11"/>
        <v/>
      </c>
      <c r="AI10" t="str">
        <f t="shared" si="12"/>
        <v/>
      </c>
      <c r="AJ10" s="16" t="str">
        <f t="shared" si="13"/>
        <v/>
      </c>
      <c r="AK10" t="str">
        <f t="shared" si="14"/>
        <v/>
      </c>
      <c r="AL10" t="str">
        <f t="shared" si="15"/>
        <v/>
      </c>
      <c r="AM10" t="str">
        <f t="shared" si="16"/>
        <v/>
      </c>
      <c r="AN10" t="str">
        <f t="shared" si="17"/>
        <v/>
      </c>
    </row>
    <row r="11" spans="1:40" x14ac:dyDescent="0.35">
      <c r="A11" s="12" t="s">
        <v>158</v>
      </c>
      <c r="B11">
        <f>PI()*B9^4/64</f>
        <v>58697096.423975617</v>
      </c>
      <c r="J11" s="9">
        <f t="shared" si="18"/>
        <v>0</v>
      </c>
      <c r="K11" s="21"/>
      <c r="L11" s="17"/>
      <c r="M11" s="17"/>
      <c r="N11" s="17"/>
      <c r="O11" s="17"/>
      <c r="P11" s="16" t="str">
        <f>IFERROR( INDEX(PoleData[], MATCH('FEA Setup'!$B$2, PoleData[Profile '#], 0), MATCH('FEA Setup'!K11, PoleData[#Headers], 0)), "")</f>
        <v/>
      </c>
      <c r="Q11" t="str">
        <f>IFERROR( INDEX(PoleData[], MATCH('FEA Setup'!$B$2, PoleData[Profile '#], 0), MATCH('FEA Setup'!L11, PoleData[#Headers], 0)), "")</f>
        <v/>
      </c>
      <c r="R11" t="str">
        <f>IFERROR( INDEX(PoleData[], MATCH('FEA Setup'!$B$2, PoleData[Profile '#], 0), MATCH('FEA Setup'!M11, PoleData[#Headers], 0)), "")</f>
        <v/>
      </c>
      <c r="S11" t="str">
        <f>IFERROR( INDEX(PoleData[], MATCH('FEA Setup'!$B$2, PoleData[Profile '#], 0), MATCH('FEA Setup'!N11, PoleData[#Headers], 0)), "")</f>
        <v/>
      </c>
      <c r="T11" t="str">
        <f>IFERROR( INDEX(PoleData[], MATCH('FEA Setup'!$B$2, PoleData[Profile '#], 0), MATCH('FEA Setup'!O11, PoleData[#Headers], 0)), "")</f>
        <v/>
      </c>
      <c r="U11" s="16" t="str">
        <f>IFERROR( INDEX(PoleData[], MATCH('FEA Setup'!$B$2, PoleData[Profile '#], 0), MATCH( LEFT(K11, 1) &amp; " attach type", PoleData[#Headers], 0)), "")</f>
        <v/>
      </c>
      <c r="V11" t="str">
        <f>IFERROR( INDEX(PoleData[], MATCH('FEA Setup'!$B$2, PoleData[Profile '#], 0), MATCH( LEFT(L11, 1) &amp; " attach type", PoleData[#Headers], 0)), "")</f>
        <v/>
      </c>
      <c r="W11" t="str">
        <f>IFERROR( INDEX(PoleData[], MATCH('FEA Setup'!$B$2, PoleData[Profile '#], 0), MATCH( LEFT(M11, 1) &amp; " attach type", PoleData[#Headers], 0)), "")</f>
        <v/>
      </c>
      <c r="X11" t="str">
        <f>IFERROR( INDEX(PoleData[], MATCH('FEA Setup'!$B$2, PoleData[Profile '#], 0), MATCH( LEFT(N11, 1) &amp; " attach type", PoleData[#Headers], 0)), "")</f>
        <v/>
      </c>
      <c r="Y11" t="str">
        <f>IFERROR( INDEX(PoleData[], MATCH('FEA Setup'!$B$2, PoleData[Profile '#], 0), MATCH( LEFT(O11, 1) &amp; " attach type", PoleData[#Headers], 0)), "")</f>
        <v/>
      </c>
      <c r="Z11" s="16" t="str">
        <f t="shared" si="3"/>
        <v/>
      </c>
      <c r="AA11" t="str">
        <f t="shared" si="4"/>
        <v/>
      </c>
      <c r="AB11" t="str">
        <f t="shared" si="5"/>
        <v/>
      </c>
      <c r="AC11" t="str">
        <f t="shared" si="6"/>
        <v/>
      </c>
      <c r="AD11" t="str">
        <f t="shared" si="7"/>
        <v/>
      </c>
      <c r="AE11" s="16" t="str">
        <f t="shared" si="8"/>
        <v/>
      </c>
      <c r="AF11" t="str">
        <f t="shared" si="9"/>
        <v/>
      </c>
      <c r="AG11" t="str">
        <f t="shared" si="10"/>
        <v/>
      </c>
      <c r="AH11" t="str">
        <f t="shared" si="11"/>
        <v/>
      </c>
      <c r="AI11" t="str">
        <f t="shared" si="12"/>
        <v/>
      </c>
      <c r="AJ11" s="16" t="str">
        <f t="shared" si="13"/>
        <v/>
      </c>
      <c r="AK11" t="str">
        <f t="shared" si="14"/>
        <v/>
      </c>
      <c r="AL11" t="str">
        <f t="shared" si="15"/>
        <v/>
      </c>
      <c r="AM11" t="str">
        <f t="shared" si="16"/>
        <v/>
      </c>
      <c r="AN11" t="str">
        <f t="shared" si="17"/>
        <v/>
      </c>
    </row>
    <row r="12" spans="1:40" x14ac:dyDescent="0.35">
      <c r="A12" s="12" t="s">
        <v>115</v>
      </c>
      <c r="B12" s="17">
        <v>11000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4F3C4-C6CB-45F4-AF18-21B99CEA94BD}">
  <sheetPr codeName="Sheet3"/>
  <dimension ref="A1:T252"/>
  <sheetViews>
    <sheetView zoomScaleNormal="100" workbookViewId="0">
      <pane ySplit="7" topLeftCell="A8" activePane="bottomLeft" state="frozen"/>
      <selection pane="bottomLeft" activeCell="J16" sqref="J16"/>
    </sheetView>
  </sheetViews>
  <sheetFormatPr defaultRowHeight="14.5" x14ac:dyDescent="0.35"/>
  <cols>
    <col min="1" max="1" width="13" style="9" bestFit="1" customWidth="1"/>
    <col min="2" max="3" width="13.6328125" style="9" customWidth="1"/>
    <col min="4" max="4" width="11.453125" style="9" bestFit="1" customWidth="1"/>
    <col min="5" max="5" width="11.453125" style="9" customWidth="1"/>
    <col min="6" max="6" width="18" style="9" bestFit="1" customWidth="1"/>
    <col min="7" max="7" width="10.36328125" style="9" customWidth="1"/>
    <col min="8" max="8" width="13.7265625" style="9" customWidth="1"/>
    <col min="9" max="9" width="10.7265625" style="9" customWidth="1"/>
    <col min="10" max="10" width="10.1796875" style="9" customWidth="1"/>
    <col min="11" max="11" width="10.90625" style="9" customWidth="1"/>
    <col min="12" max="12" width="23.453125" style="9" customWidth="1"/>
    <col min="13" max="13" width="16.81640625" style="9" customWidth="1"/>
    <col min="14" max="15" width="8.7265625" style="9"/>
    <col min="16" max="16" width="11.36328125" style="9" bestFit="1" customWidth="1"/>
    <col min="17" max="17" width="8.7265625" style="9"/>
    <col min="18" max="18" width="15.36328125" style="9" customWidth="1"/>
    <col min="19" max="19" width="12.08984375" style="9" customWidth="1"/>
    <col min="20" max="20" width="13" style="9" customWidth="1"/>
    <col min="21" max="16384" width="8.7265625" style="9"/>
  </cols>
  <sheetData>
    <row r="1" spans="1:20" x14ac:dyDescent="0.35">
      <c r="L1" s="11" t="s">
        <v>173</v>
      </c>
      <c r="M1" s="10">
        <f>0.01*F251</f>
        <v>2.0309016690589489E-11</v>
      </c>
      <c r="O1" s="9" t="s">
        <v>156</v>
      </c>
      <c r="P1" s="15">
        <v>50</v>
      </c>
      <c r="Q1" s="9" t="s">
        <v>107</v>
      </c>
      <c r="R1" s="9" t="s">
        <v>159</v>
      </c>
      <c r="S1" s="9">
        <f>'FEA Setup'!B10</f>
        <v>352302136.95367068</v>
      </c>
      <c r="T1" s="9" t="s">
        <v>108</v>
      </c>
    </row>
    <row r="2" spans="1:20" x14ac:dyDescent="0.35">
      <c r="L2" s="11" t="s">
        <v>174</v>
      </c>
      <c r="M2" s="12">
        <f>0.01*G251</f>
        <v>1.3972567103337496E-10</v>
      </c>
      <c r="O2" s="9" t="s">
        <v>109</v>
      </c>
      <c r="P2" s="9">
        <f>'FEA Setup'!B6*305</f>
        <v>12200</v>
      </c>
      <c r="Q2" s="9" t="s">
        <v>107</v>
      </c>
      <c r="R2" s="9" t="s">
        <v>158</v>
      </c>
      <c r="S2" s="9">
        <f>'FEA Setup'!B11</f>
        <v>58697096.423975617</v>
      </c>
      <c r="T2" s="9" t="s">
        <v>108</v>
      </c>
    </row>
    <row r="3" spans="1:20" x14ac:dyDescent="0.35">
      <c r="L3" s="11" t="s">
        <v>175</v>
      </c>
      <c r="M3" s="12">
        <f>ABS(H251+J251)+ABS(M1)</f>
        <v>79.277642845804351</v>
      </c>
      <c r="O3" s="9" t="s">
        <v>157</v>
      </c>
      <c r="P3" s="9">
        <f>ROUND(P2/P1, 0)</f>
        <v>244</v>
      </c>
      <c r="R3" s="9" t="s">
        <v>155</v>
      </c>
      <c r="S3" s="9">
        <f>(S1-S2)/(P3-1830/P1)</f>
        <v>1415646.2899213838</v>
      </c>
      <c r="T3" s="9" t="s">
        <v>160</v>
      </c>
    </row>
    <row r="4" spans="1:20" x14ac:dyDescent="0.35">
      <c r="L4" s="11" t="s">
        <v>176</v>
      </c>
      <c r="M4" s="12">
        <f>ABS(I251+K251)+ABS(M2)</f>
        <v>63.229554346949847</v>
      </c>
      <c r="N4" s="11"/>
      <c r="R4" s="9" t="s">
        <v>110</v>
      </c>
      <c r="S4" s="9">
        <f>'FEA Setup'!B12</f>
        <v>11000</v>
      </c>
      <c r="T4" s="9" t="s">
        <v>111</v>
      </c>
    </row>
    <row r="5" spans="1:20" x14ac:dyDescent="0.35">
      <c r="L5" s="11" t="s">
        <v>172</v>
      </c>
      <c r="M5" s="9">
        <f>SUM(J8:J251)+H8</f>
        <v>-79.277642845784044</v>
      </c>
      <c r="N5" s="11"/>
    </row>
    <row r="6" spans="1:20" x14ac:dyDescent="0.35">
      <c r="L6" s="13" t="s">
        <v>177</v>
      </c>
      <c r="M6" s="14">
        <f>SUM(K8:K251)+I8</f>
        <v>63.229554346810119</v>
      </c>
      <c r="N6" s="11"/>
    </row>
    <row r="7" spans="1:20" ht="44" customHeight="1" x14ac:dyDescent="0.35">
      <c r="A7" s="9" t="s">
        <v>112</v>
      </c>
      <c r="B7" s="9" t="s">
        <v>170</v>
      </c>
      <c r="C7" s="9" t="s">
        <v>171</v>
      </c>
      <c r="D7" s="9" t="s">
        <v>169</v>
      </c>
      <c r="E7" s="9" t="s">
        <v>168</v>
      </c>
      <c r="F7" s="9" t="s">
        <v>165</v>
      </c>
      <c r="G7" s="9" t="s">
        <v>164</v>
      </c>
      <c r="H7" s="9" t="s">
        <v>166</v>
      </c>
      <c r="I7" s="9" t="s">
        <v>167</v>
      </c>
      <c r="J7" s="9" t="s">
        <v>162</v>
      </c>
      <c r="K7" s="9" t="s">
        <v>163</v>
      </c>
      <c r="L7" s="9" t="s">
        <v>161</v>
      </c>
    </row>
    <row r="8" spans="1:20" x14ac:dyDescent="0.35">
      <c r="A8" s="9" cm="1">
        <f t="array" ref="A8:A251">_xlfn.SEQUENCE(P3, 1, 0, P1)</f>
        <v>0</v>
      </c>
      <c r="B8" s="9">
        <v>0</v>
      </c>
      <c r="C8" s="9">
        <v>0</v>
      </c>
      <c r="D8" s="9">
        <v>0</v>
      </c>
      <c r="E8" s="9">
        <v>0</v>
      </c>
      <c r="F8" s="15">
        <v>5334882.0037804376</v>
      </c>
      <c r="G8" s="15">
        <v>-3474109.5942368717</v>
      </c>
      <c r="H8" s="15">
        <v>790.62641300459075</v>
      </c>
      <c r="I8" s="15">
        <v>-522.73020802206042</v>
      </c>
      <c r="J8" s="15"/>
      <c r="K8" s="15"/>
      <c r="L8" s="9">
        <f>IF($A8&lt;1830, $S$1, L7-$S$3)</f>
        <v>352302136.95367068</v>
      </c>
    </row>
    <row r="9" spans="1:20" x14ac:dyDescent="0.35">
      <c r="A9" s="9">
        <v>50</v>
      </c>
      <c r="B9" s="9">
        <f>B8+D9*$P$1</f>
        <v>3.4160700869627883E-3</v>
      </c>
      <c r="C9" s="9">
        <f>C8+E9*$P$1</f>
        <v>-2.2243130657744544E-3</v>
      </c>
      <c r="D9" s="9">
        <f>D8+F9/$L9/$S$4*$P$1</f>
        <v>6.8321401739255766E-5</v>
      </c>
      <c r="E9" s="9">
        <f>E8+G9/$L9/$S$4*$P$1</f>
        <v>-4.4486261315489091E-5</v>
      </c>
      <c r="F9" s="9">
        <f>F8-H9*$P$1</f>
        <v>5295350.6831302084</v>
      </c>
      <c r="G9" s="9">
        <f>G8-I9*$P$1</f>
        <v>-3447973.0838357685</v>
      </c>
      <c r="H9" s="9">
        <f>H8+J9</f>
        <v>790.62641300459075</v>
      </c>
      <c r="I9" s="9">
        <f>I8+K9</f>
        <v>-522.73020802206042</v>
      </c>
      <c r="J9" s="15"/>
      <c r="K9" s="15"/>
      <c r="L9" s="9">
        <f t="shared" ref="L9" si="0">IF($A9&lt;1830, $S$1, L8-$S$3)</f>
        <v>352302136.95367068</v>
      </c>
    </row>
    <row r="10" spans="1:20" x14ac:dyDescent="0.35">
      <c r="A10" s="9">
        <v>100</v>
      </c>
      <c r="B10" s="9">
        <f t="shared" ref="B10:B73" si="1">B9+D10*$P$1</f>
        <v>1.0222708312093624E-2</v>
      </c>
      <c r="C10" s="9">
        <f t="shared" ref="C10:C73" si="2">C9+E10*$P$1</f>
        <v>-6.6560783401863211E-3</v>
      </c>
      <c r="D10" s="9">
        <f t="shared" ref="D10:D73" si="3">D9+F10/$L10/$S$4*$P$1</f>
        <v>1.3613276450261672E-4</v>
      </c>
      <c r="E10" s="9">
        <f t="shared" ref="E10:E73" si="4">E9+G10/$L10/$S$4*$P$1</f>
        <v>-8.8635305488237321E-5</v>
      </c>
      <c r="F10" s="9">
        <f t="shared" ref="F10:F73" si="5">F9-H10*$P$1</f>
        <v>5255819.3624799792</v>
      </c>
      <c r="G10" s="9">
        <f t="shared" ref="G10:G73" si="6">G9-I10*$P$1</f>
        <v>-3421836.5734346653</v>
      </c>
      <c r="H10" s="9">
        <f t="shared" ref="H10:H73" si="7">H9+J10</f>
        <v>790.62641300459075</v>
      </c>
      <c r="I10" s="9">
        <f t="shared" ref="I10:I73" si="8">I9+K10</f>
        <v>-522.73020802206042</v>
      </c>
      <c r="J10" s="15"/>
      <c r="K10" s="15"/>
      <c r="L10" s="9">
        <f t="shared" ref="L10:L73" si="9">IF($A10&lt;1830, $S$1, L9-$S$3)</f>
        <v>352302136.95367068</v>
      </c>
    </row>
    <row r="11" spans="1:20" x14ac:dyDescent="0.35">
      <c r="A11" s="9">
        <v>150</v>
      </c>
      <c r="B11" s="9">
        <f t="shared" si="1"/>
        <v>2.0394412726597769E-2</v>
      </c>
      <c r="C11" s="9">
        <f t="shared" si="2"/>
        <v>-1.3278434966098556E-2</v>
      </c>
      <c r="D11" s="9">
        <f t="shared" si="3"/>
        <v>2.0343408829008288E-4</v>
      </c>
      <c r="E11" s="9">
        <f t="shared" si="4"/>
        <v>-1.324471325182447E-4</v>
      </c>
      <c r="F11" s="9">
        <f t="shared" si="5"/>
        <v>5216288.0418297499</v>
      </c>
      <c r="G11" s="9">
        <f t="shared" si="6"/>
        <v>-3395700.0630335622</v>
      </c>
      <c r="H11" s="9">
        <f t="shared" si="7"/>
        <v>790.62641300459075</v>
      </c>
      <c r="I11" s="9">
        <f t="shared" si="8"/>
        <v>-522.73020802206042</v>
      </c>
      <c r="J11" s="15"/>
      <c r="K11" s="15"/>
      <c r="L11" s="9">
        <f t="shared" si="9"/>
        <v>352302136.95367068</v>
      </c>
    </row>
    <row r="12" spans="1:20" x14ac:dyDescent="0.35">
      <c r="A12" s="9">
        <v>200</v>
      </c>
      <c r="B12" s="9">
        <f t="shared" si="1"/>
        <v>3.3905681381680479E-2</v>
      </c>
      <c r="C12" s="9">
        <f t="shared" si="2"/>
        <v>-2.2074522086374115E-2</v>
      </c>
      <c r="D12" s="9">
        <f t="shared" si="3"/>
        <v>2.702253731016542E-4</v>
      </c>
      <c r="E12" s="9">
        <f t="shared" si="4"/>
        <v>-1.7592174240551122E-4</v>
      </c>
      <c r="F12" s="9">
        <f t="shared" si="5"/>
        <v>5176756.7211795207</v>
      </c>
      <c r="G12" s="9">
        <f t="shared" si="6"/>
        <v>-3369563.552632459</v>
      </c>
      <c r="H12" s="9">
        <f t="shared" si="7"/>
        <v>790.62641300459075</v>
      </c>
      <c r="I12" s="9">
        <f t="shared" si="8"/>
        <v>-522.73020802206042</v>
      </c>
      <c r="J12" s="15"/>
      <c r="K12" s="15"/>
      <c r="L12" s="9">
        <f t="shared" si="9"/>
        <v>352302136.95367068</v>
      </c>
      <c r="N12" s="9" t="s">
        <v>113</v>
      </c>
    </row>
    <row r="13" spans="1:20" x14ac:dyDescent="0.35">
      <c r="A13" s="9">
        <v>250</v>
      </c>
      <c r="B13" s="9">
        <f t="shared" si="1"/>
        <v>5.0731012328547015E-2</v>
      </c>
      <c r="C13" s="9">
        <f t="shared" si="2"/>
        <v>-3.3027478843875961E-2</v>
      </c>
      <c r="D13" s="9">
        <f t="shared" si="3"/>
        <v>3.3650661893733067E-4</v>
      </c>
      <c r="E13" s="9">
        <f t="shared" si="4"/>
        <v>-2.190591351500369E-4</v>
      </c>
      <c r="F13" s="9">
        <f t="shared" si="5"/>
        <v>5137225.4005292915</v>
      </c>
      <c r="G13" s="9">
        <f t="shared" si="6"/>
        <v>-3343427.0422313558</v>
      </c>
      <c r="H13" s="9">
        <f t="shared" si="7"/>
        <v>790.62641300459075</v>
      </c>
      <c r="I13" s="9">
        <f t="shared" si="8"/>
        <v>-522.73020802206042</v>
      </c>
      <c r="J13" s="15"/>
      <c r="K13" s="15"/>
      <c r="L13" s="9">
        <f t="shared" si="9"/>
        <v>352302136.95367068</v>
      </c>
    </row>
    <row r="14" spans="1:20" x14ac:dyDescent="0.35">
      <c r="A14" s="9">
        <v>300</v>
      </c>
      <c r="B14" s="9">
        <f t="shared" si="1"/>
        <v>7.0844903618402635E-2</v>
      </c>
      <c r="C14" s="9">
        <f t="shared" si="2"/>
        <v>-4.6120444381467049E-2</v>
      </c>
      <c r="D14" s="9">
        <f t="shared" si="3"/>
        <v>4.0227782579711237E-4</v>
      </c>
      <c r="E14" s="9">
        <f t="shared" si="4"/>
        <v>-2.6185931075182171E-4</v>
      </c>
      <c r="F14" s="9">
        <f t="shared" si="5"/>
        <v>5097694.0798790623</v>
      </c>
      <c r="G14" s="9">
        <f t="shared" si="6"/>
        <v>-3317290.5318302526</v>
      </c>
      <c r="H14" s="9">
        <f t="shared" si="7"/>
        <v>790.62641300459075</v>
      </c>
      <c r="I14" s="9">
        <f t="shared" si="8"/>
        <v>-522.73020802206042</v>
      </c>
      <c r="J14" s="15"/>
      <c r="K14" s="15"/>
      <c r="L14" s="9">
        <f t="shared" si="9"/>
        <v>352302136.95367068</v>
      </c>
    </row>
    <row r="15" spans="1:20" x14ac:dyDescent="0.35">
      <c r="A15" s="9">
        <v>350</v>
      </c>
      <c r="B15" s="9">
        <f t="shared" si="1"/>
        <v>9.4221853302452599E-2</v>
      </c>
      <c r="C15" s="9">
        <f t="shared" si="2"/>
        <v>-6.1336557842010336E-2</v>
      </c>
      <c r="D15" s="9">
        <f t="shared" si="3"/>
        <v>4.6753899368099923E-4</v>
      </c>
      <c r="E15" s="9">
        <f t="shared" si="4"/>
        <v>-3.0432226921086567E-4</v>
      </c>
      <c r="F15" s="9">
        <f t="shared" si="5"/>
        <v>5058162.759228833</v>
      </c>
      <c r="G15" s="9">
        <f t="shared" si="6"/>
        <v>-3291154.0214291494</v>
      </c>
      <c r="H15" s="9">
        <f t="shared" si="7"/>
        <v>790.62641300459075</v>
      </c>
      <c r="I15" s="9">
        <f t="shared" si="8"/>
        <v>-522.73020802206042</v>
      </c>
      <c r="J15" s="15"/>
      <c r="K15" s="15"/>
      <c r="L15" s="9">
        <f t="shared" si="9"/>
        <v>352302136.95367068</v>
      </c>
    </row>
    <row r="16" spans="1:20" x14ac:dyDescent="0.35">
      <c r="A16" s="9">
        <v>400</v>
      </c>
      <c r="B16" s="9">
        <f t="shared" si="1"/>
        <v>0.12083635943190216</v>
      </c>
      <c r="C16" s="9">
        <f t="shared" si="2"/>
        <v>-7.8658958368368781E-2</v>
      </c>
      <c r="D16" s="9">
        <f t="shared" si="3"/>
        <v>5.322901225889913E-4</v>
      </c>
      <c r="E16" s="9">
        <f t="shared" si="4"/>
        <v>-3.4644801052716878E-4</v>
      </c>
      <c r="F16" s="9">
        <f t="shared" si="5"/>
        <v>5018631.4385786038</v>
      </c>
      <c r="G16" s="9">
        <f t="shared" si="6"/>
        <v>-3265017.5110280463</v>
      </c>
      <c r="H16" s="9">
        <f t="shared" si="7"/>
        <v>790.62641300459075</v>
      </c>
      <c r="I16" s="9">
        <f t="shared" si="8"/>
        <v>-522.73020802206042</v>
      </c>
      <c r="J16" s="15"/>
      <c r="K16" s="15"/>
      <c r="L16" s="9">
        <f t="shared" si="9"/>
        <v>352302136.95367068</v>
      </c>
    </row>
    <row r="17" spans="1:12" x14ac:dyDescent="0.35">
      <c r="A17" s="9">
        <v>450</v>
      </c>
      <c r="B17" s="9">
        <f t="shared" si="1"/>
        <v>0.15066292005795659</v>
      </c>
      <c r="C17" s="9">
        <f t="shared" si="2"/>
        <v>-9.8070785103405334E-2</v>
      </c>
      <c r="D17" s="9">
        <f t="shared" si="3"/>
        <v>5.9653121252108859E-4</v>
      </c>
      <c r="E17" s="9">
        <f t="shared" si="4"/>
        <v>-3.8823653470073104E-4</v>
      </c>
      <c r="F17" s="9">
        <f t="shared" si="5"/>
        <v>4979100.1179283746</v>
      </c>
      <c r="G17" s="9">
        <f t="shared" si="6"/>
        <v>-3238881.0006269431</v>
      </c>
      <c r="H17" s="9">
        <f t="shared" si="7"/>
        <v>790.62641300459075</v>
      </c>
      <c r="I17" s="9">
        <f t="shared" si="8"/>
        <v>-522.73020802206042</v>
      </c>
      <c r="J17" s="15"/>
      <c r="K17" s="15"/>
      <c r="L17" s="9">
        <f t="shared" si="9"/>
        <v>352302136.95367068</v>
      </c>
    </row>
    <row r="18" spans="1:12" x14ac:dyDescent="0.35">
      <c r="A18" s="9">
        <v>500</v>
      </c>
      <c r="B18" s="9">
        <f t="shared" si="1"/>
        <v>0.18367603323182113</v>
      </c>
      <c r="C18" s="9">
        <f t="shared" si="2"/>
        <v>-0.11955517718998296</v>
      </c>
      <c r="D18" s="9">
        <f t="shared" si="3"/>
        <v>6.6026226347729098E-4</v>
      </c>
      <c r="E18" s="9">
        <f t="shared" si="4"/>
        <v>-4.296878417315524E-4</v>
      </c>
      <c r="F18" s="9">
        <f t="shared" si="5"/>
        <v>4939568.7972781453</v>
      </c>
      <c r="G18" s="9">
        <f t="shared" si="6"/>
        <v>-3212744.4902258399</v>
      </c>
      <c r="H18" s="9">
        <f t="shared" si="7"/>
        <v>790.62641300459075</v>
      </c>
      <c r="I18" s="9">
        <f t="shared" si="8"/>
        <v>-522.73020802206042</v>
      </c>
      <c r="J18" s="15"/>
      <c r="K18" s="15"/>
      <c r="L18" s="9">
        <f t="shared" si="9"/>
        <v>352302136.95367068</v>
      </c>
    </row>
    <row r="19" spans="1:12" x14ac:dyDescent="0.35">
      <c r="A19" s="9">
        <v>550</v>
      </c>
      <c r="B19" s="9">
        <f t="shared" si="1"/>
        <v>0.21985019700470107</v>
      </c>
      <c r="C19" s="9">
        <f t="shared" si="2"/>
        <v>-0.14309527377096459</v>
      </c>
      <c r="D19" s="9">
        <f t="shared" si="3"/>
        <v>7.234832754575986E-4</v>
      </c>
      <c r="E19" s="9">
        <f t="shared" si="4"/>
        <v>-4.7080193161963291E-4</v>
      </c>
      <c r="F19" s="9">
        <f t="shared" si="5"/>
        <v>4900037.4766279161</v>
      </c>
      <c r="G19" s="9">
        <f t="shared" si="6"/>
        <v>-3186607.9798247367</v>
      </c>
      <c r="H19" s="9">
        <f t="shared" si="7"/>
        <v>790.62641300459075</v>
      </c>
      <c r="I19" s="9">
        <f t="shared" si="8"/>
        <v>-522.73020802206042</v>
      </c>
      <c r="J19" s="15"/>
      <c r="K19" s="15"/>
      <c r="L19" s="9">
        <f t="shared" si="9"/>
        <v>352302136.95367068</v>
      </c>
    </row>
    <row r="20" spans="1:12" x14ac:dyDescent="0.35">
      <c r="A20" s="9">
        <v>600</v>
      </c>
      <c r="B20" s="9">
        <f t="shared" si="1"/>
        <v>0.25915990942780165</v>
      </c>
      <c r="C20" s="9">
        <f t="shared" si="2"/>
        <v>-0.16867421398921323</v>
      </c>
      <c r="D20" s="9">
        <f t="shared" si="3"/>
        <v>7.8619424846201142E-4</v>
      </c>
      <c r="E20" s="9">
        <f t="shared" si="4"/>
        <v>-5.1157880436497258E-4</v>
      </c>
      <c r="F20" s="9">
        <f t="shared" si="5"/>
        <v>4860506.1559776869</v>
      </c>
      <c r="G20" s="9">
        <f t="shared" si="6"/>
        <v>-3160471.4694236335</v>
      </c>
      <c r="H20" s="9">
        <f t="shared" si="7"/>
        <v>790.62641300459075</v>
      </c>
      <c r="I20" s="9">
        <f t="shared" si="8"/>
        <v>-522.73020802206042</v>
      </c>
      <c r="J20" s="15"/>
      <c r="K20" s="15"/>
      <c r="L20" s="9">
        <f t="shared" si="9"/>
        <v>352302136.95367068</v>
      </c>
    </row>
    <row r="21" spans="1:12" x14ac:dyDescent="0.35">
      <c r="A21" s="9">
        <v>650</v>
      </c>
      <c r="B21" s="9">
        <f t="shared" si="1"/>
        <v>0.3015796685523281</v>
      </c>
      <c r="C21" s="9">
        <f t="shared" si="2"/>
        <v>-0.1962751369875918</v>
      </c>
      <c r="D21" s="9">
        <f t="shared" si="3"/>
        <v>8.4839518249052936E-4</v>
      </c>
      <c r="E21" s="9">
        <f t="shared" si="4"/>
        <v>-5.5201845996757145E-4</v>
      </c>
      <c r="F21" s="9">
        <f t="shared" si="5"/>
        <v>4820974.8353274576</v>
      </c>
      <c r="G21" s="9">
        <f t="shared" si="6"/>
        <v>-3134334.9590225304</v>
      </c>
      <c r="H21" s="9">
        <f t="shared" si="7"/>
        <v>790.62641300459075</v>
      </c>
      <c r="I21" s="9">
        <f t="shared" si="8"/>
        <v>-522.73020802206042</v>
      </c>
      <c r="J21" s="15"/>
      <c r="K21" s="15"/>
      <c r="L21" s="9">
        <f t="shared" si="9"/>
        <v>352302136.95367068</v>
      </c>
    </row>
    <row r="22" spans="1:12" x14ac:dyDescent="0.35">
      <c r="A22" s="9">
        <v>700</v>
      </c>
      <c r="B22" s="9">
        <f t="shared" si="1"/>
        <v>0.34708397242948574</v>
      </c>
      <c r="C22" s="9">
        <f t="shared" si="2"/>
        <v>-0.22588118190896328</v>
      </c>
      <c r="D22" s="9">
        <f t="shared" si="3"/>
        <v>9.1008607754315251E-4</v>
      </c>
      <c r="E22" s="9">
        <f t="shared" si="4"/>
        <v>-5.9212089842742947E-4</v>
      </c>
      <c r="F22" s="9">
        <f t="shared" si="5"/>
        <v>4781443.5146772284</v>
      </c>
      <c r="G22" s="9">
        <f t="shared" si="6"/>
        <v>-3108198.4486214272</v>
      </c>
      <c r="H22" s="9">
        <f t="shared" si="7"/>
        <v>790.62641300459075</v>
      </c>
      <c r="I22" s="9">
        <f t="shared" si="8"/>
        <v>-522.73020802206042</v>
      </c>
      <c r="J22" s="15"/>
      <c r="K22" s="15"/>
      <c r="L22" s="9">
        <f t="shared" si="9"/>
        <v>352302136.95367068</v>
      </c>
    </row>
    <row r="23" spans="1:12" x14ac:dyDescent="0.35">
      <c r="A23" s="9">
        <v>750</v>
      </c>
      <c r="B23" s="9">
        <f t="shared" si="1"/>
        <v>0.39564731911047979</v>
      </c>
      <c r="C23" s="9">
        <f t="shared" si="2"/>
        <v>-0.25747548789619062</v>
      </c>
      <c r="D23" s="9">
        <f t="shared" si="3"/>
        <v>9.7126693361988088E-4</v>
      </c>
      <c r="E23" s="9">
        <f t="shared" si="4"/>
        <v>-6.3188611974454654E-4</v>
      </c>
      <c r="F23" s="9">
        <f t="shared" si="5"/>
        <v>4741912.1940269992</v>
      </c>
      <c r="G23" s="9">
        <f t="shared" si="6"/>
        <v>-3082061.938220324</v>
      </c>
      <c r="H23" s="9">
        <f t="shared" si="7"/>
        <v>790.62641300459075</v>
      </c>
      <c r="I23" s="9">
        <f t="shared" si="8"/>
        <v>-522.73020802206042</v>
      </c>
      <c r="J23" s="15"/>
      <c r="K23" s="15"/>
      <c r="L23" s="9">
        <f t="shared" si="9"/>
        <v>352302136.95367068</v>
      </c>
    </row>
    <row r="24" spans="1:12" x14ac:dyDescent="0.35">
      <c r="A24" s="9">
        <v>800</v>
      </c>
      <c r="B24" s="9">
        <f t="shared" si="1"/>
        <v>0.44724420664651554</v>
      </c>
      <c r="C24" s="9">
        <f t="shared" si="2"/>
        <v>-0.29104119409213675</v>
      </c>
      <c r="D24" s="9">
        <f t="shared" si="3"/>
        <v>1.0319377507207145E-3</v>
      </c>
      <c r="E24" s="9">
        <f t="shared" si="4"/>
        <v>-6.7131412391892276E-4</v>
      </c>
      <c r="F24" s="9">
        <f t="shared" si="5"/>
        <v>4702380.8733767699</v>
      </c>
      <c r="G24" s="9">
        <f t="shared" si="6"/>
        <v>-3055925.4278192208</v>
      </c>
      <c r="H24" s="9">
        <f t="shared" si="7"/>
        <v>790.62641300459075</v>
      </c>
      <c r="I24" s="9">
        <f t="shared" si="8"/>
        <v>-522.73020802206042</v>
      </c>
      <c r="J24" s="15"/>
      <c r="K24" s="15"/>
      <c r="L24" s="9">
        <f t="shared" si="9"/>
        <v>352302136.95367068</v>
      </c>
    </row>
    <row r="25" spans="1:12" x14ac:dyDescent="0.35">
      <c r="A25" s="9">
        <v>850</v>
      </c>
      <c r="B25" s="9">
        <f t="shared" si="1"/>
        <v>0.50184913308879819</v>
      </c>
      <c r="C25" s="9">
        <f t="shared" si="2"/>
        <v>-0.32656143963966466</v>
      </c>
      <c r="D25" s="9">
        <f t="shared" si="3"/>
        <v>1.0920985288456531E-3</v>
      </c>
      <c r="E25" s="9">
        <f t="shared" si="4"/>
        <v>-7.1040491095055813E-4</v>
      </c>
      <c r="F25" s="9">
        <f t="shared" si="5"/>
        <v>4662849.5527265407</v>
      </c>
      <c r="G25" s="9">
        <f t="shared" si="6"/>
        <v>-3029788.9174181176</v>
      </c>
      <c r="H25" s="9">
        <f t="shared" si="7"/>
        <v>790.62641300459075</v>
      </c>
      <c r="I25" s="9">
        <f t="shared" si="8"/>
        <v>-522.73020802206042</v>
      </c>
      <c r="J25" s="15"/>
      <c r="K25" s="15"/>
      <c r="L25" s="9">
        <f t="shared" si="9"/>
        <v>352302136.95367068</v>
      </c>
    </row>
    <row r="26" spans="1:12" x14ac:dyDescent="0.35">
      <c r="A26" s="9">
        <v>900</v>
      </c>
      <c r="B26" s="9">
        <f t="shared" si="1"/>
        <v>0.55943659648853306</v>
      </c>
      <c r="C26" s="9">
        <f t="shared" si="2"/>
        <v>-0.36401936368163729</v>
      </c>
      <c r="D26" s="9">
        <f t="shared" si="3"/>
        <v>1.1517492679946971E-3</v>
      </c>
      <c r="E26" s="9">
        <f t="shared" si="4"/>
        <v>-7.4915848083945266E-4</v>
      </c>
      <c r="F26" s="9">
        <f t="shared" si="5"/>
        <v>4623318.2320763115</v>
      </c>
      <c r="G26" s="9">
        <f t="shared" si="6"/>
        <v>-3003652.4070170145</v>
      </c>
      <c r="H26" s="9">
        <f t="shared" si="7"/>
        <v>790.62641300459075</v>
      </c>
      <c r="I26" s="9">
        <f t="shared" si="8"/>
        <v>-522.73020802206042</v>
      </c>
      <c r="J26" s="15"/>
      <c r="K26" s="15"/>
      <c r="L26" s="9">
        <f t="shared" si="9"/>
        <v>352302136.95367068</v>
      </c>
    </row>
    <row r="27" spans="1:12" x14ac:dyDescent="0.35">
      <c r="A27" s="9">
        <v>950</v>
      </c>
      <c r="B27" s="9">
        <f t="shared" si="1"/>
        <v>0.61998109489692532</v>
      </c>
      <c r="C27" s="9">
        <f t="shared" si="2"/>
        <v>-0.40339810536091758</v>
      </c>
      <c r="D27" s="9">
        <f t="shared" si="3"/>
        <v>1.2108899681678462E-3</v>
      </c>
      <c r="E27" s="9">
        <f t="shared" si="4"/>
        <v>-7.8757483358560634E-4</v>
      </c>
      <c r="F27" s="9">
        <f t="shared" si="5"/>
        <v>4583786.9114260823</v>
      </c>
      <c r="G27" s="9">
        <f t="shared" si="6"/>
        <v>-2977515.8966159113</v>
      </c>
      <c r="H27" s="9">
        <f t="shared" si="7"/>
        <v>790.62641300459075</v>
      </c>
      <c r="I27" s="9">
        <f t="shared" si="8"/>
        <v>-522.73020802206042</v>
      </c>
      <c r="J27" s="15"/>
      <c r="K27" s="15"/>
      <c r="L27" s="9">
        <f t="shared" si="9"/>
        <v>352302136.95367068</v>
      </c>
    </row>
    <row r="28" spans="1:12" x14ac:dyDescent="0.35">
      <c r="A28" s="9">
        <v>1000</v>
      </c>
      <c r="B28" s="9">
        <f t="shared" si="1"/>
        <v>0.6834571263651803</v>
      </c>
      <c r="C28" s="9">
        <f t="shared" si="2"/>
        <v>-0.44468080382036856</v>
      </c>
      <c r="D28" s="9">
        <f t="shared" si="3"/>
        <v>1.2695206293651005E-3</v>
      </c>
      <c r="E28" s="9">
        <f t="shared" si="4"/>
        <v>-8.2565396918901916E-4</v>
      </c>
      <c r="F28" s="9">
        <f t="shared" si="5"/>
        <v>4544255.590775853</v>
      </c>
      <c r="G28" s="9">
        <f t="shared" si="6"/>
        <v>-2951379.3862148081</v>
      </c>
      <c r="H28" s="9">
        <f t="shared" si="7"/>
        <v>790.62641300459075</v>
      </c>
      <c r="I28" s="9">
        <f t="shared" si="8"/>
        <v>-522.73020802206042</v>
      </c>
      <c r="J28" s="15"/>
      <c r="K28" s="15"/>
      <c r="L28" s="9">
        <f t="shared" si="9"/>
        <v>352302136.95367068</v>
      </c>
    </row>
    <row r="29" spans="1:12" x14ac:dyDescent="0.35">
      <c r="A29" s="9">
        <v>1050</v>
      </c>
      <c r="B29" s="9">
        <f t="shared" si="1"/>
        <v>0.7498391889445033</v>
      </c>
      <c r="C29" s="9">
        <f t="shared" si="2"/>
        <v>-0.48785059820285315</v>
      </c>
      <c r="D29" s="9">
        <f t="shared" si="3"/>
        <v>1.3276412515864598E-3</v>
      </c>
      <c r="E29" s="9">
        <f t="shared" si="4"/>
        <v>-8.6339588764969115E-4</v>
      </c>
      <c r="F29" s="9">
        <f t="shared" si="5"/>
        <v>4504724.2701256238</v>
      </c>
      <c r="G29" s="9">
        <f t="shared" si="6"/>
        <v>-2925242.8758137049</v>
      </c>
      <c r="H29" s="9">
        <f t="shared" si="7"/>
        <v>790.62641300459075</v>
      </c>
      <c r="I29" s="9">
        <f t="shared" si="8"/>
        <v>-522.73020802206042</v>
      </c>
      <c r="J29" s="15"/>
      <c r="K29" s="15"/>
      <c r="L29" s="9">
        <f t="shared" si="9"/>
        <v>352302136.95367068</v>
      </c>
    </row>
    <row r="30" spans="1:12" x14ac:dyDescent="0.35">
      <c r="A30" s="9">
        <v>1100</v>
      </c>
      <c r="B30" s="9">
        <f t="shared" si="1"/>
        <v>0.81910178068609951</v>
      </c>
      <c r="C30" s="9">
        <f t="shared" si="2"/>
        <v>-0.53289062765123429</v>
      </c>
      <c r="D30" s="9">
        <f t="shared" si="3"/>
        <v>1.3852518348319244E-3</v>
      </c>
      <c r="E30" s="9">
        <f t="shared" si="4"/>
        <v>-9.0080058896762228E-4</v>
      </c>
      <c r="F30" s="9">
        <f t="shared" si="5"/>
        <v>4465192.9494753946</v>
      </c>
      <c r="G30" s="9">
        <f t="shared" si="6"/>
        <v>-2899106.3654126017</v>
      </c>
      <c r="H30" s="9">
        <f t="shared" si="7"/>
        <v>790.62641300459075</v>
      </c>
      <c r="I30" s="9">
        <f t="shared" si="8"/>
        <v>-522.73020802206042</v>
      </c>
      <c r="J30" s="15"/>
      <c r="K30" s="15"/>
      <c r="L30" s="9">
        <f t="shared" si="9"/>
        <v>352302136.95367068</v>
      </c>
    </row>
    <row r="31" spans="1:12" x14ac:dyDescent="0.35">
      <c r="A31" s="9">
        <v>1150</v>
      </c>
      <c r="B31" s="9">
        <f t="shared" si="1"/>
        <v>0.89121939964117425</v>
      </c>
      <c r="C31" s="9">
        <f t="shared" si="2"/>
        <v>-0.57978403130837497</v>
      </c>
      <c r="D31" s="9">
        <f t="shared" si="3"/>
        <v>1.4423523791014942E-3</v>
      </c>
      <c r="E31" s="9">
        <f t="shared" si="4"/>
        <v>-9.3786807314281257E-4</v>
      </c>
      <c r="F31" s="9">
        <f t="shared" si="5"/>
        <v>4425661.6288251653</v>
      </c>
      <c r="G31" s="9">
        <f t="shared" si="6"/>
        <v>-2872969.8550114986</v>
      </c>
      <c r="H31" s="9">
        <f t="shared" si="7"/>
        <v>790.62641300459075</v>
      </c>
      <c r="I31" s="9">
        <f t="shared" si="8"/>
        <v>-522.73020802206042</v>
      </c>
      <c r="J31" s="15"/>
      <c r="K31" s="15"/>
      <c r="L31" s="9">
        <f t="shared" si="9"/>
        <v>352302136.95367068</v>
      </c>
    </row>
    <row r="32" spans="1:12" x14ac:dyDescent="0.35">
      <c r="A32" s="9">
        <v>1200</v>
      </c>
      <c r="B32" s="9">
        <f t="shared" si="1"/>
        <v>0.9661665438609327</v>
      </c>
      <c r="C32" s="9">
        <f t="shared" si="2"/>
        <v>-0.62851394831713803</v>
      </c>
      <c r="D32" s="9">
        <f t="shared" si="3"/>
        <v>1.4989428843951691E-3</v>
      </c>
      <c r="E32" s="9">
        <f t="shared" si="4"/>
        <v>-9.7459834017526201E-4</v>
      </c>
      <c r="F32" s="9">
        <f t="shared" si="5"/>
        <v>4386130.3081749361</v>
      </c>
      <c r="G32" s="9">
        <f t="shared" si="6"/>
        <v>-2846833.3446103954</v>
      </c>
      <c r="H32" s="9">
        <f t="shared" si="7"/>
        <v>790.62641300459075</v>
      </c>
      <c r="I32" s="9">
        <f t="shared" si="8"/>
        <v>-522.73020802206042</v>
      </c>
      <c r="J32" s="15"/>
      <c r="K32" s="15"/>
      <c r="L32" s="9">
        <f t="shared" si="9"/>
        <v>352302136.95367068</v>
      </c>
    </row>
    <row r="33" spans="1:12" x14ac:dyDescent="0.35">
      <c r="A33" s="9">
        <v>1250</v>
      </c>
      <c r="B33" s="9">
        <f t="shared" si="1"/>
        <v>1.0439177113965801</v>
      </c>
      <c r="C33" s="9">
        <f t="shared" si="2"/>
        <v>-0.67906351782038654</v>
      </c>
      <c r="D33" s="9">
        <f t="shared" si="3"/>
        <v>1.5550233507129493E-3</v>
      </c>
      <c r="E33" s="9">
        <f t="shared" si="4"/>
        <v>-1.0109913900649705E-3</v>
      </c>
      <c r="F33" s="9">
        <f t="shared" si="5"/>
        <v>4346598.9875247069</v>
      </c>
      <c r="G33" s="9">
        <f t="shared" si="6"/>
        <v>-2820696.8342092922</v>
      </c>
      <c r="H33" s="9">
        <f t="shared" si="7"/>
        <v>790.62641300459075</v>
      </c>
      <c r="I33" s="9">
        <f t="shared" si="8"/>
        <v>-522.73020802206042</v>
      </c>
      <c r="J33" s="15"/>
      <c r="K33" s="15"/>
      <c r="L33" s="9">
        <f t="shared" si="9"/>
        <v>352302136.95367068</v>
      </c>
    </row>
    <row r="34" spans="1:12" x14ac:dyDescent="0.35">
      <c r="A34" s="9">
        <v>1300</v>
      </c>
      <c r="B34" s="9">
        <f t="shared" si="1"/>
        <v>1.1244474002993219</v>
      </c>
      <c r="C34" s="9">
        <f t="shared" si="2"/>
        <v>-0.73141587896098348</v>
      </c>
      <c r="D34" s="9">
        <f t="shared" si="3"/>
        <v>1.6105937780548348E-3</v>
      </c>
      <c r="E34" s="9">
        <f t="shared" si="4"/>
        <v>-1.0470472228119381E-3</v>
      </c>
      <c r="F34" s="9">
        <f t="shared" si="5"/>
        <v>4307067.6668744776</v>
      </c>
      <c r="G34" s="9">
        <f t="shared" si="6"/>
        <v>-2794560.323808189</v>
      </c>
      <c r="H34" s="9">
        <f t="shared" si="7"/>
        <v>790.62641300459075</v>
      </c>
      <c r="I34" s="9">
        <f t="shared" si="8"/>
        <v>-522.73020802206042</v>
      </c>
      <c r="J34" s="15"/>
      <c r="K34" s="15"/>
      <c r="L34" s="9">
        <f t="shared" si="9"/>
        <v>352302136.95367068</v>
      </c>
    </row>
    <row r="35" spans="1:12" x14ac:dyDescent="0.35">
      <c r="A35" s="9">
        <v>1350</v>
      </c>
      <c r="B35" s="9">
        <f t="shared" si="1"/>
        <v>1.2077301086203631</v>
      </c>
      <c r="C35" s="9">
        <f t="shared" si="2"/>
        <v>-0.78555417088179169</v>
      </c>
      <c r="D35" s="9">
        <f t="shared" si="3"/>
        <v>1.6656541664208254E-3</v>
      </c>
      <c r="E35" s="9">
        <f t="shared" si="4"/>
        <v>-1.0827658384161649E-3</v>
      </c>
      <c r="F35" s="9">
        <f t="shared" si="5"/>
        <v>4267536.3462242484</v>
      </c>
      <c r="G35" s="9">
        <f t="shared" si="6"/>
        <v>-2768423.8134070858</v>
      </c>
      <c r="H35" s="9">
        <f t="shared" si="7"/>
        <v>790.62641300459075</v>
      </c>
      <c r="I35" s="9">
        <f t="shared" si="8"/>
        <v>-522.73020802206042</v>
      </c>
      <c r="J35" s="15"/>
      <c r="K35" s="15"/>
      <c r="L35" s="9">
        <f t="shared" si="9"/>
        <v>352302136.95367068</v>
      </c>
    </row>
    <row r="36" spans="1:12" x14ac:dyDescent="0.35">
      <c r="A36" s="9">
        <v>1400</v>
      </c>
      <c r="B36" s="9">
        <f t="shared" si="1"/>
        <v>1.2937403344109091</v>
      </c>
      <c r="C36" s="9">
        <f t="shared" si="2"/>
        <v>-0.84146153272567425</v>
      </c>
      <c r="D36" s="9">
        <f t="shared" si="3"/>
        <v>1.720204515810921E-3</v>
      </c>
      <c r="E36" s="9">
        <f t="shared" si="4"/>
        <v>-1.1181472368776508E-3</v>
      </c>
      <c r="F36" s="9">
        <f t="shared" si="5"/>
        <v>4228005.0255740192</v>
      </c>
      <c r="G36" s="9">
        <f t="shared" si="6"/>
        <v>-2742287.3030059827</v>
      </c>
      <c r="H36" s="9">
        <f t="shared" si="7"/>
        <v>790.62641300459075</v>
      </c>
      <c r="I36" s="9">
        <f t="shared" si="8"/>
        <v>-522.73020802206042</v>
      </c>
      <c r="J36" s="15"/>
      <c r="K36" s="15"/>
      <c r="L36" s="9">
        <f t="shared" si="9"/>
        <v>352302136.95367068</v>
      </c>
    </row>
    <row r="37" spans="1:12" x14ac:dyDescent="0.35">
      <c r="A37" s="9">
        <v>1450</v>
      </c>
      <c r="B37" s="9">
        <f t="shared" si="1"/>
        <v>1.3824525757221651</v>
      </c>
      <c r="C37" s="9">
        <f t="shared" si="2"/>
        <v>-0.89912110363549402</v>
      </c>
      <c r="D37" s="9">
        <f t="shared" si="3"/>
        <v>1.7742448262251219E-3</v>
      </c>
      <c r="E37" s="9">
        <f t="shared" si="4"/>
        <v>-1.1531914181963959E-3</v>
      </c>
      <c r="F37" s="9">
        <f t="shared" si="5"/>
        <v>4188473.7049237895</v>
      </c>
      <c r="G37" s="9">
        <f t="shared" si="6"/>
        <v>-2716150.7926048795</v>
      </c>
      <c r="H37" s="9">
        <f t="shared" si="7"/>
        <v>790.62641300459075</v>
      </c>
      <c r="I37" s="9">
        <f t="shared" si="8"/>
        <v>-522.73020802206042</v>
      </c>
      <c r="J37" s="15"/>
      <c r="K37" s="15"/>
      <c r="L37" s="9">
        <f t="shared" si="9"/>
        <v>352302136.95367068</v>
      </c>
    </row>
    <row r="38" spans="1:12" x14ac:dyDescent="0.35">
      <c r="A38" s="9">
        <v>1500</v>
      </c>
      <c r="B38" s="9">
        <f t="shared" si="1"/>
        <v>1.4738413306053364</v>
      </c>
      <c r="C38" s="9">
        <f t="shared" si="2"/>
        <v>-0.95851602275411407</v>
      </c>
      <c r="D38" s="9">
        <f t="shared" si="3"/>
        <v>1.8277750976634279E-3</v>
      </c>
      <c r="E38" s="9">
        <f t="shared" si="4"/>
        <v>-1.1878983823724002E-3</v>
      </c>
      <c r="F38" s="9">
        <f t="shared" si="5"/>
        <v>4148942.3842735598</v>
      </c>
      <c r="G38" s="9">
        <f t="shared" si="6"/>
        <v>-2690014.2822037763</v>
      </c>
      <c r="H38" s="9">
        <f t="shared" si="7"/>
        <v>790.62641300459075</v>
      </c>
      <c r="I38" s="9">
        <f t="shared" si="8"/>
        <v>-522.73020802206042</v>
      </c>
      <c r="J38" s="15"/>
      <c r="K38" s="15"/>
      <c r="L38" s="9">
        <f t="shared" si="9"/>
        <v>352302136.95367068</v>
      </c>
    </row>
    <row r="39" spans="1:12" x14ac:dyDescent="0.35">
      <c r="A39" s="9">
        <v>1550</v>
      </c>
      <c r="B39" s="9">
        <f t="shared" si="1"/>
        <v>1.5678810971116284</v>
      </c>
      <c r="C39" s="9">
        <f t="shared" si="2"/>
        <v>-1.0196294292243973</v>
      </c>
      <c r="D39" s="9">
        <f t="shared" si="3"/>
        <v>1.8807953301258392E-3</v>
      </c>
      <c r="E39" s="9">
        <f t="shared" si="4"/>
        <v>-1.2222681294056636E-3</v>
      </c>
      <c r="F39" s="9">
        <f t="shared" si="5"/>
        <v>4109411.0636233301</v>
      </c>
      <c r="G39" s="9">
        <f t="shared" si="6"/>
        <v>-2663877.7718026731</v>
      </c>
      <c r="H39" s="9">
        <f t="shared" si="7"/>
        <v>790.62641300459075</v>
      </c>
      <c r="I39" s="9">
        <f t="shared" si="8"/>
        <v>-522.73020802206042</v>
      </c>
      <c r="J39" s="15"/>
      <c r="K39" s="15"/>
      <c r="L39" s="9">
        <f t="shared" si="9"/>
        <v>352302136.95367068</v>
      </c>
    </row>
    <row r="40" spans="1:12" x14ac:dyDescent="0.35">
      <c r="A40" s="9">
        <v>1600</v>
      </c>
      <c r="B40" s="9">
        <f t="shared" si="1"/>
        <v>1.6645463732922461</v>
      </c>
      <c r="C40" s="9">
        <f t="shared" si="2"/>
        <v>-1.0824444621892066</v>
      </c>
      <c r="D40" s="9">
        <f t="shared" si="3"/>
        <v>1.9333055236123557E-3</v>
      </c>
      <c r="E40" s="9">
        <f t="shared" si="4"/>
        <v>-1.2563006592961861E-3</v>
      </c>
      <c r="F40" s="9">
        <f t="shared" si="5"/>
        <v>4069879.7429731004</v>
      </c>
      <c r="G40" s="9">
        <f t="shared" si="6"/>
        <v>-2637741.2614015699</v>
      </c>
      <c r="H40" s="9">
        <f t="shared" si="7"/>
        <v>790.62641300459075</v>
      </c>
      <c r="I40" s="9">
        <f t="shared" si="8"/>
        <v>-522.73020802206042</v>
      </c>
      <c r="J40" s="15"/>
      <c r="K40" s="15"/>
      <c r="L40" s="9">
        <f t="shared" si="9"/>
        <v>352302136.95367068</v>
      </c>
    </row>
    <row r="41" spans="1:12" x14ac:dyDescent="0.35">
      <c r="A41" s="9">
        <v>1650</v>
      </c>
      <c r="B41" s="9">
        <f t="shared" si="1"/>
        <v>1.7638116571983948</v>
      </c>
      <c r="C41" s="9">
        <f t="shared" si="2"/>
        <v>-1.1469442607914051</v>
      </c>
      <c r="D41" s="9">
        <f t="shared" si="3"/>
        <v>1.9853056781229772E-3</v>
      </c>
      <c r="E41" s="9">
        <f t="shared" si="4"/>
        <v>-1.2899959720439678E-3</v>
      </c>
      <c r="F41" s="9">
        <f t="shared" si="5"/>
        <v>4030348.4223228707</v>
      </c>
      <c r="G41" s="9">
        <f t="shared" si="6"/>
        <v>-2611604.7510004668</v>
      </c>
      <c r="H41" s="9">
        <f t="shared" si="7"/>
        <v>790.62641300459075</v>
      </c>
      <c r="I41" s="9">
        <f t="shared" si="8"/>
        <v>-522.73020802206042</v>
      </c>
      <c r="J41" s="15"/>
      <c r="K41" s="15"/>
      <c r="L41" s="9">
        <f t="shared" si="9"/>
        <v>352302136.95367068</v>
      </c>
    </row>
    <row r="42" spans="1:12" x14ac:dyDescent="0.35">
      <c r="A42" s="9">
        <v>1700</v>
      </c>
      <c r="B42" s="9">
        <f t="shared" si="1"/>
        <v>1.8656514468812799</v>
      </c>
      <c r="C42" s="9">
        <f t="shared" si="2"/>
        <v>-1.2131119641738555</v>
      </c>
      <c r="D42" s="9">
        <f t="shared" si="3"/>
        <v>2.0367957936577039E-3</v>
      </c>
      <c r="E42" s="9">
        <f t="shared" si="4"/>
        <v>-1.3233540676490087E-3</v>
      </c>
      <c r="F42" s="9">
        <f t="shared" si="5"/>
        <v>3990817.101672641</v>
      </c>
      <c r="G42" s="9">
        <f t="shared" si="6"/>
        <v>-2585468.2405993636</v>
      </c>
      <c r="H42" s="9">
        <f t="shared" si="7"/>
        <v>790.62641300459075</v>
      </c>
      <c r="I42" s="9">
        <f t="shared" si="8"/>
        <v>-522.73020802206042</v>
      </c>
      <c r="J42" s="15"/>
      <c r="K42" s="15"/>
      <c r="L42" s="9">
        <f t="shared" si="9"/>
        <v>352302136.95367068</v>
      </c>
    </row>
    <row r="43" spans="1:12" x14ac:dyDescent="0.35">
      <c r="A43" s="9">
        <v>1750</v>
      </c>
      <c r="B43" s="9">
        <f t="shared" si="1"/>
        <v>1.9700402403921067</v>
      </c>
      <c r="C43" s="9">
        <f t="shared" si="2"/>
        <v>-1.2809307114794208</v>
      </c>
      <c r="D43" s="9">
        <f t="shared" si="3"/>
        <v>2.087775870216536E-3</v>
      </c>
      <c r="E43" s="9">
        <f t="shared" si="4"/>
        <v>-1.3563749461113087E-3</v>
      </c>
      <c r="F43" s="9">
        <f t="shared" si="5"/>
        <v>3951285.7810224113</v>
      </c>
      <c r="G43" s="9">
        <f t="shared" si="6"/>
        <v>-2559331.7301982604</v>
      </c>
      <c r="H43" s="9">
        <f t="shared" si="7"/>
        <v>790.62641300459075</v>
      </c>
      <c r="I43" s="9">
        <f t="shared" si="8"/>
        <v>-522.73020802206042</v>
      </c>
      <c r="J43" s="15"/>
      <c r="K43" s="15"/>
      <c r="L43" s="9">
        <f t="shared" si="9"/>
        <v>352302136.95367068</v>
      </c>
    </row>
    <row r="44" spans="1:12" x14ac:dyDescent="0.35">
      <c r="A44" s="9">
        <v>1800</v>
      </c>
      <c r="B44" s="9">
        <f t="shared" si="1"/>
        <v>2.0769525357820804</v>
      </c>
      <c r="C44" s="9">
        <f t="shared" si="2"/>
        <v>-1.3503836418509643</v>
      </c>
      <c r="D44" s="9">
        <f t="shared" si="3"/>
        <v>2.1382459077994732E-3</v>
      </c>
      <c r="E44" s="9">
        <f t="shared" si="4"/>
        <v>-1.3890586074308678E-3</v>
      </c>
      <c r="F44" s="9">
        <f t="shared" si="5"/>
        <v>3911754.4603721816</v>
      </c>
      <c r="G44" s="9">
        <f t="shared" si="6"/>
        <v>-2533195.2197971572</v>
      </c>
      <c r="H44" s="9">
        <f t="shared" si="7"/>
        <v>790.62641300459075</v>
      </c>
      <c r="I44" s="9">
        <f t="shared" si="8"/>
        <v>-522.73020802206042</v>
      </c>
      <c r="J44" s="15"/>
      <c r="K44" s="15"/>
      <c r="L44" s="9">
        <f t="shared" si="9"/>
        <v>352302136.95367068</v>
      </c>
    </row>
    <row r="45" spans="1:12" x14ac:dyDescent="0.35">
      <c r="A45" s="9">
        <v>1850</v>
      </c>
      <c r="B45" s="9">
        <f t="shared" si="1"/>
        <v>2.1863729092457023</v>
      </c>
      <c r="C45" s="9">
        <f t="shared" si="2"/>
        <v>-1.4214604194935709</v>
      </c>
      <c r="D45" s="9">
        <f t="shared" si="3"/>
        <v>2.1884074692724406E-3</v>
      </c>
      <c r="E45" s="9">
        <f t="shared" si="4"/>
        <v>-1.4215355528521326E-3</v>
      </c>
      <c r="F45" s="9">
        <f t="shared" si="5"/>
        <v>3872223.1397219519</v>
      </c>
      <c r="G45" s="9">
        <f t="shared" si="6"/>
        <v>-2507058.709396054</v>
      </c>
      <c r="H45" s="9">
        <f t="shared" si="7"/>
        <v>790.62641300459075</v>
      </c>
      <c r="I45" s="9">
        <f t="shared" si="8"/>
        <v>-522.73020802206042</v>
      </c>
      <c r="J45" s="15"/>
      <c r="K45" s="15"/>
      <c r="L45" s="9">
        <f t="shared" si="9"/>
        <v>350886490.66374928</v>
      </c>
    </row>
    <row r="46" spans="1:12" x14ac:dyDescent="0.35">
      <c r="A46" s="9">
        <v>1900</v>
      </c>
      <c r="B46" s="9">
        <f t="shared" si="1"/>
        <v>2.298285812019107</v>
      </c>
      <c r="C46" s="9">
        <f t="shared" si="2"/>
        <v>-1.4941506248752707</v>
      </c>
      <c r="D46" s="9">
        <f t="shared" si="3"/>
        <v>2.2382580554680962E-3</v>
      </c>
      <c r="E46" s="9">
        <f t="shared" si="4"/>
        <v>-1.4538041076339954E-3</v>
      </c>
      <c r="F46" s="9">
        <f t="shared" si="5"/>
        <v>3832691.8190717222</v>
      </c>
      <c r="G46" s="9">
        <f t="shared" si="6"/>
        <v>-2480922.1989949509</v>
      </c>
      <c r="H46" s="9">
        <f t="shared" si="7"/>
        <v>790.62641300459075</v>
      </c>
      <c r="I46" s="9">
        <f t="shared" si="8"/>
        <v>-522.73020802206042</v>
      </c>
      <c r="J46" s="15"/>
      <c r="K46" s="15"/>
      <c r="L46" s="9">
        <f t="shared" si="9"/>
        <v>349470844.37382787</v>
      </c>
    </row>
    <row r="47" spans="1:12" x14ac:dyDescent="0.35">
      <c r="A47" s="9">
        <v>1950</v>
      </c>
      <c r="B47" s="9">
        <f t="shared" si="1"/>
        <v>2.412675568855331</v>
      </c>
      <c r="C47" s="9">
        <f t="shared" si="2"/>
        <v>-1.568443753705286</v>
      </c>
      <c r="D47" s="9">
        <f t="shared" si="3"/>
        <v>2.2877951367244781E-3</v>
      </c>
      <c r="E47" s="9">
        <f t="shared" si="4"/>
        <v>-1.4858625766003049E-3</v>
      </c>
      <c r="F47" s="9">
        <f t="shared" si="5"/>
        <v>3793160.4984214925</v>
      </c>
      <c r="G47" s="9">
        <f t="shared" si="6"/>
        <v>-2454785.6885938477</v>
      </c>
      <c r="H47" s="9">
        <f t="shared" si="7"/>
        <v>790.62641300459075</v>
      </c>
      <c r="I47" s="9">
        <f t="shared" si="8"/>
        <v>-522.73020802206042</v>
      </c>
      <c r="J47" s="15"/>
      <c r="K47" s="15"/>
      <c r="L47" s="9">
        <f t="shared" si="9"/>
        <v>348055198.08390647</v>
      </c>
    </row>
    <row r="48" spans="1:12" x14ac:dyDescent="0.35">
      <c r="A48" s="9">
        <v>2000</v>
      </c>
      <c r="B48" s="9">
        <f t="shared" si="1"/>
        <v>2.5295263764746738</v>
      </c>
      <c r="C48" s="9">
        <f t="shared" si="2"/>
        <v>-1.6443292158955884</v>
      </c>
      <c r="D48" s="9">
        <f t="shared" si="3"/>
        <v>2.3370161523868557E-3</v>
      </c>
      <c r="E48" s="9">
        <f t="shared" si="4"/>
        <v>-1.5177092438060471E-3</v>
      </c>
      <c r="F48" s="9">
        <f t="shared" si="5"/>
        <v>3753629.1777712628</v>
      </c>
      <c r="G48" s="9">
        <f t="shared" si="6"/>
        <v>-2428649.1781927445</v>
      </c>
      <c r="H48" s="9">
        <f t="shared" si="7"/>
        <v>790.62641300459075</v>
      </c>
      <c r="I48" s="9">
        <f t="shared" si="8"/>
        <v>-522.73020802206042</v>
      </c>
      <c r="J48" s="15"/>
      <c r="K48" s="15"/>
      <c r="L48" s="9">
        <f t="shared" si="9"/>
        <v>346639551.79398507</v>
      </c>
    </row>
    <row r="49" spans="1:12" x14ac:dyDescent="0.35">
      <c r="A49" s="9">
        <v>2050</v>
      </c>
      <c r="B49" s="9">
        <f t="shared" si="1"/>
        <v>2.6488223019896422</v>
      </c>
      <c r="C49" s="9">
        <f t="shared" si="2"/>
        <v>-1.7217963345054224</v>
      </c>
      <c r="D49" s="9">
        <f t="shared" si="3"/>
        <v>2.3859185102993643E-3</v>
      </c>
      <c r="E49" s="9">
        <f t="shared" si="4"/>
        <v>-1.5493423721966797E-3</v>
      </c>
      <c r="F49" s="9">
        <f t="shared" si="5"/>
        <v>3714097.8571210331</v>
      </c>
      <c r="G49" s="9">
        <f t="shared" si="6"/>
        <v>-2402512.6677916413</v>
      </c>
      <c r="H49" s="9">
        <f t="shared" si="7"/>
        <v>790.62641300459075</v>
      </c>
      <c r="I49" s="9">
        <f t="shared" si="8"/>
        <v>-522.73020802206042</v>
      </c>
      <c r="J49" s="15"/>
      <c r="K49" s="15"/>
      <c r="L49" s="9">
        <f t="shared" si="9"/>
        <v>345223905.50406367</v>
      </c>
    </row>
    <row r="50" spans="1:12" x14ac:dyDescent="0.35">
      <c r="A50" s="9">
        <v>2100</v>
      </c>
      <c r="B50" s="9">
        <f t="shared" si="1"/>
        <v>2.7705472813039509</v>
      </c>
      <c r="C50" s="9">
        <f t="shared" si="2"/>
        <v>-1.8008343446684452</v>
      </c>
      <c r="D50" s="9">
        <f t="shared" si="3"/>
        <v>2.4344995862861782E-3</v>
      </c>
      <c r="E50" s="9">
        <f t="shared" si="4"/>
        <v>-1.5807602032604552E-3</v>
      </c>
      <c r="F50" s="9">
        <f t="shared" si="5"/>
        <v>3674566.5364708034</v>
      </c>
      <c r="G50" s="9">
        <f t="shared" si="6"/>
        <v>-2376376.1573905381</v>
      </c>
      <c r="H50" s="9">
        <f t="shared" si="7"/>
        <v>790.62641300459075</v>
      </c>
      <c r="I50" s="9">
        <f t="shared" si="8"/>
        <v>-522.73020802206042</v>
      </c>
      <c r="J50" s="15"/>
      <c r="K50" s="15"/>
      <c r="L50" s="9">
        <f t="shared" si="9"/>
        <v>343808259.21414226</v>
      </c>
    </row>
    <row r="51" spans="1:12" x14ac:dyDescent="0.35">
      <c r="A51" s="9">
        <v>2150</v>
      </c>
      <c r="B51" s="9">
        <f t="shared" si="1"/>
        <v>2.8946851174850488</v>
      </c>
      <c r="C51" s="9">
        <f t="shared" si="2"/>
        <v>-1.881432392502123</v>
      </c>
      <c r="D51" s="9">
        <f t="shared" si="3"/>
        <v>2.4827567236219532E-3</v>
      </c>
      <c r="E51" s="9">
        <f t="shared" si="4"/>
        <v>-1.6119609566735552E-3</v>
      </c>
      <c r="F51" s="9">
        <f t="shared" si="5"/>
        <v>3635035.2158205737</v>
      </c>
      <c r="G51" s="9">
        <f t="shared" si="6"/>
        <v>-2350239.646989435</v>
      </c>
      <c r="H51" s="9">
        <f t="shared" si="7"/>
        <v>790.62641300459075</v>
      </c>
      <c r="I51" s="9">
        <f t="shared" si="8"/>
        <v>-522.73020802206042</v>
      </c>
      <c r="J51" s="15"/>
      <c r="K51" s="15"/>
      <c r="L51" s="9">
        <f t="shared" si="9"/>
        <v>342392612.92422086</v>
      </c>
    </row>
    <row r="52" spans="1:12" x14ac:dyDescent="0.35">
      <c r="A52" s="9">
        <v>2200</v>
      </c>
      <c r="B52" s="9">
        <f t="shared" si="1"/>
        <v>3.0212194791096127</v>
      </c>
      <c r="C52" s="9">
        <f t="shared" si="2"/>
        <v>-1.9635795339990159</v>
      </c>
      <c r="D52" s="9">
        <f t="shared" si="3"/>
        <v>2.5306872324912803E-3</v>
      </c>
      <c r="E52" s="9">
        <f t="shared" si="4"/>
        <v>-1.642942829937859E-3</v>
      </c>
      <c r="F52" s="9">
        <f t="shared" si="5"/>
        <v>3595503.895170344</v>
      </c>
      <c r="G52" s="9">
        <f t="shared" si="6"/>
        <v>-2324103.1365883318</v>
      </c>
      <c r="H52" s="9">
        <f t="shared" si="7"/>
        <v>790.62641300459075</v>
      </c>
      <c r="I52" s="9">
        <f t="shared" si="8"/>
        <v>-522.73020802206042</v>
      </c>
      <c r="J52" s="15"/>
      <c r="K52" s="15"/>
      <c r="L52" s="9">
        <f t="shared" si="9"/>
        <v>340976966.63429946</v>
      </c>
    </row>
    <row r="53" spans="1:12" x14ac:dyDescent="0.35">
      <c r="A53" s="9">
        <v>2250</v>
      </c>
      <c r="B53" s="9">
        <f t="shared" si="1"/>
        <v>3.1501338985814562</v>
      </c>
      <c r="C53" s="9">
        <f t="shared" si="2"/>
        <v>-2.0472647338995738</v>
      </c>
      <c r="D53" s="9">
        <f t="shared" si="3"/>
        <v>2.5782883894368692E-3</v>
      </c>
      <c r="E53" s="9">
        <f t="shared" si="4"/>
        <v>-1.6737039980111604E-3</v>
      </c>
      <c r="F53" s="9">
        <f t="shared" si="5"/>
        <v>3555972.5745201143</v>
      </c>
      <c r="G53" s="9">
        <f t="shared" si="6"/>
        <v>-2297966.6261872286</v>
      </c>
      <c r="H53" s="9">
        <f t="shared" si="7"/>
        <v>790.62641300459075</v>
      </c>
      <c r="I53" s="9">
        <f t="shared" si="8"/>
        <v>-522.73020802206042</v>
      </c>
      <c r="J53" s="15"/>
      <c r="K53" s="15"/>
      <c r="L53" s="9">
        <f t="shared" si="9"/>
        <v>339561320.34437805</v>
      </c>
    </row>
    <row r="54" spans="1:12" x14ac:dyDescent="0.35">
      <c r="A54" s="9">
        <v>2300</v>
      </c>
      <c r="B54" s="9">
        <f t="shared" si="1"/>
        <v>3.2814117704212653</v>
      </c>
      <c r="C54" s="9">
        <f t="shared" si="2"/>
        <v>-2.1324768645460561</v>
      </c>
      <c r="D54" s="9">
        <f t="shared" si="3"/>
        <v>2.6255574367961818E-3</v>
      </c>
      <c r="E54" s="9">
        <f t="shared" si="4"/>
        <v>-1.7042426129296453E-3</v>
      </c>
      <c r="F54" s="9">
        <f t="shared" si="5"/>
        <v>3516441.2538698846</v>
      </c>
      <c r="G54" s="9">
        <f t="shared" si="6"/>
        <v>-2271830.1157861254</v>
      </c>
      <c r="H54" s="9">
        <f t="shared" si="7"/>
        <v>790.62641300459075</v>
      </c>
      <c r="I54" s="9">
        <f t="shared" si="8"/>
        <v>-522.73020802206042</v>
      </c>
      <c r="J54" s="15"/>
      <c r="K54" s="15"/>
      <c r="L54" s="9">
        <f t="shared" si="9"/>
        <v>338145674.05445665</v>
      </c>
    </row>
    <row r="55" spans="1:12" x14ac:dyDescent="0.35">
      <c r="A55" s="9">
        <v>2350</v>
      </c>
      <c r="B55" s="9">
        <f t="shared" si="1"/>
        <v>3.4150363495275764</v>
      </c>
      <c r="C55" s="9">
        <f t="shared" si="2"/>
        <v>-2.2192047047171779</v>
      </c>
      <c r="D55" s="9">
        <f t="shared" si="3"/>
        <v>2.6724915821262226E-3</v>
      </c>
      <c r="E55" s="9">
        <f t="shared" si="4"/>
        <v>-1.7345568034224323E-3</v>
      </c>
      <c r="F55" s="9">
        <f t="shared" si="5"/>
        <v>3476909.933219655</v>
      </c>
      <c r="G55" s="9">
        <f t="shared" si="6"/>
        <v>-2245693.6053850222</v>
      </c>
      <c r="H55" s="9">
        <f t="shared" si="7"/>
        <v>790.62641300459075</v>
      </c>
      <c r="I55" s="9">
        <f t="shared" si="8"/>
        <v>-522.73020802206042</v>
      </c>
      <c r="J55" s="15"/>
      <c r="K55" s="15"/>
      <c r="L55" s="9">
        <f t="shared" si="9"/>
        <v>336730027.76453525</v>
      </c>
    </row>
    <row r="56" spans="1:12" x14ac:dyDescent="0.35">
      <c r="A56" s="9">
        <v>2400</v>
      </c>
      <c r="B56" s="9">
        <f t="shared" si="1"/>
        <v>3.5509907494083857</v>
      </c>
      <c r="C56" s="9">
        <f t="shared" si="2"/>
        <v>-2.3074369384430766</v>
      </c>
      <c r="D56" s="9">
        <f t="shared" si="3"/>
        <v>2.7190879976161882E-3</v>
      </c>
      <c r="E56" s="9">
        <f t="shared" si="4"/>
        <v>-1.7646446745179772E-3</v>
      </c>
      <c r="F56" s="9">
        <f t="shared" si="5"/>
        <v>3437378.6125694253</v>
      </c>
      <c r="G56" s="9">
        <f t="shared" si="6"/>
        <v>-2219557.0949839191</v>
      </c>
      <c r="H56" s="9">
        <f t="shared" si="7"/>
        <v>790.62641300459075</v>
      </c>
      <c r="I56" s="9">
        <f t="shared" si="8"/>
        <v>-522.73020802206042</v>
      </c>
      <c r="J56" s="15"/>
      <c r="K56" s="15"/>
      <c r="L56" s="9">
        <f t="shared" si="9"/>
        <v>335314381.47461385</v>
      </c>
    </row>
    <row r="57" spans="1:12" x14ac:dyDescent="0.35">
      <c r="A57" s="9">
        <v>2450</v>
      </c>
      <c r="B57" s="9">
        <f t="shared" si="1"/>
        <v>3.689257940382769</v>
      </c>
      <c r="C57" s="9">
        <f t="shared" si="2"/>
        <v>-2.3971621538001835</v>
      </c>
      <c r="D57" s="9">
        <f t="shared" si="3"/>
        <v>2.7653438194876652E-3</v>
      </c>
      <c r="E57" s="9">
        <f t="shared" si="4"/>
        <v>-1.7945043071421339E-3</v>
      </c>
      <c r="F57" s="9">
        <f t="shared" si="5"/>
        <v>3397847.2919191956</v>
      </c>
      <c r="G57" s="9">
        <f t="shared" si="6"/>
        <v>-2193420.5845828159</v>
      </c>
      <c r="H57" s="9">
        <f t="shared" si="7"/>
        <v>790.62641300459075</v>
      </c>
      <c r="I57" s="9">
        <f t="shared" si="8"/>
        <v>-522.73020802206042</v>
      </c>
      <c r="J57" s="15"/>
      <c r="K57" s="15"/>
      <c r="L57" s="9">
        <f t="shared" si="9"/>
        <v>333898735.18469244</v>
      </c>
    </row>
    <row r="58" spans="1:12" x14ac:dyDescent="0.35">
      <c r="A58" s="9">
        <v>2500</v>
      </c>
      <c r="B58" s="9">
        <f t="shared" si="1"/>
        <v>3.8298207477518718</v>
      </c>
      <c r="C58" s="9">
        <f t="shared" si="2"/>
        <v>-2.4883688416855665</v>
      </c>
      <c r="D58" s="9">
        <f t="shared" si="3"/>
        <v>2.8112561473820573E-3</v>
      </c>
      <c r="E58" s="9">
        <f t="shared" si="4"/>
        <v>-1.8241337577076585E-3</v>
      </c>
      <c r="F58" s="9">
        <f t="shared" si="5"/>
        <v>3358315.9712689659</v>
      </c>
      <c r="G58" s="9">
        <f t="shared" si="6"/>
        <v>-2167284.0741817127</v>
      </c>
      <c r="H58" s="9">
        <f t="shared" si="7"/>
        <v>790.62641300459075</v>
      </c>
      <c r="I58" s="9">
        <f t="shared" si="8"/>
        <v>-522.73020802206042</v>
      </c>
      <c r="J58" s="15"/>
      <c r="K58" s="15"/>
      <c r="L58" s="9">
        <f t="shared" si="9"/>
        <v>332483088.89477104</v>
      </c>
    </row>
    <row r="59" spans="1:12" x14ac:dyDescent="0.35">
      <c r="A59" s="9">
        <v>2550</v>
      </c>
      <c r="B59" s="9">
        <f t="shared" si="1"/>
        <v>3.9726618499386177</v>
      </c>
      <c r="C59" s="9">
        <f t="shared" si="2"/>
        <v>-2.5810453945703133</v>
      </c>
      <c r="D59" s="9">
        <f t="shared" si="3"/>
        <v>2.8568220437349195E-3</v>
      </c>
      <c r="E59" s="9">
        <f t="shared" si="4"/>
        <v>-1.8535310576949359E-3</v>
      </c>
      <c r="F59" s="9">
        <f t="shared" si="5"/>
        <v>3318784.6506187362</v>
      </c>
      <c r="G59" s="9">
        <f t="shared" si="6"/>
        <v>-2141147.5637806095</v>
      </c>
      <c r="H59" s="9">
        <f t="shared" si="7"/>
        <v>790.62641300459075</v>
      </c>
      <c r="I59" s="9">
        <f t="shared" si="8"/>
        <v>-522.73020802206042</v>
      </c>
      <c r="J59" s="15"/>
      <c r="K59" s="15"/>
      <c r="L59" s="9">
        <f t="shared" si="9"/>
        <v>331067442.60484964</v>
      </c>
    </row>
    <row r="60" spans="1:12" x14ac:dyDescent="0.35">
      <c r="A60" s="9">
        <v>2600</v>
      </c>
      <c r="B60" s="9">
        <f t="shared" si="1"/>
        <v>4.11776377659546</v>
      </c>
      <c r="C60" s="9">
        <f t="shared" si="2"/>
        <v>-2.6751801052314987</v>
      </c>
      <c r="D60" s="9">
        <f t="shared" si="3"/>
        <v>2.9020385331368533E-3</v>
      </c>
      <c r="E60" s="9">
        <f t="shared" si="4"/>
        <v>-1.8826942132237053E-3</v>
      </c>
      <c r="F60" s="9">
        <f t="shared" si="5"/>
        <v>3279253.3299685065</v>
      </c>
      <c r="G60" s="9">
        <f t="shared" si="6"/>
        <v>-2115011.0533795063</v>
      </c>
      <c r="H60" s="9">
        <f t="shared" si="7"/>
        <v>790.62641300459075</v>
      </c>
      <c r="I60" s="9">
        <f t="shared" si="8"/>
        <v>-522.73020802206042</v>
      </c>
      <c r="J60" s="15"/>
      <c r="K60" s="15"/>
      <c r="L60" s="9">
        <f t="shared" si="9"/>
        <v>329651796.31492823</v>
      </c>
    </row>
    <row r="61" spans="1:12" x14ac:dyDescent="0.35">
      <c r="A61" s="9">
        <v>2650</v>
      </c>
      <c r="B61" s="9">
        <f t="shared" si="1"/>
        <v>4.2651089066794912</v>
      </c>
      <c r="C61" s="9">
        <f t="shared" si="2"/>
        <v>-2.7707611654622761</v>
      </c>
      <c r="D61" s="9">
        <f t="shared" si="3"/>
        <v>2.9469026016806228E-3</v>
      </c>
      <c r="E61" s="9">
        <f t="shared" si="4"/>
        <v>-1.9116212046155496E-3</v>
      </c>
      <c r="F61" s="9">
        <f t="shared" si="5"/>
        <v>3239722.0093182768</v>
      </c>
      <c r="G61" s="9">
        <f t="shared" si="6"/>
        <v>-2088874.5429784034</v>
      </c>
      <c r="H61" s="9">
        <f t="shared" si="7"/>
        <v>790.62641300459075</v>
      </c>
      <c r="I61" s="9">
        <f t="shared" si="8"/>
        <v>-522.73020802206042</v>
      </c>
      <c r="J61" s="15"/>
      <c r="K61" s="15"/>
      <c r="L61" s="9">
        <f t="shared" si="9"/>
        <v>328236150.02500683</v>
      </c>
    </row>
    <row r="62" spans="1:12" x14ac:dyDescent="0.35">
      <c r="A62" s="9">
        <v>2700</v>
      </c>
      <c r="B62" s="9">
        <f t="shared" si="1"/>
        <v>4.4146794664941975</v>
      </c>
      <c r="C62" s="9">
        <f t="shared" si="2"/>
        <v>-2.8677766647596217</v>
      </c>
      <c r="D62" s="9">
        <f t="shared" si="3"/>
        <v>2.9914111962941309E-3</v>
      </c>
      <c r="E62" s="9">
        <f t="shared" si="4"/>
        <v>-1.9403099859469086E-3</v>
      </c>
      <c r="F62" s="9">
        <f t="shared" si="5"/>
        <v>3200190.6886680471</v>
      </c>
      <c r="G62" s="9">
        <f t="shared" si="6"/>
        <v>-2062738.0325773004</v>
      </c>
      <c r="H62" s="9">
        <f t="shared" si="7"/>
        <v>790.62641300459075</v>
      </c>
      <c r="I62" s="9">
        <f t="shared" si="8"/>
        <v>-522.73020802206042</v>
      </c>
      <c r="J62" s="15"/>
      <c r="K62" s="15"/>
      <c r="L62" s="9">
        <f t="shared" si="9"/>
        <v>326820503.73508543</v>
      </c>
    </row>
    <row r="63" spans="1:12" x14ac:dyDescent="0.35">
      <c r="A63" s="9">
        <v>2750</v>
      </c>
      <c r="B63" s="9">
        <f t="shared" si="1"/>
        <v>4.5664575276971417</v>
      </c>
      <c r="C63" s="9">
        <f t="shared" si="2"/>
        <v>-2.9662145889892404</v>
      </c>
      <c r="D63" s="9">
        <f t="shared" si="3"/>
        <v>3.0355612240588856E-3</v>
      </c>
      <c r="E63" s="9">
        <f t="shared" si="4"/>
        <v>-1.9687584845923703E-3</v>
      </c>
      <c r="F63" s="9">
        <f t="shared" si="5"/>
        <v>3160659.3680178174</v>
      </c>
      <c r="G63" s="9">
        <f t="shared" si="6"/>
        <v>-2036601.5221761975</v>
      </c>
      <c r="H63" s="9">
        <f t="shared" si="7"/>
        <v>790.62641300459075</v>
      </c>
      <c r="I63" s="9">
        <f t="shared" si="8"/>
        <v>-522.73020802206042</v>
      </c>
      <c r="J63" s="15"/>
      <c r="K63" s="15"/>
      <c r="L63" s="9">
        <f t="shared" si="9"/>
        <v>325404857.44516402</v>
      </c>
    </row>
    <row r="64" spans="1:12" x14ac:dyDescent="0.35">
      <c r="A64" s="9">
        <v>2800</v>
      </c>
      <c r="B64" s="9">
        <f t="shared" si="1"/>
        <v>4.7204250052728209</v>
      </c>
      <c r="C64" s="9">
        <f t="shared" si="2"/>
        <v>-3.0660628190271395</v>
      </c>
      <c r="D64" s="9">
        <f t="shared" si="3"/>
        <v>3.079349551513576E-3</v>
      </c>
      <c r="E64" s="9">
        <f t="shared" si="4"/>
        <v>-1.9969646007579845E-3</v>
      </c>
      <c r="F64" s="9">
        <f t="shared" si="5"/>
        <v>3121128.0473675877</v>
      </c>
      <c r="G64" s="9">
        <f t="shared" si="6"/>
        <v>-2010465.0117750946</v>
      </c>
      <c r="H64" s="9">
        <f t="shared" si="7"/>
        <v>790.62641300459075</v>
      </c>
      <c r="I64" s="9">
        <f t="shared" si="8"/>
        <v>-522.73020802206042</v>
      </c>
      <c r="J64" s="15"/>
      <c r="K64" s="15"/>
      <c r="L64" s="9">
        <f t="shared" si="9"/>
        <v>323989211.15524262</v>
      </c>
    </row>
    <row r="65" spans="1:12" x14ac:dyDescent="0.35">
      <c r="A65" s="9">
        <v>2850</v>
      </c>
      <c r="B65" s="9">
        <f t="shared" si="1"/>
        <v>4.8765636554699396</v>
      </c>
      <c r="C65" s="9">
        <f t="shared" si="2"/>
        <v>-3.1673091293773563</v>
      </c>
      <c r="D65" s="9">
        <f t="shared" si="3"/>
        <v>3.1227730039423683E-3</v>
      </c>
      <c r="E65" s="9">
        <f t="shared" si="4"/>
        <v>-2.0249262070043341E-3</v>
      </c>
      <c r="F65" s="9">
        <f t="shared" si="5"/>
        <v>3081596.726717358</v>
      </c>
      <c r="G65" s="9">
        <f t="shared" si="6"/>
        <v>-1984328.5013739916</v>
      </c>
      <c r="H65" s="9">
        <f t="shared" si="7"/>
        <v>790.62641300459075</v>
      </c>
      <c r="I65" s="9">
        <f t="shared" si="8"/>
        <v>-522.73020802206042</v>
      </c>
      <c r="J65" s="15"/>
      <c r="K65" s="15"/>
      <c r="L65" s="9">
        <f t="shared" si="9"/>
        <v>322573564.86532122</v>
      </c>
    </row>
    <row r="66" spans="1:12" x14ac:dyDescent="0.35">
      <c r="A66" s="9">
        <v>2900</v>
      </c>
      <c r="B66" s="9">
        <f t="shared" si="1"/>
        <v>5.0348550737023157</v>
      </c>
      <c r="C66" s="9">
        <f t="shared" si="2"/>
        <v>-3.269941186765311</v>
      </c>
      <c r="D66" s="9">
        <f t="shared" si="3"/>
        <v>3.1658283646475147E-3</v>
      </c>
      <c r="E66" s="9">
        <f t="shared" si="4"/>
        <v>-2.0526411477590975E-3</v>
      </c>
      <c r="F66" s="9">
        <f t="shared" si="5"/>
        <v>3042065.4060671283</v>
      </c>
      <c r="G66" s="9">
        <f t="shared" si="6"/>
        <v>-1958191.9909728887</v>
      </c>
      <c r="H66" s="9">
        <f t="shared" si="7"/>
        <v>790.62641300459075</v>
      </c>
      <c r="I66" s="9">
        <f t="shared" si="8"/>
        <v>-522.73020802206042</v>
      </c>
      <c r="J66" s="15"/>
      <c r="K66" s="15"/>
      <c r="L66" s="9">
        <f t="shared" si="9"/>
        <v>321157918.57539982</v>
      </c>
    </row>
    <row r="67" spans="1:12" x14ac:dyDescent="0.35">
      <c r="A67" s="9">
        <v>2950</v>
      </c>
      <c r="B67" s="9">
        <f t="shared" si="1"/>
        <v>5.1952806924126085</v>
      </c>
      <c r="C67" s="9">
        <f t="shared" si="2"/>
        <v>-3.3739465487062521</v>
      </c>
      <c r="D67" s="9">
        <f t="shared" si="3"/>
        <v>3.20851237420586E-3</v>
      </c>
      <c r="E67" s="9">
        <f t="shared" si="4"/>
        <v>-2.0801072388188196E-3</v>
      </c>
      <c r="F67" s="9">
        <f t="shared" si="5"/>
        <v>3002534.0854168986</v>
      </c>
      <c r="G67" s="9">
        <f t="shared" si="6"/>
        <v>-1932055.4805717857</v>
      </c>
      <c r="H67" s="9">
        <f t="shared" si="7"/>
        <v>790.62641300459075</v>
      </c>
      <c r="I67" s="9">
        <f t="shared" si="8"/>
        <v>-522.73020802206042</v>
      </c>
      <c r="J67" s="15"/>
      <c r="K67" s="15"/>
      <c r="L67" s="9">
        <f t="shared" si="9"/>
        <v>319742272.28547841</v>
      </c>
    </row>
    <row r="68" spans="1:12" x14ac:dyDescent="0.35">
      <c r="A68" s="9">
        <v>3000</v>
      </c>
      <c r="B68" s="9">
        <f t="shared" si="1"/>
        <v>5.3578217788980496</v>
      </c>
      <c r="C68" s="9">
        <f t="shared" si="2"/>
        <v>-3.4793126620482324</v>
      </c>
      <c r="D68" s="9">
        <f t="shared" si="3"/>
        <v>3.2508217297088178E-3</v>
      </c>
      <c r="E68" s="9">
        <f t="shared" si="4"/>
        <v>-2.1073222668396025E-3</v>
      </c>
      <c r="F68" s="9">
        <f t="shared" si="5"/>
        <v>2963002.7647666689</v>
      </c>
      <c r="G68" s="9">
        <f t="shared" si="6"/>
        <v>-1905918.9701706828</v>
      </c>
      <c r="H68" s="9">
        <f t="shared" si="7"/>
        <v>790.62641300459075</v>
      </c>
      <c r="I68" s="9">
        <f t="shared" si="8"/>
        <v>-522.73020802206042</v>
      </c>
      <c r="J68" s="15"/>
      <c r="K68" s="15"/>
      <c r="L68" s="9">
        <f t="shared" si="9"/>
        <v>318326625.99555701</v>
      </c>
    </row>
    <row r="69" spans="1:12" x14ac:dyDescent="0.35">
      <c r="A69" s="9">
        <v>3050</v>
      </c>
      <c r="B69" s="9">
        <f t="shared" si="1"/>
        <v>5.5224594330973176</v>
      </c>
      <c r="C69" s="9">
        <f t="shared" si="2"/>
        <v>-3.5860268614890538</v>
      </c>
      <c r="D69" s="9">
        <f t="shared" si="3"/>
        <v>3.292753083985368E-3</v>
      </c>
      <c r="E69" s="9">
        <f t="shared" si="4"/>
        <v>-2.1342839888164235E-3</v>
      </c>
      <c r="F69" s="9">
        <f t="shared" si="5"/>
        <v>2923471.4441164392</v>
      </c>
      <c r="G69" s="9">
        <f t="shared" si="6"/>
        <v>-1879782.4597695798</v>
      </c>
      <c r="H69" s="9">
        <f t="shared" si="7"/>
        <v>790.62641300459075</v>
      </c>
      <c r="I69" s="9">
        <f t="shared" si="8"/>
        <v>-522.73020802206042</v>
      </c>
      <c r="J69" s="15"/>
      <c r="K69" s="15"/>
      <c r="L69" s="9">
        <f t="shared" si="9"/>
        <v>316910979.70563561</v>
      </c>
    </row>
    <row r="70" spans="1:12" x14ac:dyDescent="0.35">
      <c r="A70" s="9">
        <v>3100</v>
      </c>
      <c r="B70" s="9">
        <f t="shared" si="1"/>
        <v>5.6891745853376987</v>
      </c>
      <c r="C70" s="9">
        <f t="shared" si="2"/>
        <v>-3.6940763680665922</v>
      </c>
      <c r="D70" s="9">
        <f t="shared" si="3"/>
        <v>3.3343030448076262E-3</v>
      </c>
      <c r="E70" s="9">
        <f t="shared" si="4"/>
        <v>-2.1609901315507701E-3</v>
      </c>
      <c r="F70" s="9">
        <f t="shared" si="5"/>
        <v>2883940.1234662095</v>
      </c>
      <c r="G70" s="9">
        <f t="shared" si="6"/>
        <v>-1853645.9493684769</v>
      </c>
      <c r="H70" s="9">
        <f t="shared" si="7"/>
        <v>790.62641300459075</v>
      </c>
      <c r="I70" s="9">
        <f t="shared" si="8"/>
        <v>-522.73020802206042</v>
      </c>
      <c r="J70" s="15"/>
      <c r="K70" s="15"/>
      <c r="L70" s="9">
        <f t="shared" si="9"/>
        <v>315495333.4157142</v>
      </c>
    </row>
    <row r="71" spans="1:12" x14ac:dyDescent="0.35">
      <c r="A71" s="9">
        <v>3150</v>
      </c>
      <c r="B71" s="9">
        <f t="shared" si="1"/>
        <v>5.8579479940416244</v>
      </c>
      <c r="C71" s="9">
        <f t="shared" si="2"/>
        <v>-3.8034482876219062</v>
      </c>
      <c r="D71" s="9">
        <f t="shared" si="3"/>
        <v>3.3754681740785063E-3</v>
      </c>
      <c r="E71" s="9">
        <f t="shared" si="4"/>
        <v>-2.187438391106277E-3</v>
      </c>
      <c r="F71" s="9">
        <f t="shared" si="5"/>
        <v>2844408.8028159798</v>
      </c>
      <c r="G71" s="9">
        <f t="shared" si="6"/>
        <v>-1827509.4389673739</v>
      </c>
      <c r="H71" s="9">
        <f t="shared" si="7"/>
        <v>790.62641300459075</v>
      </c>
      <c r="I71" s="9">
        <f t="shared" si="8"/>
        <v>-522.73020802206042</v>
      </c>
      <c r="J71" s="15"/>
      <c r="K71" s="15"/>
      <c r="L71" s="9">
        <f t="shared" si="9"/>
        <v>314079687.1257928</v>
      </c>
    </row>
    <row r="72" spans="1:12" x14ac:dyDescent="0.35">
      <c r="A72" s="9">
        <v>3200</v>
      </c>
      <c r="B72" s="9">
        <f t="shared" si="1"/>
        <v>6.028760243391674</v>
      </c>
      <c r="C72" s="9">
        <f t="shared" si="2"/>
        <v>-3.9141296092345081</v>
      </c>
      <c r="D72" s="9">
        <f t="shared" si="3"/>
        <v>3.4162449870009941E-3</v>
      </c>
      <c r="E72" s="9">
        <f t="shared" si="4"/>
        <v>-2.2136264322520399E-3</v>
      </c>
      <c r="F72" s="9">
        <f t="shared" si="5"/>
        <v>2804877.4821657501</v>
      </c>
      <c r="G72" s="9">
        <f t="shared" si="6"/>
        <v>-1801372.928566271</v>
      </c>
      <c r="H72" s="9">
        <f t="shared" si="7"/>
        <v>790.62641300459075</v>
      </c>
      <c r="I72" s="9">
        <f t="shared" si="8"/>
        <v>-522.73020802206042</v>
      </c>
      <c r="J72" s="15"/>
      <c r="K72" s="15"/>
      <c r="L72" s="9">
        <f t="shared" si="9"/>
        <v>312664040.8358714</v>
      </c>
    </row>
    <row r="73" spans="1:12" x14ac:dyDescent="0.35">
      <c r="A73" s="9">
        <v>3250</v>
      </c>
      <c r="B73" s="9">
        <f t="shared" si="1"/>
        <v>6.2015917409531003</v>
      </c>
      <c r="C73" s="9">
        <f t="shared" si="2"/>
        <v>-4.0261072036291718</v>
      </c>
      <c r="D73" s="9">
        <f t="shared" si="3"/>
        <v>3.4566299512285292E-3</v>
      </c>
      <c r="E73" s="9">
        <f t="shared" si="4"/>
        <v>-2.2395518878932708E-3</v>
      </c>
      <c r="F73" s="9">
        <f t="shared" si="5"/>
        <v>2765346.1615155204</v>
      </c>
      <c r="G73" s="9">
        <f t="shared" si="6"/>
        <v>-1775236.418165168</v>
      </c>
      <c r="H73" s="9">
        <f t="shared" si="7"/>
        <v>790.62641300459075</v>
      </c>
      <c r="I73" s="9">
        <f t="shared" si="8"/>
        <v>-522.73020802206042</v>
      </c>
      <c r="J73" s="15"/>
      <c r="K73" s="15"/>
      <c r="L73" s="9">
        <f t="shared" si="9"/>
        <v>311248394.54595</v>
      </c>
    </row>
    <row r="74" spans="1:12" x14ac:dyDescent="0.35">
      <c r="A74" s="9">
        <v>3300</v>
      </c>
      <c r="B74" s="9">
        <f t="shared" ref="B74:B137" si="10">B73+D74*$P$1</f>
        <v>6.3764227152528994</v>
      </c>
      <c r="C74" s="9">
        <f t="shared" ref="C74:C137" si="11">C73+E74*$P$1</f>
        <v>-4.1393678215536189</v>
      </c>
      <c r="D74" s="9">
        <f t="shared" ref="D74:D137" si="12">D73+F74/$L74/$S$4*$P$1</f>
        <v>3.4966194859959777E-3</v>
      </c>
      <c r="E74" s="9">
        <f t="shared" ref="E74:E137" si="13">E73+G74/$L74/$S$4*$P$1</f>
        <v>-2.2652123584889438E-3</v>
      </c>
      <c r="F74" s="9">
        <f t="shared" ref="F74:F137" si="14">F73-H74*$P$1</f>
        <v>2725814.8408652907</v>
      </c>
      <c r="G74" s="9">
        <f t="shared" ref="G74:G137" si="15">G73-I74*$P$1</f>
        <v>-1749099.9077640651</v>
      </c>
      <c r="H74" s="9">
        <f t="shared" ref="H74:H137" si="16">H73+J74</f>
        <v>790.62641300459075</v>
      </c>
      <c r="I74" s="9">
        <f t="shared" ref="I74:I137" si="17">I73+K74</f>
        <v>-522.73020802206042</v>
      </c>
      <c r="J74" s="15"/>
      <c r="K74" s="15"/>
      <c r="L74" s="9">
        <f t="shared" ref="L74:L137" si="18">IF($A74&lt;1830, $S$1, L73-$S$3)</f>
        <v>309832748.25602859</v>
      </c>
    </row>
    <row r="75" spans="1:12" x14ac:dyDescent="0.35">
      <c r="A75" s="9">
        <v>3350</v>
      </c>
      <c r="B75" s="9">
        <f t="shared" si="10"/>
        <v>6.5532332133144324</v>
      </c>
      <c r="C75" s="9">
        <f t="shared" si="11"/>
        <v>-4.2538980921264224</v>
      </c>
      <c r="D75" s="9">
        <f t="shared" si="12"/>
        <v>3.5362099612306587E-3</v>
      </c>
      <c r="E75" s="9">
        <f t="shared" si="13"/>
        <v>-2.2906054114560778E-3</v>
      </c>
      <c r="F75" s="9">
        <f t="shared" si="14"/>
        <v>2686283.520215061</v>
      </c>
      <c r="G75" s="9">
        <f t="shared" si="15"/>
        <v>-1722963.3973629621</v>
      </c>
      <c r="H75" s="9">
        <f t="shared" si="16"/>
        <v>790.62641300459075</v>
      </c>
      <c r="I75" s="9">
        <f t="shared" si="17"/>
        <v>-522.73020802206042</v>
      </c>
      <c r="J75" s="15"/>
      <c r="K75" s="15"/>
      <c r="L75" s="9">
        <f t="shared" si="18"/>
        <v>308417101.96610719</v>
      </c>
    </row>
    <row r="76" spans="1:12" x14ac:dyDescent="0.35">
      <c r="A76" s="9">
        <v>3400</v>
      </c>
      <c r="B76" s="9">
        <f t="shared" si="10"/>
        <v>6.7320030981465759</v>
      </c>
      <c r="C76" s="9">
        <f t="shared" si="11"/>
        <v>-4.3696845211544364</v>
      </c>
      <c r="D76" s="9">
        <f t="shared" si="12"/>
        <v>3.5753976966428755E-3</v>
      </c>
      <c r="E76" s="9">
        <f t="shared" si="13"/>
        <v>-2.3157285805602838E-3</v>
      </c>
      <c r="F76" s="9">
        <f t="shared" si="14"/>
        <v>2646752.1995648313</v>
      </c>
      <c r="G76" s="9">
        <f t="shared" si="15"/>
        <v>-1696826.8869618592</v>
      </c>
      <c r="H76" s="9">
        <f t="shared" si="16"/>
        <v>790.62641300459075</v>
      </c>
      <c r="I76" s="9">
        <f t="shared" si="17"/>
        <v>-522.73020802206042</v>
      </c>
      <c r="J76" s="15"/>
      <c r="K76" s="15"/>
      <c r="L76" s="9">
        <f t="shared" si="18"/>
        <v>307001455.67618579</v>
      </c>
    </row>
    <row r="77" spans="1:12" x14ac:dyDescent="0.35">
      <c r="A77" s="9">
        <v>3450</v>
      </c>
      <c r="B77" s="9">
        <f t="shared" si="10"/>
        <v>6.9127120461863454</v>
      </c>
      <c r="C77" s="9">
        <f t="shared" si="11"/>
        <v>-4.4867134894190466</v>
      </c>
      <c r="D77" s="9">
        <f t="shared" si="12"/>
        <v>3.6141789607953825E-3</v>
      </c>
      <c r="E77" s="9">
        <f t="shared" si="13"/>
        <v>-2.340579365292196E-3</v>
      </c>
      <c r="F77" s="9">
        <f t="shared" si="14"/>
        <v>2607220.8789146016</v>
      </c>
      <c r="G77" s="9">
        <f t="shared" si="15"/>
        <v>-1670690.3765607562</v>
      </c>
      <c r="H77" s="9">
        <f t="shared" si="16"/>
        <v>790.62641300459075</v>
      </c>
      <c r="I77" s="9">
        <f t="shared" si="17"/>
        <v>-522.73020802206042</v>
      </c>
      <c r="J77" s="15"/>
      <c r="K77" s="15"/>
      <c r="L77" s="9">
        <f t="shared" si="18"/>
        <v>305585809.38626438</v>
      </c>
    </row>
    <row r="78" spans="1:12" x14ac:dyDescent="0.35">
      <c r="A78" s="9">
        <v>3500</v>
      </c>
      <c r="B78" s="9">
        <f t="shared" si="10"/>
        <v>7.0953395446939052</v>
      </c>
      <c r="C78" s="9">
        <f t="shared" si="11"/>
        <v>-4.6049712509305163</v>
      </c>
      <c r="D78" s="9">
        <f t="shared" si="12"/>
        <v>3.6525499701511956E-3</v>
      </c>
      <c r="E78" s="9">
        <f t="shared" si="13"/>
        <v>-2.365155230229391E-3</v>
      </c>
      <c r="F78" s="9">
        <f t="shared" si="14"/>
        <v>2567689.5582643719</v>
      </c>
      <c r="G78" s="9">
        <f t="shared" si="15"/>
        <v>-1644553.8661596533</v>
      </c>
      <c r="H78" s="9">
        <f t="shared" si="16"/>
        <v>790.62641300459075</v>
      </c>
      <c r="I78" s="9">
        <f t="shared" si="17"/>
        <v>-522.73020802206042</v>
      </c>
      <c r="J78" s="15"/>
      <c r="K78" s="15"/>
      <c r="L78" s="9">
        <f t="shared" si="18"/>
        <v>304170163.09634298</v>
      </c>
    </row>
    <row r="79" spans="1:12" x14ac:dyDescent="0.35">
      <c r="A79" s="9">
        <v>3550</v>
      </c>
      <c r="B79" s="9">
        <f t="shared" si="10"/>
        <v>7.279864889098862</v>
      </c>
      <c r="C79" s="9">
        <f t="shared" si="11"/>
        <v>-4.7244439311496853</v>
      </c>
      <c r="D79" s="9">
        <f t="shared" si="12"/>
        <v>3.6905068880991421E-3</v>
      </c>
      <c r="E79" s="9">
        <f t="shared" si="13"/>
        <v>-2.3894536043833885E-3</v>
      </c>
      <c r="F79" s="9">
        <f t="shared" si="14"/>
        <v>2528158.2376141422</v>
      </c>
      <c r="G79" s="9">
        <f t="shared" si="15"/>
        <v>-1618417.3557585503</v>
      </c>
      <c r="H79" s="9">
        <f t="shared" si="16"/>
        <v>790.62641300459075</v>
      </c>
      <c r="I79" s="9">
        <f t="shared" si="17"/>
        <v>-522.73020802206042</v>
      </c>
      <c r="J79" s="15"/>
      <c r="K79" s="15"/>
      <c r="L79" s="9">
        <f t="shared" si="18"/>
        <v>302754516.80642158</v>
      </c>
    </row>
    <row r="80" spans="1:12" x14ac:dyDescent="0.35">
      <c r="A80" s="9">
        <v>3600</v>
      </c>
      <c r="B80" s="9">
        <f t="shared" si="10"/>
        <v>7.466267180296688</v>
      </c>
      <c r="C80" s="9">
        <f t="shared" si="11"/>
        <v>-4.845117525176251</v>
      </c>
      <c r="D80" s="9">
        <f t="shared" si="12"/>
        <v>3.7280458239565216E-3</v>
      </c>
      <c r="E80" s="9">
        <f t="shared" si="13"/>
        <v>-2.4134718805313171E-3</v>
      </c>
      <c r="F80" s="9">
        <f t="shared" si="14"/>
        <v>2488626.9169639125</v>
      </c>
      <c r="G80" s="9">
        <f t="shared" si="15"/>
        <v>-1592280.8453574474</v>
      </c>
      <c r="H80" s="9">
        <f t="shared" si="16"/>
        <v>790.62641300459075</v>
      </c>
      <c r="I80" s="9">
        <f t="shared" si="17"/>
        <v>-522.73020802206042</v>
      </c>
      <c r="J80" s="15"/>
      <c r="K80" s="15"/>
      <c r="L80" s="9">
        <f t="shared" si="18"/>
        <v>301338870.51650017</v>
      </c>
    </row>
    <row r="81" spans="1:12" x14ac:dyDescent="0.35">
      <c r="A81" s="9">
        <v>3650</v>
      </c>
      <c r="B81" s="9">
        <f t="shared" si="10"/>
        <v>7.6545253218940994</v>
      </c>
      <c r="C81" s="9">
        <f t="shared" si="11"/>
        <v>-4.9669778959028408</v>
      </c>
      <c r="D81" s="9">
        <f t="shared" si="12"/>
        <v>3.7651628319482298E-3</v>
      </c>
      <c r="E81" s="9">
        <f t="shared" si="13"/>
        <v>-2.4372074145318024E-3</v>
      </c>
      <c r="F81" s="9">
        <f t="shared" si="14"/>
        <v>2449095.5963136829</v>
      </c>
      <c r="G81" s="9">
        <f t="shared" si="15"/>
        <v>-1566144.3349563444</v>
      </c>
      <c r="H81" s="9">
        <f t="shared" si="16"/>
        <v>790.62641300459075</v>
      </c>
      <c r="I81" s="9">
        <f t="shared" si="17"/>
        <v>-522.73020802206042</v>
      </c>
      <c r="J81" s="15"/>
      <c r="K81" s="15"/>
      <c r="L81" s="9">
        <f t="shared" si="18"/>
        <v>299923224.22657877</v>
      </c>
    </row>
    <row r="82" spans="1:12" x14ac:dyDescent="0.35">
      <c r="A82" s="9">
        <v>3700</v>
      </c>
      <c r="B82" s="9">
        <f t="shared" si="10"/>
        <v>7.8446180174021833</v>
      </c>
      <c r="C82" s="9">
        <f t="shared" si="11"/>
        <v>-5.0900107721340726</v>
      </c>
      <c r="D82" s="9">
        <f t="shared" si="12"/>
        <v>3.8018539101616726E-3</v>
      </c>
      <c r="E82" s="9">
        <f t="shared" si="13"/>
        <v>-2.4606575246246373E-3</v>
      </c>
      <c r="F82" s="9">
        <f t="shared" si="14"/>
        <v>2409564.2756634532</v>
      </c>
      <c r="G82" s="9">
        <f t="shared" si="15"/>
        <v>-1540007.8245552415</v>
      </c>
      <c r="H82" s="9">
        <f t="shared" si="16"/>
        <v>790.62641300459075</v>
      </c>
      <c r="I82" s="9">
        <f t="shared" si="17"/>
        <v>-522.73020802206042</v>
      </c>
      <c r="J82" s="15"/>
      <c r="K82" s="15"/>
      <c r="L82" s="9">
        <f t="shared" si="18"/>
        <v>298507577.93665737</v>
      </c>
    </row>
    <row r="83" spans="1:12" x14ac:dyDescent="0.35">
      <c r="A83" s="9">
        <v>3750</v>
      </c>
      <c r="B83" s="9">
        <f t="shared" si="10"/>
        <v>8.036523767376023</v>
      </c>
      <c r="C83" s="9">
        <f t="shared" si="11"/>
        <v>-5.2142017466697608</v>
      </c>
      <c r="D83" s="9">
        <f t="shared" si="12"/>
        <v>3.8381149994767862E-3</v>
      </c>
      <c r="E83" s="9">
        <f t="shared" si="13"/>
        <v>-2.4838194907137652E-3</v>
      </c>
      <c r="F83" s="9">
        <f t="shared" si="14"/>
        <v>2370032.9550132235</v>
      </c>
      <c r="G83" s="9">
        <f t="shared" si="15"/>
        <v>-1513871.3141541386</v>
      </c>
      <c r="H83" s="9">
        <f t="shared" si="16"/>
        <v>790.62641300459075</v>
      </c>
      <c r="I83" s="9">
        <f t="shared" si="17"/>
        <v>-522.73020802206042</v>
      </c>
      <c r="J83" s="15"/>
      <c r="K83" s="15"/>
      <c r="L83" s="9">
        <f t="shared" si="18"/>
        <v>297091931.64673597</v>
      </c>
    </row>
    <row r="84" spans="1:12" x14ac:dyDescent="0.35">
      <c r="A84" s="9">
        <v>3800</v>
      </c>
      <c r="B84" s="9">
        <f t="shared" si="10"/>
        <v>8.2302208664995451</v>
      </c>
      <c r="C84" s="9">
        <f t="shared" si="11"/>
        <v>-5.3395362743514152</v>
      </c>
      <c r="D84" s="9">
        <f t="shared" si="12"/>
        <v>3.8739419824704371E-3</v>
      </c>
      <c r="E84" s="9">
        <f t="shared" si="13"/>
        <v>-2.5066905536330975E-3</v>
      </c>
      <c r="F84" s="9">
        <f t="shared" si="14"/>
        <v>2330501.6343629938</v>
      </c>
      <c r="G84" s="9">
        <f t="shared" si="15"/>
        <v>-1487734.8037530356</v>
      </c>
      <c r="H84" s="9">
        <f t="shared" si="16"/>
        <v>790.62641300459075</v>
      </c>
      <c r="I84" s="9">
        <f t="shared" si="17"/>
        <v>-522.73020802206042</v>
      </c>
      <c r="J84" s="15"/>
      <c r="K84" s="15"/>
      <c r="L84" s="9">
        <f t="shared" si="18"/>
        <v>295676285.35681456</v>
      </c>
    </row>
    <row r="85" spans="1:12" x14ac:dyDescent="0.35">
      <c r="A85" s="9">
        <v>3850</v>
      </c>
      <c r="B85" s="9">
        <f t="shared" si="10"/>
        <v>8.4256874006142688</v>
      </c>
      <c r="C85" s="9">
        <f t="shared" si="11"/>
        <v>-5.4659996700711488</v>
      </c>
      <c r="D85" s="9">
        <f t="shared" si="12"/>
        <v>3.9093306822944726E-3</v>
      </c>
      <c r="E85" s="9">
        <f t="shared" si="13"/>
        <v>-2.5292679143946737E-3</v>
      </c>
      <c r="F85" s="9">
        <f t="shared" si="14"/>
        <v>2290970.3137127641</v>
      </c>
      <c r="G85" s="9">
        <f t="shared" si="15"/>
        <v>-1461598.2933519327</v>
      </c>
      <c r="H85" s="9">
        <f t="shared" si="16"/>
        <v>790.62641300459075</v>
      </c>
      <c r="I85" s="9">
        <f t="shared" si="17"/>
        <v>-522.73020802206042</v>
      </c>
      <c r="J85" s="15"/>
      <c r="K85" s="15"/>
      <c r="L85" s="9">
        <f t="shared" si="18"/>
        <v>294260639.06689316</v>
      </c>
    </row>
    <row r="86" spans="1:12" x14ac:dyDescent="0.35">
      <c r="A86" s="9">
        <v>3900</v>
      </c>
      <c r="B86" s="9">
        <f t="shared" si="10"/>
        <v>8.6229012436906007</v>
      </c>
      <c r="C86" s="9">
        <f t="shared" si="11"/>
        <v>-5.5935771067420808</v>
      </c>
      <c r="D86" s="9">
        <f t="shared" si="12"/>
        <v>3.9442768615266495E-3</v>
      </c>
      <c r="E86" s="9">
        <f t="shared" si="13"/>
        <v>-2.551548733418646E-3</v>
      </c>
      <c r="F86" s="9">
        <f t="shared" si="14"/>
        <v>2251438.9930625344</v>
      </c>
      <c r="G86" s="9">
        <f t="shared" si="15"/>
        <v>-1435461.7829508297</v>
      </c>
      <c r="H86" s="9">
        <f t="shared" si="16"/>
        <v>790.62641300459075</v>
      </c>
      <c r="I86" s="9">
        <f t="shared" si="17"/>
        <v>-522.73020802206042</v>
      </c>
      <c r="J86" s="15"/>
      <c r="K86" s="15"/>
      <c r="L86" s="9">
        <f t="shared" si="18"/>
        <v>292844992.77697176</v>
      </c>
    </row>
    <row r="87" spans="1:12" x14ac:dyDescent="0.35">
      <c r="A87" s="9">
        <v>3950</v>
      </c>
      <c r="B87" s="9">
        <f t="shared" si="10"/>
        <v>8.8218400547402833</v>
      </c>
      <c r="C87" s="9">
        <f t="shared" si="11"/>
        <v>-5.7222536132293094</v>
      </c>
      <c r="D87" s="9">
        <f t="shared" si="12"/>
        <v>3.978776220993659E-3</v>
      </c>
      <c r="E87" s="9">
        <f t="shared" si="13"/>
        <v>-2.5735301297445641E-3</v>
      </c>
      <c r="F87" s="9">
        <f t="shared" si="14"/>
        <v>2211907.6724123047</v>
      </c>
      <c r="G87" s="9">
        <f t="shared" si="15"/>
        <v>-1409325.2725497268</v>
      </c>
      <c r="H87" s="9">
        <f t="shared" si="16"/>
        <v>790.62641300459075</v>
      </c>
      <c r="I87" s="9">
        <f t="shared" si="17"/>
        <v>-522.73020802206042</v>
      </c>
      <c r="J87" s="15"/>
      <c r="K87" s="15"/>
      <c r="L87" s="9">
        <f t="shared" si="18"/>
        <v>291429346.48705035</v>
      </c>
    </row>
    <row r="88" spans="1:12" x14ac:dyDescent="0.35">
      <c r="A88" s="9">
        <v>4000</v>
      </c>
      <c r="B88" s="9">
        <f t="shared" si="10"/>
        <v>9.0224812746685537</v>
      </c>
      <c r="C88" s="9">
        <f t="shared" si="11"/>
        <v>-5.8520140722404799</v>
      </c>
      <c r="D88" s="9">
        <f t="shared" si="12"/>
        <v>4.0128243985654184E-3</v>
      </c>
      <c r="E88" s="9">
        <f t="shared" si="13"/>
        <v>-2.5952091802234089E-3</v>
      </c>
      <c r="F88" s="9">
        <f t="shared" si="14"/>
        <v>2172376.351762075</v>
      </c>
      <c r="G88" s="9">
        <f t="shared" si="15"/>
        <v>-1383188.7621486238</v>
      </c>
      <c r="H88" s="9">
        <f t="shared" si="16"/>
        <v>790.62641300459075</v>
      </c>
      <c r="I88" s="9">
        <f t="shared" si="17"/>
        <v>-522.73020802206042</v>
      </c>
      <c r="J88" s="15"/>
      <c r="K88" s="15"/>
      <c r="L88" s="9">
        <f t="shared" si="18"/>
        <v>290013700.19712895</v>
      </c>
    </row>
    <row r="89" spans="1:12" x14ac:dyDescent="0.35">
      <c r="A89" s="9">
        <v>4050</v>
      </c>
      <c r="B89" s="9">
        <f t="shared" si="10"/>
        <v>9.2248021230645438</v>
      </c>
      <c r="C89" s="9">
        <f t="shared" si="11"/>
        <v>-5.9828432181749704</v>
      </c>
      <c r="D89" s="9">
        <f t="shared" si="12"/>
        <v>4.0464169679198005E-3</v>
      </c>
      <c r="E89" s="9">
        <f t="shared" si="13"/>
        <v>-2.6165829186898105E-3</v>
      </c>
      <c r="F89" s="9">
        <f t="shared" si="14"/>
        <v>2132845.0311118453</v>
      </c>
      <c r="G89" s="9">
        <f t="shared" si="15"/>
        <v>-1357052.2517475209</v>
      </c>
      <c r="H89" s="9">
        <f t="shared" si="16"/>
        <v>790.62641300459075</v>
      </c>
      <c r="I89" s="9">
        <f t="shared" si="17"/>
        <v>-522.73020802206042</v>
      </c>
      <c r="J89" s="15"/>
      <c r="K89" s="15"/>
      <c r="L89" s="9">
        <f t="shared" si="18"/>
        <v>288598053.90720755</v>
      </c>
    </row>
    <row r="90" spans="1:12" x14ac:dyDescent="0.35">
      <c r="A90" s="9">
        <v>4100</v>
      </c>
      <c r="B90" s="9">
        <f t="shared" si="10"/>
        <v>9.4287795949283897</v>
      </c>
      <c r="C90" s="9">
        <f t="shared" si="11"/>
        <v>-6.1147256349306636</v>
      </c>
      <c r="D90" s="9">
        <f t="shared" si="12"/>
        <v>4.0795494372769083E-3</v>
      </c>
      <c r="E90" s="9">
        <f t="shared" si="13"/>
        <v>-2.6376483351138627E-3</v>
      </c>
      <c r="F90" s="9">
        <f t="shared" si="14"/>
        <v>2093313.7104616158</v>
      </c>
      <c r="G90" s="9">
        <f t="shared" si="15"/>
        <v>-1330915.7413464179</v>
      </c>
      <c r="H90" s="9">
        <f t="shared" si="16"/>
        <v>790.62641300459075</v>
      </c>
      <c r="I90" s="9">
        <f t="shared" si="17"/>
        <v>-522.73020802206042</v>
      </c>
      <c r="J90" s="15"/>
      <c r="K90" s="15"/>
      <c r="L90" s="9">
        <f t="shared" si="18"/>
        <v>287182407.61728615</v>
      </c>
    </row>
    <row r="91" spans="1:12" x14ac:dyDescent="0.35">
      <c r="A91" s="9">
        <v>4150</v>
      </c>
      <c r="B91" s="9">
        <f t="shared" si="10"/>
        <v>9.63439045733349</v>
      </c>
      <c r="C91" s="9">
        <f t="shared" si="11"/>
        <v>-6.2476457536672605</v>
      </c>
      <c r="D91" s="9">
        <f t="shared" si="12"/>
        <v>4.1122172481020038E-3</v>
      </c>
      <c r="E91" s="9">
        <f t="shared" si="13"/>
        <v>-2.6584023747319306E-3</v>
      </c>
      <c r="F91" s="9">
        <f t="shared" si="14"/>
        <v>2053782.3898113864</v>
      </c>
      <c r="G91" s="9">
        <f t="shared" si="15"/>
        <v>-1304779.230945315</v>
      </c>
      <c r="H91" s="9">
        <f t="shared" si="16"/>
        <v>790.62641300459075</v>
      </c>
      <c r="I91" s="9">
        <f t="shared" si="17"/>
        <v>-522.73020802206042</v>
      </c>
      <c r="J91" s="15"/>
      <c r="K91" s="15"/>
      <c r="L91" s="9">
        <f t="shared" si="18"/>
        <v>285766761.32736474</v>
      </c>
    </row>
    <row r="92" spans="1:12" x14ac:dyDescent="0.35">
      <c r="A92" s="9">
        <v>4200</v>
      </c>
      <c r="B92" s="9">
        <f t="shared" si="10"/>
        <v>9.841611246022298</v>
      </c>
      <c r="C92" s="9">
        <f t="shared" si="11"/>
        <v>-6.3815878505250518</v>
      </c>
      <c r="D92" s="9">
        <f t="shared" si="12"/>
        <v>4.1444157737761502E-3</v>
      </c>
      <c r="E92" s="9">
        <f t="shared" si="13"/>
        <v>-2.678841937155819E-3</v>
      </c>
      <c r="F92" s="9">
        <f t="shared" si="14"/>
        <v>2014251.0691611569</v>
      </c>
      <c r="G92" s="9">
        <f t="shared" si="15"/>
        <v>-1278642.720544212</v>
      </c>
      <c r="H92" s="9">
        <f t="shared" si="16"/>
        <v>790.62641300459075</v>
      </c>
      <c r="I92" s="9">
        <f t="shared" si="17"/>
        <v>-522.73020802206042</v>
      </c>
      <c r="J92" s="15"/>
      <c r="K92" s="15"/>
      <c r="L92" s="9">
        <f t="shared" si="18"/>
        <v>284351115.03744334</v>
      </c>
    </row>
    <row r="93" spans="1:12" x14ac:dyDescent="0.35">
      <c r="A93" s="9">
        <v>4250</v>
      </c>
      <c r="B93" s="9">
        <f t="shared" si="10"/>
        <v>10.050418261933977</v>
      </c>
      <c r="C93" s="9">
        <f t="shared" si="11"/>
        <v>-6.5165360442980349</v>
      </c>
      <c r="D93" s="9">
        <f t="shared" si="12"/>
        <v>4.1761403182335914E-3</v>
      </c>
      <c r="E93" s="9">
        <f t="shared" si="13"/>
        <v>-2.6989638754596566E-3</v>
      </c>
      <c r="F93" s="9">
        <f t="shared" si="14"/>
        <v>1974719.7485109274</v>
      </c>
      <c r="G93" s="9">
        <f t="shared" si="15"/>
        <v>-1252506.2101431091</v>
      </c>
      <c r="H93" s="9">
        <f t="shared" si="16"/>
        <v>790.62641300459075</v>
      </c>
      <c r="I93" s="9">
        <f t="shared" si="17"/>
        <v>-522.73020802206042</v>
      </c>
      <c r="J93" s="15"/>
      <c r="K93" s="15"/>
      <c r="L93" s="9">
        <f t="shared" si="18"/>
        <v>282935468.74752194</v>
      </c>
    </row>
    <row r="94" spans="1:12" x14ac:dyDescent="0.35">
      <c r="A94" s="9">
        <v>4300</v>
      </c>
      <c r="B94" s="9">
        <f t="shared" si="10"/>
        <v>10.260787567662222</v>
      </c>
      <c r="C94" s="9">
        <f t="shared" si="11"/>
        <v>-6.6524742940602257</v>
      </c>
      <c r="D94" s="9">
        <f t="shared" si="12"/>
        <v>4.2073861145648789E-3</v>
      </c>
      <c r="E94" s="9">
        <f t="shared" si="13"/>
        <v>-2.7187649952438225E-3</v>
      </c>
      <c r="F94" s="9">
        <f t="shared" si="14"/>
        <v>1935188.427860698</v>
      </c>
      <c r="G94" s="9">
        <f t="shared" si="15"/>
        <v>-1226369.6997420061</v>
      </c>
      <c r="H94" s="9">
        <f t="shared" si="16"/>
        <v>790.62641300459075</v>
      </c>
      <c r="I94" s="9">
        <f t="shared" si="17"/>
        <v>-522.73020802206042</v>
      </c>
      <c r="J94" s="15"/>
      <c r="K94" s="15"/>
      <c r="L94" s="9">
        <f t="shared" si="18"/>
        <v>281519822.45760053</v>
      </c>
    </row>
    <row r="95" spans="1:12" x14ac:dyDescent="0.35">
      <c r="A95" s="9">
        <v>4350</v>
      </c>
      <c r="B95" s="9">
        <f t="shared" si="10"/>
        <v>10.472694983841457</v>
      </c>
      <c r="C95" s="9">
        <f t="shared" si="11"/>
        <v>-6.7893863967439865</v>
      </c>
      <c r="D95" s="9">
        <f t="shared" si="12"/>
        <v>4.2381483235846935E-3</v>
      </c>
      <c r="E95" s="9">
        <f t="shared" si="13"/>
        <v>-2.7382420536752154E-3</v>
      </c>
      <c r="F95" s="9">
        <f t="shared" si="14"/>
        <v>1895657.1072104685</v>
      </c>
      <c r="G95" s="9">
        <f t="shared" si="15"/>
        <v>-1200233.1893409032</v>
      </c>
      <c r="H95" s="9">
        <f t="shared" si="16"/>
        <v>790.62641300459075</v>
      </c>
      <c r="I95" s="9">
        <f t="shared" si="17"/>
        <v>-522.73020802206042</v>
      </c>
      <c r="J95" s="15"/>
      <c r="K95" s="15"/>
      <c r="L95" s="9">
        <f t="shared" si="18"/>
        <v>280104176.16767913</v>
      </c>
    </row>
    <row r="96" spans="1:12" x14ac:dyDescent="0.35">
      <c r="A96" s="9">
        <v>4400</v>
      </c>
      <c r="B96" s="9">
        <f t="shared" si="10"/>
        <v>10.686116085459622</v>
      </c>
      <c r="C96" s="9">
        <f t="shared" si="11"/>
        <v>-6.9272559846691442</v>
      </c>
      <c r="D96" s="9">
        <f t="shared" si="12"/>
        <v>4.2684220323632944E-3</v>
      </c>
      <c r="E96" s="9">
        <f t="shared" si="13"/>
        <v>-2.7573917585031497E-3</v>
      </c>
      <c r="F96" s="9">
        <f t="shared" si="14"/>
        <v>1856125.786560239</v>
      </c>
      <c r="G96" s="9">
        <f t="shared" si="15"/>
        <v>-1174096.6789398002</v>
      </c>
      <c r="H96" s="9">
        <f t="shared" si="16"/>
        <v>790.62641300459075</v>
      </c>
      <c r="I96" s="9">
        <f t="shared" si="17"/>
        <v>-522.73020802206042</v>
      </c>
      <c r="J96" s="15"/>
      <c r="K96" s="15"/>
      <c r="L96" s="9">
        <f t="shared" si="18"/>
        <v>278688529.87775773</v>
      </c>
    </row>
    <row r="97" spans="1:12" x14ac:dyDescent="0.35">
      <c r="A97" s="9">
        <v>4450</v>
      </c>
      <c r="B97" s="9">
        <f t="shared" si="10"/>
        <v>10.901026198095646</v>
      </c>
      <c r="C97" s="9">
        <f t="shared" si="11"/>
        <v>-7.0660665230216502</v>
      </c>
      <c r="D97" s="9">
        <f t="shared" si="12"/>
        <v>4.2982022527204809E-3</v>
      </c>
      <c r="E97" s="9">
        <f t="shared" si="13"/>
        <v>-2.7762107670501286E-3</v>
      </c>
      <c r="F97" s="9">
        <f t="shared" si="14"/>
        <v>1816594.4659100096</v>
      </c>
      <c r="G97" s="9">
        <f t="shared" si="15"/>
        <v>-1147960.1685386973</v>
      </c>
      <c r="H97" s="9">
        <f t="shared" si="16"/>
        <v>790.62641300459075</v>
      </c>
      <c r="I97" s="9">
        <f t="shared" si="17"/>
        <v>-522.73020802206042</v>
      </c>
      <c r="J97" s="15"/>
      <c r="K97" s="15"/>
      <c r="L97" s="9">
        <f t="shared" si="18"/>
        <v>277272883.58783633</v>
      </c>
    </row>
    <row r="98" spans="1:12" x14ac:dyDescent="0.35">
      <c r="A98" s="9">
        <v>4500</v>
      </c>
      <c r="B98" s="9">
        <f t="shared" si="10"/>
        <v>11.117400394079691</v>
      </c>
      <c r="C98" s="9">
        <f t="shared" si="11"/>
        <v>-7.2058013072804865</v>
      </c>
      <c r="D98" s="9">
        <f t="shared" si="12"/>
        <v>4.327483919680907E-3</v>
      </c>
      <c r="E98" s="9">
        <f t="shared" si="13"/>
        <v>-2.7946956851767212E-3</v>
      </c>
      <c r="F98" s="9">
        <f t="shared" si="14"/>
        <v>1777063.1452597801</v>
      </c>
      <c r="G98" s="9">
        <f t="shared" si="15"/>
        <v>-1121823.6581375943</v>
      </c>
      <c r="H98" s="9">
        <f t="shared" si="16"/>
        <v>790.62641300459075</v>
      </c>
      <c r="I98" s="9">
        <f t="shared" si="17"/>
        <v>-522.73020802206042</v>
      </c>
      <c r="J98" s="15"/>
      <c r="K98" s="15"/>
      <c r="L98" s="9">
        <f t="shared" si="18"/>
        <v>275857237.29791492</v>
      </c>
    </row>
    <row r="99" spans="1:12" x14ac:dyDescent="0.35">
      <c r="A99" s="9">
        <v>4550</v>
      </c>
      <c r="B99" s="9">
        <f t="shared" si="10"/>
        <v>11.335213488574169</v>
      </c>
      <c r="C99" s="9">
        <f t="shared" si="11"/>
        <v>-7.3464434605914732</v>
      </c>
      <c r="D99" s="9">
        <f t="shared" si="12"/>
        <v>4.3562618898895598E-3</v>
      </c>
      <c r="E99" s="9">
        <f t="shared" si="13"/>
        <v>-2.8128430662197421E-3</v>
      </c>
      <c r="F99" s="9">
        <f t="shared" si="14"/>
        <v>1737531.8246095506</v>
      </c>
      <c r="G99" s="9">
        <f t="shared" si="15"/>
        <v>-1095687.1477364914</v>
      </c>
      <c r="H99" s="9">
        <f t="shared" si="16"/>
        <v>790.62641300459075</v>
      </c>
      <c r="I99" s="9">
        <f t="shared" si="17"/>
        <v>-522.73020802206042</v>
      </c>
      <c r="J99" s="15"/>
      <c r="K99" s="15"/>
      <c r="L99" s="9">
        <f t="shared" si="18"/>
        <v>274441591.00799352</v>
      </c>
    </row>
    <row r="100" spans="1:12" x14ac:dyDescent="0.35">
      <c r="A100" s="9">
        <v>4600</v>
      </c>
      <c r="B100" s="9">
        <f t="shared" si="10"/>
        <v>11.554440035573476</v>
      </c>
      <c r="C100" s="9">
        <f t="shared" si="11"/>
        <v>-7.4879759310866181</v>
      </c>
      <c r="D100" s="9">
        <f t="shared" si="12"/>
        <v>4.3845309399861568E-3</v>
      </c>
      <c r="E100" s="9">
        <f t="shared" si="13"/>
        <v>-2.8306494099029039E-3</v>
      </c>
      <c r="F100" s="9">
        <f t="shared" si="14"/>
        <v>1698000.5039593212</v>
      </c>
      <c r="G100" s="9">
        <f t="shared" si="15"/>
        <v>-1069550.6373353885</v>
      </c>
      <c r="H100" s="9">
        <f t="shared" si="16"/>
        <v>790.62641300459075</v>
      </c>
      <c r="I100" s="9">
        <f t="shared" si="17"/>
        <v>-522.73020802206042</v>
      </c>
      <c r="J100" s="15"/>
      <c r="K100" s="15"/>
      <c r="L100" s="9">
        <f t="shared" si="18"/>
        <v>273025944.71807212</v>
      </c>
    </row>
    <row r="101" spans="1:12" x14ac:dyDescent="0.35">
      <c r="A101" s="9">
        <v>4650</v>
      </c>
      <c r="B101" s="9">
        <f t="shared" si="10"/>
        <v>11.775054323820335</v>
      </c>
      <c r="C101" s="9">
        <f t="shared" si="11"/>
        <v>-7.6303814891475721</v>
      </c>
      <c r="D101" s="9">
        <f t="shared" si="12"/>
        <v>4.4122857649371806E-3</v>
      </c>
      <c r="E101" s="9">
        <f t="shared" si="13"/>
        <v>-2.8481111612190806E-3</v>
      </c>
      <c r="F101" s="9">
        <f t="shared" si="14"/>
        <v>1658469.1833090917</v>
      </c>
      <c r="G101" s="9">
        <f t="shared" si="15"/>
        <v>-1043414.1269342854</v>
      </c>
      <c r="H101" s="9">
        <f t="shared" si="16"/>
        <v>790.62641300459075</v>
      </c>
      <c r="I101" s="9">
        <f t="shared" si="17"/>
        <v>-522.73020802206042</v>
      </c>
      <c r="J101" s="15"/>
      <c r="K101" s="15"/>
      <c r="L101" s="9">
        <f t="shared" si="18"/>
        <v>271610298.42815071</v>
      </c>
    </row>
    <row r="102" spans="1:12" x14ac:dyDescent="0.35">
      <c r="A102" s="9">
        <v>4700</v>
      </c>
      <c r="B102" s="9">
        <f t="shared" si="10"/>
        <v>11.997030372636546</v>
      </c>
      <c r="C102" s="9">
        <f t="shared" si="11"/>
        <v>-7.7736427246117366</v>
      </c>
      <c r="D102" s="9">
        <f t="shared" si="12"/>
        <v>4.4395209763242157E-3</v>
      </c>
      <c r="E102" s="9">
        <f t="shared" si="13"/>
        <v>-2.8652247092832901E-3</v>
      </c>
      <c r="F102" s="9">
        <f t="shared" si="14"/>
        <v>1618937.8626588623</v>
      </c>
      <c r="G102" s="9">
        <f t="shared" si="15"/>
        <v>-1017277.6165331823</v>
      </c>
      <c r="H102" s="9">
        <f t="shared" si="16"/>
        <v>790.62641300459075</v>
      </c>
      <c r="I102" s="9">
        <f t="shared" si="17"/>
        <v>-522.73020802206042</v>
      </c>
      <c r="J102" s="15"/>
      <c r="K102" s="15"/>
      <c r="L102" s="9">
        <f t="shared" si="18"/>
        <v>270194652.13822931</v>
      </c>
    </row>
    <row r="103" spans="1:12" x14ac:dyDescent="0.35">
      <c r="A103" s="9">
        <v>4750</v>
      </c>
      <c r="B103" s="9">
        <f t="shared" si="10"/>
        <v>12.220341927665906</v>
      </c>
      <c r="C103" s="9">
        <f t="shared" si="11"/>
        <v>-7.9177420439195103</v>
      </c>
      <c r="D103" s="9">
        <f t="shared" si="12"/>
        <v>4.466231100587215E-3</v>
      </c>
      <c r="E103" s="9">
        <f t="shared" si="13"/>
        <v>-2.8819863861554692E-3</v>
      </c>
      <c r="F103" s="9">
        <f t="shared" si="14"/>
        <v>1579406.5420086328</v>
      </c>
      <c r="G103" s="9">
        <f t="shared" si="15"/>
        <v>-991141.10613207927</v>
      </c>
      <c r="H103" s="9">
        <f t="shared" si="16"/>
        <v>790.62641300459075</v>
      </c>
      <c r="I103" s="9">
        <f t="shared" si="17"/>
        <v>-522.73020802206042</v>
      </c>
      <c r="J103" s="15"/>
      <c r="K103" s="15"/>
      <c r="L103" s="9">
        <f t="shared" si="18"/>
        <v>268779005.84830791</v>
      </c>
    </row>
    <row r="104" spans="1:12" x14ac:dyDescent="0.35">
      <c r="A104" s="9">
        <v>4800</v>
      </c>
      <c r="B104" s="9">
        <f t="shared" si="10"/>
        <v>12.444962456526969</v>
      </c>
      <c r="C104" s="9">
        <f t="shared" si="11"/>
        <v>-8.0626616672011142</v>
      </c>
      <c r="D104" s="9">
        <f t="shared" si="12"/>
        <v>4.4924105772212522E-3</v>
      </c>
      <c r="E104" s="9">
        <f t="shared" si="13"/>
        <v>-2.898392465632085E-3</v>
      </c>
      <c r="F104" s="9">
        <f t="shared" si="14"/>
        <v>1539875.2213584033</v>
      </c>
      <c r="G104" s="9">
        <f t="shared" si="15"/>
        <v>-965004.5957309762</v>
      </c>
      <c r="H104" s="9">
        <f t="shared" si="16"/>
        <v>790.62641300459075</v>
      </c>
      <c r="I104" s="9">
        <f t="shared" si="17"/>
        <v>-522.73020802206042</v>
      </c>
      <c r="J104" s="15"/>
      <c r="K104" s="15"/>
      <c r="L104" s="9">
        <f t="shared" si="18"/>
        <v>267363359.55838653</v>
      </c>
    </row>
    <row r="105" spans="1:12" x14ac:dyDescent="0.35">
      <c r="A105" s="9">
        <v>4850</v>
      </c>
      <c r="B105" s="9">
        <f t="shared" si="10"/>
        <v>12.670865144373234</v>
      </c>
      <c r="C105" s="9">
        <f t="shared" si="11"/>
        <v>-8.2083836253013942</v>
      </c>
      <c r="D105" s="9">
        <f t="shared" si="12"/>
        <v>4.5180537569252813E-3</v>
      </c>
      <c r="E105" s="9">
        <f t="shared" si="13"/>
        <v>-2.9144391620055821E-3</v>
      </c>
      <c r="F105" s="9">
        <f t="shared" si="14"/>
        <v>1500343.9007081739</v>
      </c>
      <c r="G105" s="9">
        <f t="shared" si="15"/>
        <v>-938868.08532987314</v>
      </c>
      <c r="H105" s="9">
        <f t="shared" si="16"/>
        <v>790.62641300459075</v>
      </c>
      <c r="I105" s="9">
        <f t="shared" si="17"/>
        <v>-522.73020802206042</v>
      </c>
      <c r="J105" s="15"/>
      <c r="K105" s="15"/>
      <c r="L105" s="9">
        <f t="shared" si="18"/>
        <v>265947713.26846516</v>
      </c>
    </row>
    <row r="106" spans="1:12" x14ac:dyDescent="0.35">
      <c r="A106" s="9">
        <v>4900</v>
      </c>
      <c r="B106" s="9">
        <f t="shared" si="10"/>
        <v>12.898022889358302</v>
      </c>
      <c r="C106" s="9">
        <f t="shared" si="11"/>
        <v>-8.3548897567409259</v>
      </c>
      <c r="D106" s="9">
        <f t="shared" si="12"/>
        <v>4.543154899701367E-3</v>
      </c>
      <c r="E106" s="9">
        <f t="shared" si="13"/>
        <v>-2.930122628790637E-3</v>
      </c>
      <c r="F106" s="9">
        <f t="shared" si="14"/>
        <v>1460812.5800579444</v>
      </c>
      <c r="G106" s="9">
        <f t="shared" si="15"/>
        <v>-912731.57492877007</v>
      </c>
      <c r="H106" s="9">
        <f t="shared" si="16"/>
        <v>790.62641300459075</v>
      </c>
      <c r="I106" s="9">
        <f t="shared" si="17"/>
        <v>-522.73020802206042</v>
      </c>
      <c r="J106" s="15"/>
      <c r="K106" s="15"/>
      <c r="L106" s="9">
        <f t="shared" si="18"/>
        <v>264532066.97854379</v>
      </c>
    </row>
    <row r="107" spans="1:12" x14ac:dyDescent="0.35">
      <c r="A107" s="9">
        <v>4950</v>
      </c>
      <c r="B107" s="9">
        <f t="shared" si="10"/>
        <v>13.12640829800344</v>
      </c>
      <c r="C107" s="9">
        <f t="shared" si="11"/>
        <v>-8.5021617046117335</v>
      </c>
      <c r="D107" s="9">
        <f t="shared" si="12"/>
        <v>4.5677081729027739E-3</v>
      </c>
      <c r="E107" s="9">
        <f t="shared" si="13"/>
        <v>-2.9454389574161471E-3</v>
      </c>
      <c r="F107" s="9">
        <f t="shared" si="14"/>
        <v>1421281.2594077149</v>
      </c>
      <c r="G107" s="9">
        <f t="shared" si="15"/>
        <v>-886595.06452766701</v>
      </c>
      <c r="H107" s="9">
        <f t="shared" si="16"/>
        <v>790.62641300459075</v>
      </c>
      <c r="I107" s="9">
        <f t="shared" si="17"/>
        <v>-522.73020802206042</v>
      </c>
      <c r="J107" s="15"/>
      <c r="K107" s="15"/>
      <c r="L107" s="9">
        <f t="shared" si="18"/>
        <v>263116420.68862242</v>
      </c>
    </row>
    <row r="108" spans="1:12" x14ac:dyDescent="0.35">
      <c r="A108" s="9">
        <v>5000</v>
      </c>
      <c r="B108" s="9">
        <f t="shared" si="10"/>
        <v>13.355993680464904</v>
      </c>
      <c r="C108" s="9">
        <f t="shared" si="11"/>
        <v>-8.6501809134058263</v>
      </c>
      <c r="D108" s="9">
        <f t="shared" si="12"/>
        <v>4.591707649229268E-3</v>
      </c>
      <c r="E108" s="9">
        <f t="shared" si="13"/>
        <v>-2.9603841758818407E-3</v>
      </c>
      <c r="F108" s="9">
        <f t="shared" si="14"/>
        <v>1381749.9387574855</v>
      </c>
      <c r="G108" s="9">
        <f t="shared" si="15"/>
        <v>-860458.55412656395</v>
      </c>
      <c r="H108" s="9">
        <f t="shared" si="16"/>
        <v>790.62641300459075</v>
      </c>
      <c r="I108" s="9">
        <f t="shared" si="17"/>
        <v>-522.73020802206042</v>
      </c>
      <c r="J108" s="15"/>
      <c r="K108" s="15"/>
      <c r="L108" s="9">
        <f t="shared" si="18"/>
        <v>261700774.39870104</v>
      </c>
    </row>
    <row r="109" spans="1:12" x14ac:dyDescent="0.35">
      <c r="A109" s="9">
        <v>5050</v>
      </c>
      <c r="B109" s="9">
        <f t="shared" si="10"/>
        <v>13.586751045698298</v>
      </c>
      <c r="C109" s="9">
        <f t="shared" si="11"/>
        <v>-8.7989286257747441</v>
      </c>
      <c r="D109" s="9">
        <f t="shared" si="12"/>
        <v>4.6151473046678977E-3</v>
      </c>
      <c r="E109" s="9">
        <f t="shared" si="13"/>
        <v>-2.9749542473783571E-3</v>
      </c>
      <c r="F109" s="9">
        <f t="shared" si="14"/>
        <v>1342218.618107256</v>
      </c>
      <c r="G109" s="9">
        <f t="shared" si="15"/>
        <v>-834322.04372546088</v>
      </c>
      <c r="H109" s="9">
        <f t="shared" si="16"/>
        <v>790.62641300459075</v>
      </c>
      <c r="I109" s="9">
        <f t="shared" si="17"/>
        <v>-522.73020802206042</v>
      </c>
      <c r="J109" s="15"/>
      <c r="K109" s="15"/>
      <c r="L109" s="9">
        <f t="shared" si="18"/>
        <v>260285128.10877967</v>
      </c>
    </row>
    <row r="110" spans="1:12" x14ac:dyDescent="0.35">
      <c r="A110" s="9">
        <v>5100</v>
      </c>
      <c r="B110" s="9">
        <f t="shared" si="10"/>
        <v>13.818652096517171</v>
      </c>
      <c r="C110" s="9">
        <f t="shared" si="11"/>
        <v>-8.9483858792182236</v>
      </c>
      <c r="D110" s="9">
        <f t="shared" si="12"/>
        <v>4.638021016377474E-3</v>
      </c>
      <c r="E110" s="9">
        <f t="shared" si="13"/>
        <v>-2.9891450688695918E-3</v>
      </c>
      <c r="F110" s="9">
        <f t="shared" si="14"/>
        <v>1302687.2974570266</v>
      </c>
      <c r="G110" s="9">
        <f t="shared" si="15"/>
        <v>-808185.53332435782</v>
      </c>
      <c r="H110" s="9">
        <f t="shared" si="16"/>
        <v>790.62641300459075</v>
      </c>
      <c r="I110" s="9">
        <f t="shared" si="17"/>
        <v>-522.73020802206042</v>
      </c>
      <c r="J110" s="15"/>
      <c r="K110" s="15"/>
      <c r="L110" s="9">
        <f t="shared" si="18"/>
        <v>258869481.8188583</v>
      </c>
    </row>
    <row r="111" spans="1:12" x14ac:dyDescent="0.35">
      <c r="A111" s="9">
        <v>5150</v>
      </c>
      <c r="B111" s="9">
        <f t="shared" si="10"/>
        <v>14.051668224542915</v>
      </c>
      <c r="C111" s="9">
        <f t="shared" si="11"/>
        <v>-9.0985335027000271</v>
      </c>
      <c r="D111" s="9">
        <f t="shared" si="12"/>
        <v>4.660322560514886E-3</v>
      </c>
      <c r="E111" s="9">
        <f t="shared" si="13"/>
        <v>-3.0029524696360693E-3</v>
      </c>
      <c r="F111" s="9">
        <f t="shared" si="14"/>
        <v>1263155.9768067971</v>
      </c>
      <c r="G111" s="9">
        <f t="shared" si="15"/>
        <v>-782049.02292325476</v>
      </c>
      <c r="H111" s="9">
        <f t="shared" si="16"/>
        <v>790.62641300459075</v>
      </c>
      <c r="I111" s="9">
        <f t="shared" si="17"/>
        <v>-522.73020802206042</v>
      </c>
      <c r="J111" s="15"/>
      <c r="K111" s="15"/>
      <c r="L111" s="9">
        <f t="shared" si="18"/>
        <v>257453835.52893692</v>
      </c>
    </row>
    <row r="112" spans="1:12" x14ac:dyDescent="0.35">
      <c r="A112" s="9">
        <v>5200</v>
      </c>
      <c r="B112" s="9">
        <f t="shared" si="10"/>
        <v>14.285770505042981</v>
      </c>
      <c r="C112" s="9">
        <f t="shared" si="11"/>
        <v>-9.2493521131889302</v>
      </c>
      <c r="D112" s="9">
        <f t="shared" si="12"/>
        <v>4.6820456100013239E-3</v>
      </c>
      <c r="E112" s="9">
        <f t="shared" si="13"/>
        <v>-3.0163722097780459E-3</v>
      </c>
      <c r="F112" s="9">
        <f t="shared" si="14"/>
        <v>1223624.6561565676</v>
      </c>
      <c r="G112" s="9">
        <f t="shared" si="15"/>
        <v>-755912.51252215169</v>
      </c>
      <c r="H112" s="9">
        <f t="shared" si="16"/>
        <v>790.62641300459075</v>
      </c>
      <c r="I112" s="9">
        <f t="shared" si="17"/>
        <v>-522.73020802206042</v>
      </c>
      <c r="J112" s="15"/>
      <c r="K112" s="15"/>
      <c r="L112" s="9">
        <f t="shared" si="18"/>
        <v>256038189.23901555</v>
      </c>
    </row>
    <row r="113" spans="1:12" x14ac:dyDescent="0.35">
      <c r="A113" s="9">
        <v>5250</v>
      </c>
      <c r="B113" s="9">
        <f t="shared" si="10"/>
        <v>14.520929691654301</v>
      </c>
      <c r="C113" s="9">
        <f t="shared" si="11"/>
        <v>-9.4008221121227802</v>
      </c>
      <c r="D113" s="9">
        <f t="shared" si="12"/>
        <v>4.7031837322264085E-3</v>
      </c>
      <c r="E113" s="9">
        <f t="shared" si="13"/>
        <v>-3.0293999786769996E-3</v>
      </c>
      <c r="F113" s="9">
        <f t="shared" si="14"/>
        <v>1184093.3355063382</v>
      </c>
      <c r="G113" s="9">
        <f t="shared" si="15"/>
        <v>-729776.00212104863</v>
      </c>
      <c r="H113" s="9">
        <f t="shared" si="16"/>
        <v>790.62641300459075</v>
      </c>
      <c r="I113" s="9">
        <f t="shared" si="17"/>
        <v>-522.73020802206042</v>
      </c>
      <c r="J113" s="15"/>
      <c r="K113" s="15"/>
      <c r="L113" s="9">
        <f t="shared" si="18"/>
        <v>254622542.94909418</v>
      </c>
    </row>
    <row r="114" spans="1:12" x14ac:dyDescent="0.35">
      <c r="A114" s="9">
        <v>5300</v>
      </c>
      <c r="B114" s="9">
        <f t="shared" si="10"/>
        <v>14.757116210988707</v>
      </c>
      <c r="C114" s="9">
        <f t="shared" si="11"/>
        <v>-9.5529236817934855</v>
      </c>
      <c r="D114" s="9">
        <f t="shared" si="12"/>
        <v>4.7237303866881361E-3</v>
      </c>
      <c r="E114" s="9">
        <f t="shared" si="13"/>
        <v>-3.0420313934141144E-3</v>
      </c>
      <c r="F114" s="9">
        <f t="shared" si="14"/>
        <v>1144562.0148561087</v>
      </c>
      <c r="G114" s="9">
        <f t="shared" si="15"/>
        <v>-703639.49171994557</v>
      </c>
      <c r="H114" s="9">
        <f t="shared" si="16"/>
        <v>790.62641300459075</v>
      </c>
      <c r="I114" s="9">
        <f t="shared" si="17"/>
        <v>-522.73020802206042</v>
      </c>
      <c r="J114" s="15"/>
      <c r="K114" s="15"/>
      <c r="L114" s="9">
        <f t="shared" si="18"/>
        <v>253206896.6591728</v>
      </c>
    </row>
    <row r="115" spans="1:12" x14ac:dyDescent="0.35">
      <c r="A115" s="9">
        <v>5350</v>
      </c>
      <c r="B115" s="9">
        <f t="shared" si="10"/>
        <v>14.994300157117031</v>
      </c>
      <c r="C115" s="9">
        <f t="shared" si="11"/>
        <v>-9.7056367816506999</v>
      </c>
      <c r="D115" s="9">
        <f t="shared" si="12"/>
        <v>4.7436789225664836E-3</v>
      </c>
      <c r="E115" s="9">
        <f t="shared" si="13"/>
        <v>-3.054261997144302E-3</v>
      </c>
      <c r="F115" s="9">
        <f t="shared" si="14"/>
        <v>1105030.6942058792</v>
      </c>
      <c r="G115" s="9">
        <f t="shared" si="15"/>
        <v>-677502.9813188425</v>
      </c>
      <c r="H115" s="9">
        <f t="shared" si="16"/>
        <v>790.62641300459075</v>
      </c>
      <c r="I115" s="9">
        <f t="shared" si="17"/>
        <v>-522.73020802206042</v>
      </c>
      <c r="J115" s="15"/>
      <c r="K115" s="15"/>
      <c r="L115" s="9">
        <f t="shared" si="18"/>
        <v>251791250.36925143</v>
      </c>
    </row>
    <row r="116" spans="1:12" x14ac:dyDescent="0.35">
      <c r="A116" s="9">
        <v>5400</v>
      </c>
      <c r="B116" s="9">
        <f t="shared" si="10"/>
        <v>15.232451285928452</v>
      </c>
      <c r="C116" s="9">
        <f t="shared" si="11"/>
        <v>-9.8589411445219124</v>
      </c>
      <c r="D116" s="9">
        <f t="shared" si="12"/>
        <v>4.7630225762284152E-3</v>
      </c>
      <c r="E116" s="9">
        <f t="shared" si="13"/>
        <v>-3.0660872574242598E-3</v>
      </c>
      <c r="F116" s="9">
        <f t="shared" si="14"/>
        <v>1065499.3735556498</v>
      </c>
      <c r="G116" s="9">
        <f t="shared" si="15"/>
        <v>-651366.47091773944</v>
      </c>
      <c r="H116" s="9">
        <f t="shared" si="16"/>
        <v>790.62641300459075</v>
      </c>
      <c r="I116" s="9">
        <f t="shared" si="17"/>
        <v>-522.73020802206042</v>
      </c>
      <c r="J116" s="15"/>
      <c r="K116" s="15"/>
      <c r="L116" s="9">
        <f t="shared" si="18"/>
        <v>250375604.07933006</v>
      </c>
    </row>
    <row r="117" spans="1:12" x14ac:dyDescent="0.35">
      <c r="A117" s="9">
        <v>5450</v>
      </c>
      <c r="B117" s="9">
        <f t="shared" si="10"/>
        <v>15.47153900936155</v>
      </c>
      <c r="C117" s="9">
        <f t="shared" si="11"/>
        <v>-10.012816272746562</v>
      </c>
      <c r="D117" s="9">
        <f t="shared" si="12"/>
        <v>4.7817544686619565E-3</v>
      </c>
      <c r="E117" s="9">
        <f t="shared" si="13"/>
        <v>-3.077502564492992E-3</v>
      </c>
      <c r="F117" s="9">
        <f t="shared" si="14"/>
        <v>1025968.0529054202</v>
      </c>
      <c r="G117" s="9">
        <f t="shared" si="15"/>
        <v>-625229.96051663638</v>
      </c>
      <c r="H117" s="9">
        <f t="shared" si="16"/>
        <v>790.62641300459075</v>
      </c>
      <c r="I117" s="9">
        <f t="shared" si="17"/>
        <v>-522.73020802206042</v>
      </c>
      <c r="J117" s="15"/>
      <c r="K117" s="15"/>
      <c r="L117" s="9">
        <f t="shared" si="18"/>
        <v>248959957.78940868</v>
      </c>
    </row>
    <row r="118" spans="1:12" x14ac:dyDescent="0.35">
      <c r="A118" s="9">
        <v>5500</v>
      </c>
      <c r="B118" s="9">
        <f t="shared" si="10"/>
        <v>15.711532389503395</v>
      </c>
      <c r="C118" s="9">
        <f t="shared" si="11"/>
        <v>-10.167241434221721</v>
      </c>
      <c r="D118" s="9">
        <f t="shared" si="12"/>
        <v>4.7998676028368934E-3</v>
      </c>
      <c r="E118" s="9">
        <f t="shared" si="13"/>
        <v>-3.0885032295031646E-3</v>
      </c>
      <c r="F118" s="9">
        <f t="shared" si="14"/>
        <v>986436.73225519061</v>
      </c>
      <c r="G118" s="9">
        <f t="shared" si="15"/>
        <v>-599093.45011553331</v>
      </c>
      <c r="H118" s="9">
        <f t="shared" si="16"/>
        <v>790.62641300459075</v>
      </c>
      <c r="I118" s="9">
        <f t="shared" si="17"/>
        <v>-522.73020802206042</v>
      </c>
      <c r="J118" s="15"/>
      <c r="K118" s="15"/>
      <c r="L118" s="9">
        <f t="shared" si="18"/>
        <v>247544311.49948731</v>
      </c>
    </row>
    <row r="119" spans="1:12" x14ac:dyDescent="0.35">
      <c r="A119" s="9">
        <v>5550</v>
      </c>
      <c r="B119" s="9">
        <f t="shared" si="10"/>
        <v>15.952400132552874</v>
      </c>
      <c r="C119" s="9">
        <f t="shared" si="11"/>
        <v>-10.322195658356801</v>
      </c>
      <c r="D119" s="9">
        <f t="shared" si="12"/>
        <v>4.8173548609895776E-3</v>
      </c>
      <c r="E119" s="9">
        <f t="shared" si="13"/>
        <v>-3.0990844827015972E-3</v>
      </c>
      <c r="F119" s="9">
        <f t="shared" si="14"/>
        <v>946905.41160496103</v>
      </c>
      <c r="G119" s="9">
        <f t="shared" si="15"/>
        <v>-572956.93971443025</v>
      </c>
      <c r="H119" s="9">
        <f t="shared" si="16"/>
        <v>790.62641300459075</v>
      </c>
      <c r="I119" s="9">
        <f t="shared" si="17"/>
        <v>-522.73020802206042</v>
      </c>
      <c r="J119" s="15"/>
      <c r="K119" s="15"/>
      <c r="L119" s="9">
        <f t="shared" si="18"/>
        <v>246128665.20956594</v>
      </c>
    </row>
    <row r="120" spans="1:12" x14ac:dyDescent="0.35">
      <c r="A120" s="9">
        <v>5600</v>
      </c>
      <c r="B120" s="9">
        <f t="shared" si="10"/>
        <v>16.194110582644335</v>
      </c>
      <c r="C120" s="9">
        <f t="shared" si="11"/>
        <v>-10.477657731934658</v>
      </c>
      <c r="D120" s="9">
        <f t="shared" si="12"/>
        <v>4.8342090018291877E-3</v>
      </c>
      <c r="E120" s="9">
        <f t="shared" si="13"/>
        <v>-3.1092414715571262E-3</v>
      </c>
      <c r="F120" s="9">
        <f t="shared" si="14"/>
        <v>907374.09095473145</v>
      </c>
      <c r="G120" s="9">
        <f t="shared" si="15"/>
        <v>-546820.42931332719</v>
      </c>
      <c r="H120" s="9">
        <f t="shared" si="16"/>
        <v>790.62641300459075</v>
      </c>
      <c r="I120" s="9">
        <f t="shared" si="17"/>
        <v>-522.73020802206042</v>
      </c>
      <c r="J120" s="15"/>
      <c r="K120" s="15"/>
      <c r="L120" s="9">
        <f t="shared" si="18"/>
        <v>244713018.91964456</v>
      </c>
    </row>
    <row r="121" spans="1:12" x14ac:dyDescent="0.35">
      <c r="A121" s="9">
        <v>5650</v>
      </c>
      <c r="B121" s="9">
        <f t="shared" si="10"/>
        <v>16.436631715527472</v>
      </c>
      <c r="C121" s="9">
        <f t="shared" si="11"/>
        <v>-10.633606194876357</v>
      </c>
      <c r="D121" s="9">
        <f t="shared" si="12"/>
        <v>4.8504226576627178E-3</v>
      </c>
      <c r="E121" s="9">
        <f t="shared" si="13"/>
        <v>-3.1189692588340016E-3</v>
      </c>
      <c r="F121" s="9">
        <f t="shared" si="14"/>
        <v>867842.77030450187</v>
      </c>
      <c r="G121" s="9">
        <f t="shared" si="15"/>
        <v>-520683.91891222418</v>
      </c>
      <c r="H121" s="9">
        <f t="shared" si="16"/>
        <v>790.62641300459075</v>
      </c>
      <c r="I121" s="9">
        <f t="shared" si="17"/>
        <v>-522.73020802206042</v>
      </c>
      <c r="J121" s="15"/>
      <c r="K121" s="15"/>
      <c r="L121" s="9">
        <f t="shared" si="18"/>
        <v>243297372.62972319</v>
      </c>
    </row>
    <row r="122" spans="1:12" x14ac:dyDescent="0.35">
      <c r="A122" s="9">
        <v>5700</v>
      </c>
      <c r="B122" s="9">
        <f t="shared" si="10"/>
        <v>16.679939305741406</v>
      </c>
      <c r="C122" s="9">
        <f t="shared" si="11"/>
        <v>-10.790024841600651</v>
      </c>
      <c r="D122" s="9">
        <f t="shared" si="12"/>
        <v>4.8661518042787217E-3</v>
      </c>
      <c r="E122" s="9">
        <f t="shared" si="13"/>
        <v>-3.1283729344858671E-3</v>
      </c>
      <c r="F122" s="9">
        <f t="shared" si="14"/>
        <v>837010.49021277612</v>
      </c>
      <c r="G122" s="9">
        <f t="shared" si="15"/>
        <v>-500407.00613480987</v>
      </c>
      <c r="H122" s="9">
        <f t="shared" si="16"/>
        <v>616.64560183451579</v>
      </c>
      <c r="I122" s="9">
        <f t="shared" si="17"/>
        <v>-405.53825554828632</v>
      </c>
      <c r="J122" s="15">
        <v>-173.98081117007496</v>
      </c>
      <c r="K122" s="15">
        <v>117.19195247377411</v>
      </c>
      <c r="L122" s="9">
        <f t="shared" si="18"/>
        <v>241881726.33980182</v>
      </c>
    </row>
    <row r="123" spans="1:12" x14ac:dyDescent="0.35">
      <c r="A123" s="9">
        <v>5750</v>
      </c>
      <c r="B123" s="9">
        <f t="shared" si="10"/>
        <v>16.924008842590162</v>
      </c>
      <c r="C123" s="9">
        <f t="shared" si="11"/>
        <v>-10.946897275718744</v>
      </c>
      <c r="D123" s="9">
        <f t="shared" si="12"/>
        <v>4.8813907369750966E-3</v>
      </c>
      <c r="E123" s="9">
        <f t="shared" si="13"/>
        <v>-3.1374486823618594E-3</v>
      </c>
      <c r="F123" s="9">
        <f t="shared" si="14"/>
        <v>806178.21012105036</v>
      </c>
      <c r="G123" s="9">
        <f t="shared" si="15"/>
        <v>-480130.09335739556</v>
      </c>
      <c r="H123" s="9">
        <f t="shared" si="16"/>
        <v>616.64560183451579</v>
      </c>
      <c r="I123" s="9">
        <f t="shared" si="17"/>
        <v>-405.53825554828632</v>
      </c>
      <c r="J123" s="15"/>
      <c r="K123" s="15"/>
      <c r="L123" s="9">
        <f t="shared" si="18"/>
        <v>240466080.04988045</v>
      </c>
    </row>
    <row r="124" spans="1:12" x14ac:dyDescent="0.35">
      <c r="A124" s="9">
        <v>5800</v>
      </c>
      <c r="B124" s="9">
        <f t="shared" si="10"/>
        <v>17.1688155250752</v>
      </c>
      <c r="C124" s="9">
        <f t="shared" si="11"/>
        <v>-11.104206906644437</v>
      </c>
      <c r="D124" s="9">
        <f t="shared" si="12"/>
        <v>4.896133649700745E-3</v>
      </c>
      <c r="E124" s="9">
        <f t="shared" si="13"/>
        <v>-3.1461926185138763E-3</v>
      </c>
      <c r="F124" s="9">
        <f t="shared" si="14"/>
        <v>775345.93002932461</v>
      </c>
      <c r="G124" s="9">
        <f t="shared" si="15"/>
        <v>-459853.18057998124</v>
      </c>
      <c r="H124" s="9">
        <f t="shared" si="16"/>
        <v>616.64560183451579</v>
      </c>
      <c r="I124" s="9">
        <f t="shared" si="17"/>
        <v>-405.53825554828632</v>
      </c>
      <c r="J124" s="15"/>
      <c r="K124" s="15"/>
      <c r="L124" s="9">
        <f t="shared" si="18"/>
        <v>239050433.75995907</v>
      </c>
    </row>
    <row r="125" spans="1:12" x14ac:dyDescent="0.35">
      <c r="A125" s="9">
        <v>5850</v>
      </c>
      <c r="B125" s="9">
        <f t="shared" si="10"/>
        <v>17.414334256707228</v>
      </c>
      <c r="C125" s="9">
        <f t="shared" si="11"/>
        <v>-11.261936946123489</v>
      </c>
      <c r="D125" s="9">
        <f t="shared" si="12"/>
        <v>4.9103746326405366E-3</v>
      </c>
      <c r="E125" s="9">
        <f t="shared" si="13"/>
        <v>-3.1546007895810399E-3</v>
      </c>
      <c r="F125" s="9">
        <f t="shared" si="14"/>
        <v>744513.64993759885</v>
      </c>
      <c r="G125" s="9">
        <f t="shared" si="15"/>
        <v>-439576.26780256693</v>
      </c>
      <c r="H125" s="9">
        <f t="shared" si="16"/>
        <v>616.64560183451579</v>
      </c>
      <c r="I125" s="9">
        <f t="shared" si="17"/>
        <v>-405.53825554828632</v>
      </c>
      <c r="J125" s="15"/>
      <c r="K125" s="15"/>
      <c r="L125" s="9">
        <f t="shared" si="18"/>
        <v>237634787.4700377</v>
      </c>
    </row>
    <row r="126" spans="1:12" x14ac:dyDescent="0.35">
      <c r="A126" s="9">
        <v>5900</v>
      </c>
      <c r="B126" s="9">
        <f t="shared" si="10"/>
        <v>17.660539640193623</v>
      </c>
      <c r="C126" s="9">
        <f t="shared" si="11"/>
        <v>-11.420070404679777</v>
      </c>
      <c r="D126" s="9">
        <f t="shared" si="12"/>
        <v>4.9241076697279021E-3</v>
      </c>
      <c r="E126" s="9">
        <f t="shared" si="13"/>
        <v>-3.1626691711257515E-3</v>
      </c>
      <c r="F126" s="9">
        <f t="shared" si="14"/>
        <v>713681.36984587309</v>
      </c>
      <c r="G126" s="9">
        <f t="shared" si="15"/>
        <v>-419299.35502515262</v>
      </c>
      <c r="H126" s="9">
        <f t="shared" si="16"/>
        <v>616.64560183451579</v>
      </c>
      <c r="I126" s="9">
        <f t="shared" si="17"/>
        <v>-405.53825554828632</v>
      </c>
      <c r="J126" s="15"/>
      <c r="K126" s="15"/>
      <c r="L126" s="9">
        <f t="shared" si="18"/>
        <v>236219141.18011633</v>
      </c>
    </row>
    <row r="127" spans="1:12" x14ac:dyDescent="0.35">
      <c r="A127" s="9">
        <v>5950</v>
      </c>
      <c r="B127" s="9">
        <f t="shared" si="10"/>
        <v>17.907405971997743</v>
      </c>
      <c r="C127" s="9">
        <f t="shared" si="11"/>
        <v>-11.578590087975757</v>
      </c>
      <c r="D127" s="9">
        <f t="shared" si="12"/>
        <v>4.9373266360824442E-3</v>
      </c>
      <c r="E127" s="9">
        <f t="shared" si="13"/>
        <v>-3.1703936659195856E-3</v>
      </c>
      <c r="F127" s="9">
        <f t="shared" si="14"/>
        <v>682849.08975414734</v>
      </c>
      <c r="G127" s="9">
        <f t="shared" si="15"/>
        <v>-399022.44224773831</v>
      </c>
      <c r="H127" s="9">
        <f t="shared" si="16"/>
        <v>616.64560183451579</v>
      </c>
      <c r="I127" s="9">
        <f t="shared" si="17"/>
        <v>-405.53825554828632</v>
      </c>
      <c r="J127" s="15"/>
      <c r="K127" s="15"/>
      <c r="L127" s="9">
        <f t="shared" si="18"/>
        <v>234803494.89019495</v>
      </c>
    </row>
    <row r="128" spans="1:12" x14ac:dyDescent="0.35">
      <c r="A128" s="9">
        <v>6000</v>
      </c>
      <c r="B128" s="9">
        <f t="shared" si="10"/>
        <v>18.154907236766235</v>
      </c>
      <c r="C128" s="9">
        <f t="shared" si="11"/>
        <v>-11.737478593084617</v>
      </c>
      <c r="D128" s="9">
        <f t="shared" si="12"/>
        <v>4.9500252953698382E-3</v>
      </c>
      <c r="E128" s="9">
        <f t="shared" si="13"/>
        <v>-3.1777701021771993E-3</v>
      </c>
      <c r="F128" s="9">
        <f t="shared" si="14"/>
        <v>652016.80966242158</v>
      </c>
      <c r="G128" s="9">
        <f t="shared" si="15"/>
        <v>-378745.52947032399</v>
      </c>
      <c r="H128" s="9">
        <f t="shared" si="16"/>
        <v>616.64560183451579</v>
      </c>
      <c r="I128" s="9">
        <f t="shared" si="17"/>
        <v>-405.53825554828632</v>
      </c>
      <c r="J128" s="15"/>
      <c r="K128" s="15"/>
      <c r="L128" s="9">
        <f t="shared" si="18"/>
        <v>233387848.60027358</v>
      </c>
    </row>
    <row r="129" spans="1:12" x14ac:dyDescent="0.35">
      <c r="A129" s="9">
        <v>6050</v>
      </c>
      <c r="B129" s="9">
        <f t="shared" si="10"/>
        <v>18.403017101620293</v>
      </c>
      <c r="C129" s="9">
        <f t="shared" si="11"/>
        <v>-11.896718304671435</v>
      </c>
      <c r="D129" s="9">
        <f t="shared" si="12"/>
        <v>4.9621972970811711E-3</v>
      </c>
      <c r="E129" s="9">
        <f t="shared" si="13"/>
        <v>-3.1847942317363505E-3</v>
      </c>
      <c r="F129" s="9">
        <f t="shared" si="14"/>
        <v>621184.52957069583</v>
      </c>
      <c r="G129" s="9">
        <f t="shared" si="15"/>
        <v>-358468.61669290968</v>
      </c>
      <c r="H129" s="9">
        <f t="shared" si="16"/>
        <v>616.64560183451579</v>
      </c>
      <c r="I129" s="9">
        <f t="shared" si="17"/>
        <v>-405.53825554828632</v>
      </c>
      <c r="J129" s="15"/>
      <c r="K129" s="15"/>
      <c r="L129" s="9">
        <f t="shared" si="18"/>
        <v>231972202.31035221</v>
      </c>
    </row>
    <row r="130" spans="1:12" x14ac:dyDescent="0.35">
      <c r="A130" s="9">
        <v>6100</v>
      </c>
      <c r="B130" s="9">
        <f t="shared" si="10"/>
        <v>18.651708910306731</v>
      </c>
      <c r="C130" s="9">
        <f t="shared" si="11"/>
        <v>-12.056291391080537</v>
      </c>
      <c r="D130" s="9">
        <f t="shared" si="12"/>
        <v>4.973836173728755E-3</v>
      </c>
      <c r="E130" s="9">
        <f t="shared" si="13"/>
        <v>-3.1914617281820446E-3</v>
      </c>
      <c r="F130" s="9">
        <f t="shared" si="14"/>
        <v>590352.24947897007</v>
      </c>
      <c r="G130" s="9">
        <f t="shared" si="15"/>
        <v>-338191.70391549537</v>
      </c>
      <c r="H130" s="9">
        <f t="shared" si="16"/>
        <v>616.64560183451579</v>
      </c>
      <c r="I130" s="9">
        <f t="shared" si="17"/>
        <v>-405.53825554828632</v>
      </c>
      <c r="J130" s="15"/>
      <c r="K130" s="15"/>
      <c r="L130" s="9">
        <f t="shared" si="18"/>
        <v>230556556.02043083</v>
      </c>
    </row>
    <row r="131" spans="1:12" x14ac:dyDescent="0.35">
      <c r="A131" s="9">
        <v>6150</v>
      </c>
      <c r="B131" s="9">
        <f t="shared" si="10"/>
        <v>18.900955677204497</v>
      </c>
      <c r="C131" s="9">
        <f t="shared" si="11"/>
        <v>-12.216179800326174</v>
      </c>
      <c r="D131" s="9">
        <f t="shared" si="12"/>
        <v>4.9849353379553219E-3</v>
      </c>
      <c r="E131" s="9">
        <f t="shared" si="13"/>
        <v>-3.197768184912732E-3</v>
      </c>
      <c r="F131" s="9">
        <f t="shared" si="14"/>
        <v>559519.96938724432</v>
      </c>
      <c r="G131" s="9">
        <f t="shared" si="15"/>
        <v>-317914.79113808105</v>
      </c>
      <c r="H131" s="9">
        <f t="shared" si="16"/>
        <v>616.64560183451579</v>
      </c>
      <c r="I131" s="9">
        <f t="shared" si="17"/>
        <v>-405.53825554828632</v>
      </c>
      <c r="J131" s="15"/>
      <c r="K131" s="15"/>
      <c r="L131" s="9">
        <f t="shared" si="18"/>
        <v>229140909.73050946</v>
      </c>
    </row>
    <row r="132" spans="1:12" x14ac:dyDescent="0.35">
      <c r="A132" s="9">
        <v>6200</v>
      </c>
      <c r="B132" s="9">
        <f t="shared" si="10"/>
        <v>19.150730081182164</v>
      </c>
      <c r="C132" s="9">
        <f t="shared" si="11"/>
        <v>-12.376365255983494</v>
      </c>
      <c r="D132" s="9">
        <f t="shared" si="12"/>
        <v>4.9954880795533623E-3</v>
      </c>
      <c r="E132" s="9">
        <f t="shared" si="13"/>
        <v>-3.203709113146401E-3</v>
      </c>
      <c r="F132" s="9">
        <f t="shared" si="14"/>
        <v>528687.68929551856</v>
      </c>
      <c r="G132" s="9">
        <f t="shared" si="15"/>
        <v>-297637.87836066674</v>
      </c>
      <c r="H132" s="9">
        <f t="shared" si="16"/>
        <v>616.64560183451579</v>
      </c>
      <c r="I132" s="9">
        <f t="shared" si="17"/>
        <v>-405.53825554828632</v>
      </c>
      <c r="J132" s="15"/>
      <c r="K132" s="15"/>
      <c r="L132" s="9">
        <f t="shared" si="18"/>
        <v>227725263.44058809</v>
      </c>
    </row>
    <row r="133" spans="1:12" x14ac:dyDescent="0.35">
      <c r="A133" s="9">
        <v>6250</v>
      </c>
      <c r="B133" s="9">
        <f t="shared" si="10"/>
        <v>19.401004459301728</v>
      </c>
      <c r="C133" s="9">
        <f t="shared" si="11"/>
        <v>-12.536829252976709</v>
      </c>
      <c r="D133" s="9">
        <f t="shared" si="12"/>
        <v>5.0054875623912389E-3</v>
      </c>
      <c r="E133" s="9">
        <f t="shared" si="13"/>
        <v>-3.2092799398643073E-3</v>
      </c>
      <c r="F133" s="9">
        <f t="shared" si="14"/>
        <v>497855.40920379275</v>
      </c>
      <c r="G133" s="9">
        <f t="shared" si="15"/>
        <v>-277360.96558325243</v>
      </c>
      <c r="H133" s="9">
        <f t="shared" si="16"/>
        <v>616.64560183451579</v>
      </c>
      <c r="I133" s="9">
        <f t="shared" si="17"/>
        <v>-405.53825554828632</v>
      </c>
      <c r="J133" s="15"/>
      <c r="K133" s="15"/>
      <c r="L133" s="9">
        <f t="shared" si="18"/>
        <v>226309617.15066671</v>
      </c>
    </row>
    <row r="134" spans="1:12" x14ac:dyDescent="0.35">
      <c r="A134" s="9">
        <v>6300</v>
      </c>
      <c r="B134" s="9">
        <f t="shared" si="10"/>
        <v>19.651759591416212</v>
      </c>
      <c r="C134" s="9">
        <f t="shared" si="11"/>
        <v>-12.697558974837174</v>
      </c>
      <c r="D134" s="9">
        <f t="shared" si="12"/>
        <v>5.015102642289675E-3</v>
      </c>
      <c r="E134" s="9">
        <f t="shared" si="13"/>
        <v>-3.2145944372092955E-3</v>
      </c>
      <c r="F134" s="9">
        <f t="shared" si="14"/>
        <v>475722.1696705707</v>
      </c>
      <c r="G134" s="9">
        <f t="shared" si="15"/>
        <v>-262943.65042952681</v>
      </c>
      <c r="H134" s="9">
        <f t="shared" si="16"/>
        <v>442.66479066444083</v>
      </c>
      <c r="I134" s="9">
        <f t="shared" si="17"/>
        <v>-288.34630307451221</v>
      </c>
      <c r="J134" s="15">
        <v>-173.98081117007496</v>
      </c>
      <c r="K134" s="15">
        <v>117.19195247377411</v>
      </c>
      <c r="L134" s="9">
        <f t="shared" si="18"/>
        <v>224893970.86074534</v>
      </c>
    </row>
    <row r="135" spans="1:12" x14ac:dyDescent="0.35">
      <c r="A135" s="9">
        <v>6350</v>
      </c>
      <c r="B135" s="9">
        <f t="shared" si="10"/>
        <v>19.902976013874675</v>
      </c>
      <c r="C135" s="9">
        <f t="shared" si="11"/>
        <v>-12.85854144272178</v>
      </c>
      <c r="D135" s="9">
        <f t="shared" si="12"/>
        <v>5.0243284491692467E-3</v>
      </c>
      <c r="E135" s="9">
        <f t="shared" si="13"/>
        <v>-3.2196493576921387E-3</v>
      </c>
      <c r="F135" s="9">
        <f t="shared" si="14"/>
        <v>453588.93013734865</v>
      </c>
      <c r="G135" s="9">
        <f t="shared" si="15"/>
        <v>-248526.33527580119</v>
      </c>
      <c r="H135" s="9">
        <f t="shared" si="16"/>
        <v>442.66479066444083</v>
      </c>
      <c r="I135" s="9">
        <f t="shared" si="17"/>
        <v>-288.34630307451221</v>
      </c>
      <c r="J135" s="15"/>
      <c r="K135" s="15"/>
      <c r="L135" s="9">
        <f t="shared" si="18"/>
        <v>223478324.57082397</v>
      </c>
    </row>
    <row r="136" spans="1:12" x14ac:dyDescent="0.35">
      <c r="A136" s="9">
        <v>6400</v>
      </c>
      <c r="B136" s="9">
        <f t="shared" si="10"/>
        <v>20.154634014865199</v>
      </c>
      <c r="C136" s="9">
        <f t="shared" si="11"/>
        <v>-13.019763512307556</v>
      </c>
      <c r="D136" s="9">
        <f t="shared" si="12"/>
        <v>5.033160019810478E-3</v>
      </c>
      <c r="E136" s="9">
        <f t="shared" si="13"/>
        <v>-3.2244413917155226E-3</v>
      </c>
      <c r="F136" s="9">
        <f t="shared" si="14"/>
        <v>431455.6906041266</v>
      </c>
      <c r="G136" s="9">
        <f t="shared" si="15"/>
        <v>-234109.02012207557</v>
      </c>
      <c r="H136" s="9">
        <f t="shared" si="16"/>
        <v>442.66479066444083</v>
      </c>
      <c r="I136" s="9">
        <f t="shared" si="17"/>
        <v>-288.34630307451221</v>
      </c>
      <c r="J136" s="15"/>
      <c r="K136" s="15"/>
      <c r="L136" s="9">
        <f t="shared" si="18"/>
        <v>222062678.28090259</v>
      </c>
    </row>
    <row r="137" spans="1:12" x14ac:dyDescent="0.35">
      <c r="A137" s="9">
        <v>6450</v>
      </c>
      <c r="B137" s="9">
        <f t="shared" si="10"/>
        <v>20.406713629638375</v>
      </c>
      <c r="C137" s="9">
        <f t="shared" si="11"/>
        <v>-13.181211870606562</v>
      </c>
      <c r="D137" s="9">
        <f t="shared" si="12"/>
        <v>5.0415922954635348E-3</v>
      </c>
      <c r="E137" s="9">
        <f t="shared" si="13"/>
        <v>-3.2289671659801312E-3</v>
      </c>
      <c r="F137" s="9">
        <f t="shared" si="14"/>
        <v>409322.45107090456</v>
      </c>
      <c r="G137" s="9">
        <f t="shared" si="15"/>
        <v>-219691.70496834995</v>
      </c>
      <c r="H137" s="9">
        <f t="shared" si="16"/>
        <v>442.66479066444083</v>
      </c>
      <c r="I137" s="9">
        <f t="shared" si="17"/>
        <v>-288.34630307451221</v>
      </c>
      <c r="J137" s="15"/>
      <c r="K137" s="15"/>
      <c r="L137" s="9">
        <f t="shared" si="18"/>
        <v>220647031.99098122</v>
      </c>
    </row>
    <row r="138" spans="1:12" x14ac:dyDescent="0.35">
      <c r="A138" s="9">
        <v>6500</v>
      </c>
      <c r="B138" s="9">
        <f t="shared" ref="B138:B201" si="19">B137+D138*$P$1</f>
        <v>20.659194635607413</v>
      </c>
      <c r="C138" s="9">
        <f t="shared" ref="C138:C201" si="20">C137+E138*$P$1</f>
        <v>-13.342873032698526</v>
      </c>
      <c r="D138" s="9">
        <f t="shared" ref="D138:D201" si="21">D137+F138/$L138/$S$4*$P$1</f>
        <v>5.0496201193807487E-3</v>
      </c>
      <c r="E138" s="9">
        <f t="shared" ref="E138:E201" si="22">E137+G138/$L138/$S$4*$P$1</f>
        <v>-3.233223241839272E-3</v>
      </c>
      <c r="F138" s="9">
        <f t="shared" ref="F138:F201" si="23">F137-H138*$P$1</f>
        <v>387189.21153768251</v>
      </c>
      <c r="G138" s="9">
        <f t="shared" ref="G138:G201" si="24">G137-I138*$P$1</f>
        <v>-205274.38981462433</v>
      </c>
      <c r="H138" s="9">
        <f t="shared" ref="H138:H201" si="25">H137+J138</f>
        <v>442.66479066444083</v>
      </c>
      <c r="I138" s="9">
        <f t="shared" ref="I138:I201" si="26">I137+K138</f>
        <v>-288.34630307451221</v>
      </c>
      <c r="J138" s="15"/>
      <c r="K138" s="15"/>
      <c r="L138" s="9">
        <f t="shared" ref="L138:L201" si="27">IF($A138&lt;1830, $S$1, L137-$S$3)</f>
        <v>219231385.70105985</v>
      </c>
    </row>
    <row r="139" spans="1:12" x14ac:dyDescent="0.35">
      <c r="A139" s="9">
        <v>6550</v>
      </c>
      <c r="B139" s="9">
        <f t="shared" si="19"/>
        <v>20.912056547320862</v>
      </c>
      <c r="C139" s="9">
        <f t="shared" si="20"/>
        <v>-13.504733338378527</v>
      </c>
      <c r="D139" s="9">
        <f t="shared" si="21"/>
        <v>5.0572382342689518E-3</v>
      </c>
      <c r="E139" s="9">
        <f t="shared" si="22"/>
        <v>-3.2372061136000316E-3</v>
      </c>
      <c r="F139" s="9">
        <f t="shared" si="23"/>
        <v>365055.97200446046</v>
      </c>
      <c r="G139" s="9">
        <f t="shared" si="24"/>
        <v>-190857.07466089871</v>
      </c>
      <c r="H139" s="9">
        <f t="shared" si="25"/>
        <v>442.66479066444083</v>
      </c>
      <c r="I139" s="9">
        <f t="shared" si="26"/>
        <v>-288.34630307451221</v>
      </c>
      <c r="J139" s="15"/>
      <c r="K139" s="15"/>
      <c r="L139" s="9">
        <f t="shared" si="27"/>
        <v>217815739.41113847</v>
      </c>
    </row>
    <row r="140" spans="1:12" x14ac:dyDescent="0.35">
      <c r="A140" s="9">
        <v>6600</v>
      </c>
      <c r="B140" s="9">
        <f t="shared" si="19"/>
        <v>21.165278611303787</v>
      </c>
      <c r="C140" s="9">
        <f t="shared" si="20"/>
        <v>-13.666778948716971</v>
      </c>
      <c r="D140" s="9">
        <f t="shared" si="21"/>
        <v>5.0644412796584841E-3</v>
      </c>
      <c r="E140" s="9">
        <f t="shared" si="22"/>
        <v>-3.2409122067688619E-3</v>
      </c>
      <c r="F140" s="9">
        <f t="shared" si="23"/>
        <v>342922.73247123841</v>
      </c>
      <c r="G140" s="9">
        <f t="shared" si="24"/>
        <v>-176439.75950717309</v>
      </c>
      <c r="H140" s="9">
        <f t="shared" si="25"/>
        <v>442.66479066444083</v>
      </c>
      <c r="I140" s="9">
        <f t="shared" si="26"/>
        <v>-288.34630307451221</v>
      </c>
      <c r="J140" s="15"/>
      <c r="K140" s="15"/>
      <c r="L140" s="9">
        <f t="shared" si="27"/>
        <v>216400093.1212171</v>
      </c>
    </row>
    <row r="141" spans="1:12" x14ac:dyDescent="0.35">
      <c r="A141" s="9">
        <v>6650</v>
      </c>
      <c r="B141" s="9">
        <f t="shared" si="19"/>
        <v>21.418839800763067</v>
      </c>
      <c r="C141" s="9">
        <f t="shared" si="20"/>
        <v>-13.828995842528942</v>
      </c>
      <c r="D141" s="9">
        <f t="shared" si="21"/>
        <v>5.0712237891855725E-3</v>
      </c>
      <c r="E141" s="9">
        <f t="shared" si="22"/>
        <v>-3.2443378762394073E-3</v>
      </c>
      <c r="F141" s="9">
        <f t="shared" si="23"/>
        <v>320789.49293801637</v>
      </c>
      <c r="G141" s="9">
        <f t="shared" si="24"/>
        <v>-162022.44435344747</v>
      </c>
      <c r="H141" s="9">
        <f t="shared" si="25"/>
        <v>442.66479066444083</v>
      </c>
      <c r="I141" s="9">
        <f t="shared" si="26"/>
        <v>-288.34630307451221</v>
      </c>
      <c r="J141" s="15"/>
      <c r="K141" s="15"/>
      <c r="L141" s="9">
        <f t="shared" si="27"/>
        <v>214984446.83129573</v>
      </c>
    </row>
    <row r="142" spans="1:12" x14ac:dyDescent="0.35">
      <c r="A142" s="9">
        <v>6700</v>
      </c>
      <c r="B142" s="9">
        <f t="shared" si="19"/>
        <v>21.672718810152301</v>
      </c>
      <c r="C142" s="9">
        <f t="shared" si="20"/>
        <v>-13.991369812749955</v>
      </c>
      <c r="D142" s="9">
        <f t="shared" si="21"/>
        <v>5.0775801877846471E-3</v>
      </c>
      <c r="E142" s="9">
        <f t="shared" si="22"/>
        <v>-3.2474794044202678E-3</v>
      </c>
      <c r="F142" s="9">
        <f t="shared" si="23"/>
        <v>298656.25340479432</v>
      </c>
      <c r="G142" s="9">
        <f t="shared" si="24"/>
        <v>-147605.12919972185</v>
      </c>
      <c r="H142" s="9">
        <f t="shared" si="25"/>
        <v>442.66479066444083</v>
      </c>
      <c r="I142" s="9">
        <f t="shared" si="26"/>
        <v>-288.34630307451221</v>
      </c>
      <c r="J142" s="15"/>
      <c r="K142" s="15"/>
      <c r="L142" s="9">
        <f t="shared" si="27"/>
        <v>213568800.54137436</v>
      </c>
    </row>
    <row r="143" spans="1:12" x14ac:dyDescent="0.35">
      <c r="A143" s="9">
        <v>6750</v>
      </c>
      <c r="B143" s="9">
        <f t="shared" si="19"/>
        <v>21.926894049591649</v>
      </c>
      <c r="C143" s="9">
        <f t="shared" si="20"/>
        <v>-14.15388646271497</v>
      </c>
      <c r="D143" s="9">
        <f t="shared" si="21"/>
        <v>5.0835047887869758E-3</v>
      </c>
      <c r="E143" s="9">
        <f t="shared" si="22"/>
        <v>-3.2503329993002995E-3</v>
      </c>
      <c r="F143" s="9">
        <f t="shared" si="23"/>
        <v>276523.01387157227</v>
      </c>
      <c r="G143" s="9">
        <f t="shared" si="24"/>
        <v>-133187.81404599623</v>
      </c>
      <c r="H143" s="9">
        <f t="shared" si="25"/>
        <v>442.66479066444083</v>
      </c>
      <c r="I143" s="9">
        <f t="shared" si="26"/>
        <v>-288.34630307451221</v>
      </c>
      <c r="J143" s="15"/>
      <c r="K143" s="15"/>
      <c r="L143" s="9">
        <f t="shared" si="27"/>
        <v>212153154.25145298</v>
      </c>
    </row>
    <row r="144" spans="1:12" x14ac:dyDescent="0.35">
      <c r="A144" s="9">
        <v>6800</v>
      </c>
      <c r="B144" s="9">
        <f t="shared" si="19"/>
        <v>22.18134363913774</v>
      </c>
      <c r="C144" s="9">
        <f t="shared" si="20"/>
        <v>-14.316531202337417</v>
      </c>
      <c r="D144" s="9">
        <f t="shared" si="21"/>
        <v>5.0889917909218516E-3</v>
      </c>
      <c r="E144" s="9">
        <f t="shared" si="22"/>
        <v>-3.2528947924489321E-3</v>
      </c>
      <c r="F144" s="9">
        <f t="shared" si="23"/>
        <v>254389.77433835022</v>
      </c>
      <c r="G144" s="9">
        <f t="shared" si="24"/>
        <v>-118770.49889227063</v>
      </c>
      <c r="H144" s="9">
        <f t="shared" si="25"/>
        <v>442.66479066444083</v>
      </c>
      <c r="I144" s="9">
        <f t="shared" si="26"/>
        <v>-288.34630307451221</v>
      </c>
      <c r="J144" s="15"/>
      <c r="K144" s="15"/>
      <c r="L144" s="9">
        <f t="shared" si="27"/>
        <v>210737507.96153161</v>
      </c>
    </row>
    <row r="145" spans="1:12" x14ac:dyDescent="0.35">
      <c r="A145" s="9">
        <v>6850</v>
      </c>
      <c r="B145" s="9">
        <f t="shared" si="19"/>
        <v>22.436045402898557</v>
      </c>
      <c r="C145" s="9">
        <f t="shared" si="20"/>
        <v>-14.47928924418486</v>
      </c>
      <c r="D145" s="9">
        <f t="shared" si="21"/>
        <v>5.0940352752163768E-3</v>
      </c>
      <c r="E145" s="9">
        <f t="shared" si="22"/>
        <v>-3.2551608369488665E-3</v>
      </c>
      <c r="F145" s="9">
        <f t="shared" si="23"/>
        <v>232256.53480512818</v>
      </c>
      <c r="G145" s="9">
        <f t="shared" si="24"/>
        <v>-104353.18373854502</v>
      </c>
      <c r="H145" s="9">
        <f t="shared" si="25"/>
        <v>442.66479066444083</v>
      </c>
      <c r="I145" s="9">
        <f t="shared" si="26"/>
        <v>-288.34630307451221</v>
      </c>
      <c r="J145" s="15"/>
      <c r="K145" s="15"/>
      <c r="L145" s="9">
        <f t="shared" si="27"/>
        <v>209321861.67161024</v>
      </c>
    </row>
    <row r="146" spans="1:12" x14ac:dyDescent="0.35">
      <c r="A146" s="9">
        <v>6900</v>
      </c>
      <c r="B146" s="9">
        <f t="shared" si="19"/>
        <v>22.690976862988041</v>
      </c>
      <c r="C146" s="9">
        <f t="shared" si="20"/>
        <v>-14.64214559944778</v>
      </c>
      <c r="D146" s="9">
        <f t="shared" si="21"/>
        <v>5.0986292017896929E-3</v>
      </c>
      <c r="E146" s="9">
        <f t="shared" si="22"/>
        <v>-3.2571271052583913E-3</v>
      </c>
      <c r="F146" s="9">
        <f t="shared" si="23"/>
        <v>210123.29527190613</v>
      </c>
      <c r="G146" s="9">
        <f t="shared" si="24"/>
        <v>-89935.868584819415</v>
      </c>
      <c r="H146" s="9">
        <f t="shared" si="25"/>
        <v>442.66479066444083</v>
      </c>
      <c r="I146" s="9">
        <f t="shared" si="26"/>
        <v>-288.34630307451221</v>
      </c>
      <c r="J146" s="15"/>
      <c r="K146" s="15"/>
      <c r="L146" s="9">
        <f t="shared" si="27"/>
        <v>207906215.38168886</v>
      </c>
    </row>
    <row r="147" spans="1:12" x14ac:dyDescent="0.35">
      <c r="A147" s="9">
        <v>6950</v>
      </c>
      <c r="B147" s="9">
        <f t="shared" si="19"/>
        <v>22.946115233314906</v>
      </c>
      <c r="C147" s="9">
        <f t="shared" si="20"/>
        <v>-14.8050850737978</v>
      </c>
      <c r="D147" s="9">
        <f t="shared" si="21"/>
        <v>5.1027674065373292E-3</v>
      </c>
      <c r="E147" s="9">
        <f t="shared" si="22"/>
        <v>-3.2587894870004211E-3</v>
      </c>
      <c r="F147" s="9">
        <f t="shared" si="23"/>
        <v>187990.05573868408</v>
      </c>
      <c r="G147" s="9">
        <f t="shared" si="24"/>
        <v>-75518.553431093809</v>
      </c>
      <c r="H147" s="9">
        <f t="shared" si="25"/>
        <v>442.66479066444083</v>
      </c>
      <c r="I147" s="9">
        <f t="shared" si="26"/>
        <v>-288.34630307451221</v>
      </c>
      <c r="J147" s="15"/>
      <c r="K147" s="15"/>
      <c r="L147" s="9">
        <f t="shared" si="27"/>
        <v>206490569.09176749</v>
      </c>
    </row>
    <row r="148" spans="1:12" x14ac:dyDescent="0.35">
      <c r="A148" s="9">
        <v>7000</v>
      </c>
      <c r="B148" s="9">
        <f t="shared" si="19"/>
        <v>23.201437413199962</v>
      </c>
      <c r="C148" s="9">
        <f t="shared" si="20"/>
        <v>-14.968092263131561</v>
      </c>
      <c r="D148" s="9">
        <f t="shared" si="21"/>
        <v>5.1064435977011026E-3</v>
      </c>
      <c r="E148" s="9">
        <f t="shared" si="22"/>
        <v>-3.2601437866752242E-3</v>
      </c>
      <c r="F148" s="9">
        <f t="shared" si="23"/>
        <v>165856.81620546203</v>
      </c>
      <c r="G148" s="9">
        <f t="shared" si="24"/>
        <v>-61101.238277368197</v>
      </c>
      <c r="H148" s="9">
        <f t="shared" si="25"/>
        <v>442.66479066444083</v>
      </c>
      <c r="I148" s="9">
        <f t="shared" si="26"/>
        <v>-288.34630307451221</v>
      </c>
      <c r="J148" s="15"/>
      <c r="K148" s="15"/>
      <c r="L148" s="9">
        <f t="shared" si="27"/>
        <v>205074922.80184612</v>
      </c>
    </row>
    <row r="149" spans="1:12" x14ac:dyDescent="0.35">
      <c r="A149" s="9">
        <v>7050</v>
      </c>
      <c r="B149" s="9">
        <f t="shared" si="19"/>
        <v>23.456919980815954</v>
      </c>
      <c r="C149" s="9">
        <f t="shared" si="20"/>
        <v>-15.131151549196243</v>
      </c>
      <c r="D149" s="9">
        <f t="shared" si="21"/>
        <v>5.1096513523198103E-3</v>
      </c>
      <c r="E149" s="9">
        <f t="shared" si="22"/>
        <v>-3.2611857212936535E-3</v>
      </c>
      <c r="F149" s="9">
        <f t="shared" si="23"/>
        <v>143723.57667223999</v>
      </c>
      <c r="G149" s="9">
        <f t="shared" si="24"/>
        <v>-46683.923123642584</v>
      </c>
      <c r="H149" s="9">
        <f t="shared" si="25"/>
        <v>442.66479066444083</v>
      </c>
      <c r="I149" s="9">
        <f t="shared" si="26"/>
        <v>-288.34630307451221</v>
      </c>
      <c r="J149" s="15"/>
      <c r="K149" s="15"/>
      <c r="L149" s="9">
        <f t="shared" si="27"/>
        <v>203659276.51192474</v>
      </c>
    </row>
    <row r="150" spans="1:12" x14ac:dyDescent="0.35">
      <c r="A150" s="9">
        <v>7100</v>
      </c>
      <c r="B150" s="9">
        <f t="shared" si="19"/>
        <v>23.712539186443738</v>
      </c>
      <c r="C150" s="9">
        <f t="shared" si="20"/>
        <v>-15.29424709509262</v>
      </c>
      <c r="D150" s="9">
        <f t="shared" si="21"/>
        <v>5.1123841125556959E-3</v>
      </c>
      <c r="E150" s="9">
        <f t="shared" si="22"/>
        <v>-3.2619109179275463E-3</v>
      </c>
      <c r="F150" s="9">
        <f t="shared" si="23"/>
        <v>121590.33713901794</v>
      </c>
      <c r="G150" s="9">
        <f t="shared" si="24"/>
        <v>-32266.607969916971</v>
      </c>
      <c r="H150" s="9">
        <f t="shared" si="25"/>
        <v>442.66479066444083</v>
      </c>
      <c r="I150" s="9">
        <f t="shared" si="26"/>
        <v>-288.34630307451221</v>
      </c>
      <c r="J150" s="15"/>
      <c r="K150" s="15"/>
      <c r="L150" s="9">
        <f t="shared" si="27"/>
        <v>202243630.22200337</v>
      </c>
    </row>
    <row r="151" spans="1:12" x14ac:dyDescent="0.35">
      <c r="A151" s="9">
        <v>7150</v>
      </c>
      <c r="B151" s="9">
        <f t="shared" si="19"/>
        <v>23.968270945538311</v>
      </c>
      <c r="C151" s="9">
        <f t="shared" si="20"/>
        <v>-15.45736284065131</v>
      </c>
      <c r="D151" s="9">
        <f t="shared" si="21"/>
        <v>5.1146351818914457E-3</v>
      </c>
      <c r="E151" s="9">
        <f t="shared" si="22"/>
        <v>-3.2623149111737858E-3</v>
      </c>
      <c r="F151" s="9">
        <f t="shared" si="23"/>
        <v>99457.097605795891</v>
      </c>
      <c r="G151" s="9">
        <f t="shared" si="24"/>
        <v>-17849.292816191359</v>
      </c>
      <c r="H151" s="9">
        <f t="shared" si="25"/>
        <v>442.66479066444083</v>
      </c>
      <c r="I151" s="9">
        <f t="shared" si="26"/>
        <v>-288.34630307451221</v>
      </c>
      <c r="J151" s="15"/>
      <c r="K151" s="15"/>
      <c r="L151" s="9">
        <f t="shared" si="27"/>
        <v>200827983.932082</v>
      </c>
    </row>
    <row r="152" spans="1:12" x14ac:dyDescent="0.35">
      <c r="A152" s="9">
        <v>7200</v>
      </c>
      <c r="B152" s="9">
        <f t="shared" si="19"/>
        <v>24.22409083159792</v>
      </c>
      <c r="C152" s="9">
        <f t="shared" si="20"/>
        <v>-15.620482497677727</v>
      </c>
      <c r="D152" s="9">
        <f t="shared" si="21"/>
        <v>5.1163977211921919E-3</v>
      </c>
      <c r="E152" s="9">
        <f t="shared" si="22"/>
        <v>-3.2623931405283495E-3</v>
      </c>
      <c r="F152" s="9">
        <f t="shared" si="23"/>
        <v>77323.858072573843</v>
      </c>
      <c r="G152" s="9">
        <f t="shared" si="24"/>
        <v>-3431.9776624657479</v>
      </c>
      <c r="H152" s="9">
        <f t="shared" si="25"/>
        <v>442.66479066444083</v>
      </c>
      <c r="I152" s="9">
        <f t="shared" si="26"/>
        <v>-288.34630307451221</v>
      </c>
      <c r="J152" s="15"/>
      <c r="K152" s="15"/>
      <c r="L152" s="9">
        <f t="shared" si="27"/>
        <v>199412337.64216062</v>
      </c>
    </row>
    <row r="153" spans="1:12" x14ac:dyDescent="0.35">
      <c r="A153" s="9">
        <v>7250</v>
      </c>
      <c r="B153" s="9">
        <f t="shared" si="19"/>
        <v>24.479974068829257</v>
      </c>
      <c r="C153" s="9">
        <f t="shared" si="20"/>
        <v>-15.783589545061051</v>
      </c>
      <c r="D153" s="9">
        <f t="shared" si="21"/>
        <v>5.1176647446267397E-3</v>
      </c>
      <c r="E153" s="9">
        <f t="shared" si="22"/>
        <v>-3.2621409476664789E-3</v>
      </c>
      <c r="F153" s="9">
        <f t="shared" si="23"/>
        <v>55190.618539351803</v>
      </c>
      <c r="G153" s="9">
        <f t="shared" si="24"/>
        <v>10985.337491259863</v>
      </c>
      <c r="H153" s="9">
        <f t="shared" si="25"/>
        <v>442.66479066444083</v>
      </c>
      <c r="I153" s="9">
        <f t="shared" si="26"/>
        <v>-288.34630307451221</v>
      </c>
      <c r="J153" s="15"/>
      <c r="K153" s="15"/>
      <c r="L153" s="9">
        <f t="shared" si="27"/>
        <v>197996691.35223925</v>
      </c>
    </row>
    <row r="154" spans="1:12" x14ac:dyDescent="0.35">
      <c r="A154" s="9">
        <v>7300</v>
      </c>
      <c r="B154" s="9">
        <f t="shared" si="19"/>
        <v>24.735895524601354</v>
      </c>
      <c r="C154" s="9">
        <f t="shared" si="20"/>
        <v>-15.946667223742297</v>
      </c>
      <c r="D154" s="9">
        <f t="shared" si="21"/>
        <v>5.118429115441925E-3</v>
      </c>
      <c r="E154" s="9">
        <f t="shared" si="22"/>
        <v>-3.2615535736249218E-3</v>
      </c>
      <c r="F154" s="9">
        <f t="shared" si="23"/>
        <v>33057.379006129762</v>
      </c>
      <c r="G154" s="9">
        <f t="shared" si="24"/>
        <v>25402.652644985472</v>
      </c>
      <c r="H154" s="9">
        <f t="shared" si="25"/>
        <v>442.66479066444083</v>
      </c>
      <c r="I154" s="9">
        <f t="shared" si="26"/>
        <v>-288.34630307451221</v>
      </c>
      <c r="J154" s="15"/>
      <c r="K154" s="15"/>
      <c r="L154" s="9">
        <f t="shared" si="27"/>
        <v>196581045.06231788</v>
      </c>
    </row>
    <row r="155" spans="1:12" x14ac:dyDescent="0.35">
      <c r="A155" s="9">
        <v>7350</v>
      </c>
      <c r="B155" s="9">
        <f t="shared" si="19"/>
        <v>24.99182970168054</v>
      </c>
      <c r="C155" s="9">
        <f t="shared" si="20"/>
        <v>-16.109698531536395</v>
      </c>
      <c r="D155" s="9">
        <f t="shared" si="21"/>
        <v>5.1186835415837238E-3</v>
      </c>
      <c r="E155" s="9">
        <f t="shared" si="22"/>
        <v>-3.2606261558819766E-3</v>
      </c>
      <c r="F155" s="9">
        <f t="shared" si="23"/>
        <v>10924.139472907722</v>
      </c>
      <c r="G155" s="9">
        <f t="shared" si="24"/>
        <v>39819.967798711084</v>
      </c>
      <c r="H155" s="9">
        <f t="shared" si="25"/>
        <v>442.66479066444083</v>
      </c>
      <c r="I155" s="9">
        <f t="shared" si="26"/>
        <v>-288.34630307451221</v>
      </c>
      <c r="J155" s="15"/>
      <c r="K155" s="15"/>
      <c r="L155" s="9">
        <f t="shared" si="27"/>
        <v>195165398.7723965</v>
      </c>
    </row>
    <row r="156" spans="1:12" x14ac:dyDescent="0.35">
      <c r="A156" s="9">
        <v>7400</v>
      </c>
      <c r="B156" s="9">
        <f t="shared" si="19"/>
        <v>25.247750730238458</v>
      </c>
      <c r="C156" s="9">
        <f t="shared" si="20"/>
        <v>-16.272666217802939</v>
      </c>
      <c r="D156" s="9">
        <f t="shared" si="21"/>
        <v>5.1184205711583847E-3</v>
      </c>
      <c r="E156" s="9">
        <f t="shared" si="22"/>
        <v>-3.2593537253308635E-3</v>
      </c>
      <c r="F156" s="9">
        <f t="shared" si="23"/>
        <v>-11209.100060314318</v>
      </c>
      <c r="G156" s="9">
        <f t="shared" si="24"/>
        <v>54237.282952436697</v>
      </c>
      <c r="H156" s="9">
        <f t="shared" si="25"/>
        <v>442.66479066444083</v>
      </c>
      <c r="I156" s="9">
        <f t="shared" si="26"/>
        <v>-288.34630307451221</v>
      </c>
      <c r="J156" s="15"/>
      <c r="K156" s="15"/>
      <c r="L156" s="9">
        <f t="shared" si="27"/>
        <v>193749752.48247513</v>
      </c>
    </row>
    <row r="157" spans="1:12" x14ac:dyDescent="0.35">
      <c r="A157" s="9">
        <v>7450</v>
      </c>
      <c r="B157" s="9">
        <f t="shared" si="19"/>
        <v>25.503632359624785</v>
      </c>
      <c r="C157" s="9">
        <f t="shared" si="20"/>
        <v>-16.435552777960027</v>
      </c>
      <c r="D157" s="9">
        <f t="shared" si="21"/>
        <v>5.1176325877265241E-3</v>
      </c>
      <c r="E157" s="9">
        <f t="shared" si="22"/>
        <v>-3.257731203141712E-3</v>
      </c>
      <c r="F157" s="9">
        <f t="shared" si="23"/>
        <v>-33342.339593536359</v>
      </c>
      <c r="G157" s="9">
        <f t="shared" si="24"/>
        <v>68654.598106162302</v>
      </c>
      <c r="H157" s="9">
        <f t="shared" si="25"/>
        <v>442.66479066444083</v>
      </c>
      <c r="I157" s="9">
        <f t="shared" si="26"/>
        <v>-288.34630307451221</v>
      </c>
      <c r="J157" s="15"/>
      <c r="K157" s="15"/>
      <c r="L157" s="9">
        <f t="shared" si="27"/>
        <v>192334106.19255376</v>
      </c>
    </row>
    <row r="158" spans="1:12" x14ac:dyDescent="0.35">
      <c r="A158" s="9">
        <v>7500</v>
      </c>
      <c r="B158" s="9">
        <f t="shared" si="19"/>
        <v>25.759447949895922</v>
      </c>
      <c r="C158" s="9">
        <f t="shared" si="20"/>
        <v>-16.598340447835387</v>
      </c>
      <c r="D158" s="9">
        <f t="shared" si="21"/>
        <v>5.1163118054227486E-3</v>
      </c>
      <c r="E158" s="9">
        <f t="shared" si="22"/>
        <v>-3.2557533975072052E-3</v>
      </c>
      <c r="F158" s="9">
        <f t="shared" si="23"/>
        <v>-55475.579126758399</v>
      </c>
      <c r="G158" s="9">
        <f t="shared" si="24"/>
        <v>83071.913259887908</v>
      </c>
      <c r="H158" s="9">
        <f t="shared" si="25"/>
        <v>442.66479066444083</v>
      </c>
      <c r="I158" s="9">
        <f t="shared" si="26"/>
        <v>-288.34630307451221</v>
      </c>
      <c r="J158" s="15"/>
      <c r="K158" s="15"/>
      <c r="L158" s="9">
        <f t="shared" si="27"/>
        <v>190918459.90263239</v>
      </c>
    </row>
    <row r="159" spans="1:12" x14ac:dyDescent="0.35">
      <c r="A159" s="9">
        <v>7550</v>
      </c>
      <c r="B159" s="9">
        <f t="shared" si="19"/>
        <v>26.01517046309057</v>
      </c>
      <c r="C159" s="9">
        <f t="shared" si="20"/>
        <v>-16.76101119784872</v>
      </c>
      <c r="D159" s="9">
        <f t="shared" si="21"/>
        <v>5.1144502638929938E-3</v>
      </c>
      <c r="E159" s="9">
        <f t="shared" si="22"/>
        <v>-3.2534150002666708E-3</v>
      </c>
      <c r="F159" s="9">
        <f t="shared" si="23"/>
        <v>-77608.818659980432</v>
      </c>
      <c r="G159" s="9">
        <f t="shared" si="24"/>
        <v>97489.228413613513</v>
      </c>
      <c r="H159" s="9">
        <f t="shared" si="25"/>
        <v>442.66479066444083</v>
      </c>
      <c r="I159" s="9">
        <f t="shared" si="26"/>
        <v>-288.34630307451221</v>
      </c>
      <c r="J159" s="15"/>
      <c r="K159" s="15"/>
      <c r="L159" s="9">
        <f t="shared" si="27"/>
        <v>189502813.61271101</v>
      </c>
    </row>
    <row r="160" spans="1:12" x14ac:dyDescent="0.35">
      <c r="A160" s="9">
        <v>7600</v>
      </c>
      <c r="B160" s="9">
        <f t="shared" si="19"/>
        <v>26.270772454242636</v>
      </c>
      <c r="C160" s="9">
        <f t="shared" si="20"/>
        <v>-16.923546727018877</v>
      </c>
      <c r="D160" s="9">
        <f t="shared" si="21"/>
        <v>5.112039823041337E-3</v>
      </c>
      <c r="E160" s="9">
        <f t="shared" si="22"/>
        <v>-3.2507105834031253E-3</v>
      </c>
      <c r="F160" s="9">
        <f t="shared" si="23"/>
        <v>-99742.05819320248</v>
      </c>
      <c r="G160" s="9">
        <f t="shared" si="24"/>
        <v>111906.54356733912</v>
      </c>
      <c r="H160" s="9">
        <f t="shared" si="25"/>
        <v>442.66479066444083</v>
      </c>
      <c r="I160" s="9">
        <f t="shared" si="26"/>
        <v>-288.34630307451221</v>
      </c>
      <c r="J160" s="15"/>
      <c r="K160" s="15"/>
      <c r="L160" s="9">
        <f t="shared" si="27"/>
        <v>188087167.32278964</v>
      </c>
    </row>
    <row r="161" spans="1:12" x14ac:dyDescent="0.35">
      <c r="A161" s="9">
        <v>7650</v>
      </c>
      <c r="B161" s="9">
        <f t="shared" si="19"/>
        <v>26.526226062121516</v>
      </c>
      <c r="C161" s="9">
        <f t="shared" si="20"/>
        <v>-17.085928456789251</v>
      </c>
      <c r="D161" s="9">
        <f t="shared" si="21"/>
        <v>5.1090721575776177E-3</v>
      </c>
      <c r="E161" s="9">
        <f t="shared" si="22"/>
        <v>-3.2476345954074956E-3</v>
      </c>
      <c r="F161" s="9">
        <f t="shared" si="23"/>
        <v>-121875.29772642453</v>
      </c>
      <c r="G161" s="9">
        <f t="shared" si="24"/>
        <v>126323.85872106472</v>
      </c>
      <c r="H161" s="9">
        <f t="shared" si="25"/>
        <v>442.66479066444083</v>
      </c>
      <c r="I161" s="9">
        <f t="shared" si="26"/>
        <v>-288.34630307451221</v>
      </c>
      <c r="J161" s="15"/>
      <c r="K161" s="15"/>
      <c r="L161" s="9">
        <f t="shared" si="27"/>
        <v>186671521.03286827</v>
      </c>
    </row>
    <row r="162" spans="1:12" x14ac:dyDescent="0.35">
      <c r="A162" s="9">
        <v>7700</v>
      </c>
      <c r="B162" s="9">
        <f t="shared" si="19"/>
        <v>26.781502999689351</v>
      </c>
      <c r="C162" s="9">
        <f t="shared" si="20"/>
        <v>-17.248137524664447</v>
      </c>
      <c r="D162" s="9">
        <f t="shared" si="21"/>
        <v>5.1055387513567387E-3</v>
      </c>
      <c r="E162" s="9">
        <f t="shared" si="22"/>
        <v>-3.2441813575039232E-3</v>
      </c>
      <c r="F162" s="9">
        <f t="shared" si="23"/>
        <v>-144008.53725964657</v>
      </c>
      <c r="G162" s="9">
        <f t="shared" si="24"/>
        <v>140741.17387479034</v>
      </c>
      <c r="H162" s="9">
        <f t="shared" si="25"/>
        <v>442.66479066444083</v>
      </c>
      <c r="I162" s="9">
        <f t="shared" si="26"/>
        <v>-288.34630307451221</v>
      </c>
      <c r="J162" s="15"/>
      <c r="K162" s="15"/>
      <c r="L162" s="9">
        <f t="shared" si="27"/>
        <v>185255874.74294689</v>
      </c>
    </row>
    <row r="163" spans="1:12" x14ac:dyDescent="0.35">
      <c r="A163" s="9">
        <v>7750</v>
      </c>
      <c r="B163" s="9">
        <f t="shared" si="19"/>
        <v>27.036574544264351</v>
      </c>
      <c r="C163" s="9">
        <f t="shared" si="20"/>
        <v>-17.410154777650934</v>
      </c>
      <c r="D163" s="9">
        <f t="shared" si="21"/>
        <v>5.101430891500015E-3</v>
      </c>
      <c r="E163" s="9">
        <f t="shared" si="22"/>
        <v>-3.2403450597297354E-3</v>
      </c>
      <c r="F163" s="9">
        <f t="shared" si="23"/>
        <v>-166141.77679286862</v>
      </c>
      <c r="G163" s="9">
        <f t="shared" si="24"/>
        <v>155158.48902851596</v>
      </c>
      <c r="H163" s="9">
        <f t="shared" si="25"/>
        <v>442.66479066444083</v>
      </c>
      <c r="I163" s="9">
        <f t="shared" si="26"/>
        <v>-288.34630307451221</v>
      </c>
      <c r="J163" s="15"/>
      <c r="K163" s="15"/>
      <c r="L163" s="9">
        <f t="shared" si="27"/>
        <v>183840228.45302552</v>
      </c>
    </row>
    <row r="164" spans="1:12" x14ac:dyDescent="0.35">
      <c r="A164" s="9">
        <v>7800</v>
      </c>
      <c r="B164" s="9">
        <f t="shared" si="19"/>
        <v>27.291422365033704</v>
      </c>
      <c r="C164" s="9">
        <f t="shared" si="20"/>
        <v>-17.571968065643656</v>
      </c>
      <c r="D164" s="9">
        <f t="shared" si="21"/>
        <v>5.0969564153870456E-3</v>
      </c>
      <c r="E164" s="9">
        <f t="shared" si="22"/>
        <v>-3.2362657598544544E-3</v>
      </c>
      <c r="F164" s="9">
        <f t="shared" si="23"/>
        <v>-179575.9757675869</v>
      </c>
      <c r="G164" s="9">
        <f t="shared" si="24"/>
        <v>163716.20655855286</v>
      </c>
      <c r="H164" s="9">
        <f t="shared" si="25"/>
        <v>268.68397949436587</v>
      </c>
      <c r="I164" s="9">
        <f t="shared" si="26"/>
        <v>-171.1543506007381</v>
      </c>
      <c r="J164" s="15">
        <v>-173.98081117007496</v>
      </c>
      <c r="K164" s="15">
        <v>117.19195247377411</v>
      </c>
      <c r="L164" s="9">
        <f t="shared" si="27"/>
        <v>182424582.16310415</v>
      </c>
    </row>
    <row r="165" spans="1:12" x14ac:dyDescent="0.35">
      <c r="A165" s="9">
        <v>7850</v>
      </c>
      <c r="B165" s="9">
        <f t="shared" si="19"/>
        <v>27.546027844459005</v>
      </c>
      <c r="C165" s="9">
        <f t="shared" si="20"/>
        <v>-17.73356504848892</v>
      </c>
      <c r="D165" s="9">
        <f t="shared" si="21"/>
        <v>5.0921095885059905E-3</v>
      </c>
      <c r="E165" s="9">
        <f t="shared" si="22"/>
        <v>-3.2319396569052586E-3</v>
      </c>
      <c r="F165" s="9">
        <f t="shared" si="23"/>
        <v>-193010.17474230519</v>
      </c>
      <c r="G165" s="9">
        <f t="shared" si="24"/>
        <v>172273.92408858976</v>
      </c>
      <c r="H165" s="9">
        <f t="shared" si="25"/>
        <v>268.68397949436587</v>
      </c>
      <c r="I165" s="9">
        <f t="shared" si="26"/>
        <v>-171.1543506007381</v>
      </c>
      <c r="J165" s="15"/>
      <c r="K165" s="15"/>
      <c r="L165" s="9">
        <f t="shared" si="27"/>
        <v>181008935.87318277</v>
      </c>
    </row>
    <row r="166" spans="1:12" x14ac:dyDescent="0.35">
      <c r="A166" s="9">
        <v>7900</v>
      </c>
      <c r="B166" s="9">
        <f t="shared" si="19"/>
        <v>27.8003720714959</v>
      </c>
      <c r="C166" s="9">
        <f t="shared" si="20"/>
        <v>-17.894933191490203</v>
      </c>
      <c r="D166" s="9">
        <f t="shared" si="21"/>
        <v>5.0868845407379308E-3</v>
      </c>
      <c r="E166" s="9">
        <f t="shared" si="22"/>
        <v>-3.2273628600256827E-3</v>
      </c>
      <c r="F166" s="9">
        <f t="shared" si="23"/>
        <v>-206444.37371702347</v>
      </c>
      <c r="G166" s="9">
        <f t="shared" si="24"/>
        <v>180831.64161862666</v>
      </c>
      <c r="H166" s="9">
        <f t="shared" si="25"/>
        <v>268.68397949436587</v>
      </c>
      <c r="I166" s="9">
        <f t="shared" si="26"/>
        <v>-171.1543506007381</v>
      </c>
      <c r="J166" s="15"/>
      <c r="K166" s="15"/>
      <c r="L166" s="9">
        <f t="shared" si="27"/>
        <v>179593289.5832614</v>
      </c>
    </row>
    <row r="167" spans="1:12" x14ac:dyDescent="0.35">
      <c r="A167" s="9">
        <v>7950</v>
      </c>
      <c r="B167" s="9">
        <f t="shared" si="19"/>
        <v>28.054435834598259</v>
      </c>
      <c r="C167" s="9">
        <f t="shared" si="20"/>
        <v>-18.056059760771156</v>
      </c>
      <c r="D167" s="9">
        <f t="shared" si="21"/>
        <v>5.0812752620472013E-3</v>
      </c>
      <c r="E167" s="9">
        <f t="shared" si="22"/>
        <v>-3.222531385619066E-3</v>
      </c>
      <c r="F167" s="9">
        <f t="shared" si="23"/>
        <v>-219878.57269174175</v>
      </c>
      <c r="G167" s="9">
        <f t="shared" si="24"/>
        <v>189389.35914866356</v>
      </c>
      <c r="H167" s="9">
        <f t="shared" si="25"/>
        <v>268.68397949436587</v>
      </c>
      <c r="I167" s="9">
        <f t="shared" si="26"/>
        <v>-171.1543506007381</v>
      </c>
      <c r="J167" s="15"/>
      <c r="K167" s="15"/>
      <c r="L167" s="9">
        <f t="shared" si="27"/>
        <v>178177643.29334003</v>
      </c>
    </row>
    <row r="168" spans="1:12" x14ac:dyDescent="0.35">
      <c r="A168" s="9">
        <v>8000</v>
      </c>
      <c r="B168" s="9">
        <f t="shared" si="19"/>
        <v>28.308199614498218</v>
      </c>
      <c r="C168" s="9">
        <f t="shared" si="20"/>
        <v>-18.216931818490036</v>
      </c>
      <c r="D168" s="9">
        <f t="shared" si="21"/>
        <v>5.0752755979991456E-3</v>
      </c>
      <c r="E168" s="9">
        <f t="shared" si="22"/>
        <v>-3.217441154377612E-3</v>
      </c>
      <c r="F168" s="9">
        <f t="shared" si="23"/>
        <v>-233312.77166646003</v>
      </c>
      <c r="G168" s="9">
        <f t="shared" si="24"/>
        <v>197947.07667870045</v>
      </c>
      <c r="H168" s="9">
        <f t="shared" si="25"/>
        <v>268.68397949436587</v>
      </c>
      <c r="I168" s="9">
        <f t="shared" si="26"/>
        <v>-171.1543506007381</v>
      </c>
      <c r="J168" s="15"/>
      <c r="K168" s="15"/>
      <c r="L168" s="9">
        <f t="shared" si="27"/>
        <v>176761997.00341865</v>
      </c>
    </row>
    <row r="169" spans="1:12" x14ac:dyDescent="0.35">
      <c r="A169" s="9">
        <v>8050</v>
      </c>
      <c r="B169" s="9">
        <f t="shared" si="19"/>
        <v>28.561643576753063</v>
      </c>
      <c r="C169" s="9">
        <f t="shared" si="20"/>
        <v>-18.37753621789961</v>
      </c>
      <c r="D169" s="9">
        <f t="shared" si="21"/>
        <v>5.0688792450969368E-3</v>
      </c>
      <c r="E169" s="9">
        <f t="shared" si="22"/>
        <v>-3.2120879881915193E-3</v>
      </c>
      <c r="F169" s="9">
        <f t="shared" si="23"/>
        <v>-246746.97064117831</v>
      </c>
      <c r="G169" s="9">
        <f t="shared" si="24"/>
        <v>206504.79420873735</v>
      </c>
      <c r="H169" s="9">
        <f t="shared" si="25"/>
        <v>268.68397949436587</v>
      </c>
      <c r="I169" s="9">
        <f t="shared" si="26"/>
        <v>-171.1543506007381</v>
      </c>
      <c r="J169" s="15"/>
      <c r="K169" s="15"/>
      <c r="L169" s="9">
        <f t="shared" si="27"/>
        <v>175346350.71349728</v>
      </c>
    </row>
    <row r="170" spans="1:12" x14ac:dyDescent="0.35">
      <c r="A170" s="9">
        <v>8100</v>
      </c>
      <c r="B170" s="9">
        <f t="shared" si="19"/>
        <v>28.814747564049494</v>
      </c>
      <c r="C170" s="9">
        <f t="shared" si="20"/>
        <v>-18.537859598246229</v>
      </c>
      <c r="D170" s="9">
        <f t="shared" si="21"/>
        <v>5.0620797459286233E-3</v>
      </c>
      <c r="E170" s="9">
        <f t="shared" si="22"/>
        <v>-3.2064676069323297E-3</v>
      </c>
      <c r="F170" s="9">
        <f t="shared" si="23"/>
        <v>-260181.16961589659</v>
      </c>
      <c r="G170" s="9">
        <f t="shared" si="24"/>
        <v>215062.51173877425</v>
      </c>
      <c r="H170" s="9">
        <f t="shared" si="25"/>
        <v>268.68397949436587</v>
      </c>
      <c r="I170" s="9">
        <f t="shared" si="26"/>
        <v>-171.1543506007381</v>
      </c>
      <c r="J170" s="15"/>
      <c r="K170" s="15"/>
      <c r="L170" s="9">
        <f t="shared" si="27"/>
        <v>173930704.42357591</v>
      </c>
    </row>
    <row r="171" spans="1:12" x14ac:dyDescent="0.35">
      <c r="A171" s="9">
        <v>8150</v>
      </c>
      <c r="B171" s="9">
        <f t="shared" si="19"/>
        <v>29.067502548441354</v>
      </c>
      <c r="C171" s="9">
        <f t="shared" si="20"/>
        <v>-18.697896098982554</v>
      </c>
      <c r="D171" s="9">
        <f t="shared" si="21"/>
        <v>5.0550996878371973E-3</v>
      </c>
      <c r="E171" s="9">
        <f t="shared" si="22"/>
        <v>-3.2007300147265205E-3</v>
      </c>
      <c r="F171" s="9">
        <f t="shared" si="23"/>
        <v>-264916.32803211117</v>
      </c>
      <c r="G171" s="9">
        <f t="shared" si="24"/>
        <v>217760.63164512246</v>
      </c>
      <c r="H171" s="9">
        <f t="shared" si="25"/>
        <v>94.703168324290914</v>
      </c>
      <c r="I171" s="9">
        <f t="shared" si="26"/>
        <v>-53.96239812696399</v>
      </c>
      <c r="J171" s="15">
        <v>-173.98081117007496</v>
      </c>
      <c r="K171" s="15">
        <v>117.19195247377411</v>
      </c>
      <c r="L171" s="9">
        <f t="shared" si="27"/>
        <v>172515058.13365453</v>
      </c>
    </row>
    <row r="172" spans="1:12" x14ac:dyDescent="0.35">
      <c r="A172" s="9">
        <v>8200</v>
      </c>
      <c r="B172" s="9">
        <f t="shared" si="19"/>
        <v>29.319899352591225</v>
      </c>
      <c r="C172" s="9">
        <f t="shared" si="20"/>
        <v>-18.857639762582991</v>
      </c>
      <c r="D172" s="9">
        <f t="shared" si="21"/>
        <v>5.0479360829974304E-3</v>
      </c>
      <c r="E172" s="9">
        <f t="shared" si="22"/>
        <v>-3.1948732720087835E-3</v>
      </c>
      <c r="F172" s="9">
        <f t="shared" si="23"/>
        <v>-269651.48644832574</v>
      </c>
      <c r="G172" s="9">
        <f t="shared" si="24"/>
        <v>220458.75155147066</v>
      </c>
      <c r="H172" s="9">
        <f t="shared" si="25"/>
        <v>94.703168324290914</v>
      </c>
      <c r="I172" s="9">
        <f t="shared" si="26"/>
        <v>-53.96239812696399</v>
      </c>
      <c r="J172" s="15"/>
      <c r="K172" s="15"/>
      <c r="L172" s="9">
        <f t="shared" si="27"/>
        <v>171099411.84373316</v>
      </c>
    </row>
    <row r="173" spans="1:12" x14ac:dyDescent="0.35">
      <c r="A173" s="9">
        <v>8250</v>
      </c>
      <c r="B173" s="9">
        <f t="shared" si="19"/>
        <v>29.571928646031385</v>
      </c>
      <c r="C173" s="9">
        <f t="shared" si="20"/>
        <v>-19.017084532116456</v>
      </c>
      <c r="D173" s="9">
        <f t="shared" si="21"/>
        <v>5.0405858688031564E-3</v>
      </c>
      <c r="E173" s="9">
        <f t="shared" si="22"/>
        <v>-3.1888953906693005E-3</v>
      </c>
      <c r="F173" s="9">
        <f t="shared" si="23"/>
        <v>-274386.64486454031</v>
      </c>
      <c r="G173" s="9">
        <f t="shared" si="24"/>
        <v>223156.87145781887</v>
      </c>
      <c r="H173" s="9">
        <f t="shared" si="25"/>
        <v>94.703168324290914</v>
      </c>
      <c r="I173" s="9">
        <f t="shared" si="26"/>
        <v>-53.96239812696399</v>
      </c>
      <c r="J173" s="15"/>
      <c r="K173" s="15"/>
      <c r="L173" s="9">
        <f t="shared" si="27"/>
        <v>169683765.55381179</v>
      </c>
    </row>
    <row r="174" spans="1:12" x14ac:dyDescent="0.35">
      <c r="A174" s="9">
        <v>8300</v>
      </c>
      <c r="B174" s="9">
        <f t="shared" si="19"/>
        <v>29.823580941298921</v>
      </c>
      <c r="C174" s="9">
        <f t="shared" si="20"/>
        <v>-19.176224248737462</v>
      </c>
      <c r="D174" s="9">
        <f t="shared" si="21"/>
        <v>5.0330459053507318E-3</v>
      </c>
      <c r="E174" s="9">
        <f t="shared" si="22"/>
        <v>-3.1827943324201154E-3</v>
      </c>
      <c r="F174" s="9">
        <f t="shared" si="23"/>
        <v>-279121.80328075489</v>
      </c>
      <c r="G174" s="9">
        <f t="shared" si="24"/>
        <v>225854.99136416707</v>
      </c>
      <c r="H174" s="9">
        <f t="shared" si="25"/>
        <v>94.703168324290914</v>
      </c>
      <c r="I174" s="9">
        <f t="shared" si="26"/>
        <v>-53.96239812696399</v>
      </c>
      <c r="J174" s="15"/>
      <c r="K174" s="15"/>
      <c r="L174" s="9">
        <f t="shared" si="27"/>
        <v>168268119.26389042</v>
      </c>
    </row>
    <row r="175" spans="1:12" x14ac:dyDescent="0.35">
      <c r="A175" s="9">
        <v>8350</v>
      </c>
      <c r="B175" s="9">
        <f t="shared" si="19"/>
        <v>30.074846589939707</v>
      </c>
      <c r="C175" s="9">
        <f t="shared" si="20"/>
        <v>-19.335052649092074</v>
      </c>
      <c r="D175" s="9">
        <f t="shared" si="21"/>
        <v>5.0253129728157391E-3</v>
      </c>
      <c r="E175" s="9">
        <f t="shared" si="22"/>
        <v>-3.1765680070922047E-3</v>
      </c>
      <c r="F175" s="9">
        <f t="shared" si="23"/>
        <v>-283856.96169696946</v>
      </c>
      <c r="G175" s="9">
        <f t="shared" si="24"/>
        <v>228553.11127051528</v>
      </c>
      <c r="H175" s="9">
        <f t="shared" si="25"/>
        <v>94.703168324290914</v>
      </c>
      <c r="I175" s="9">
        <f t="shared" si="26"/>
        <v>-53.96239812696399</v>
      </c>
      <c r="J175" s="15"/>
      <c r="K175" s="15"/>
      <c r="L175" s="9">
        <f t="shared" si="27"/>
        <v>166852472.97396904</v>
      </c>
    </row>
    <row r="176" spans="1:12" x14ac:dyDescent="0.35">
      <c r="A176" s="9">
        <v>8400</v>
      </c>
      <c r="B176" s="9">
        <f t="shared" si="19"/>
        <v>30.325715778375578</v>
      </c>
      <c r="C176" s="9">
        <f t="shared" si="20"/>
        <v>-19.493563362635058</v>
      </c>
      <c r="D176" s="9">
        <f t="shared" si="21"/>
        <v>5.0173837687174519E-3</v>
      </c>
      <c r="E176" s="9">
        <f t="shared" si="22"/>
        <v>-3.170214270859689E-3</v>
      </c>
      <c r="F176" s="9">
        <f t="shared" si="23"/>
        <v>-288592.12011318404</v>
      </c>
      <c r="G176" s="9">
        <f t="shared" si="24"/>
        <v>231251.23117686348</v>
      </c>
      <c r="H176" s="9">
        <f t="shared" si="25"/>
        <v>94.703168324290914</v>
      </c>
      <c r="I176" s="9">
        <f t="shared" si="26"/>
        <v>-53.96239812696399</v>
      </c>
      <c r="J176" s="15"/>
      <c r="K176" s="15"/>
      <c r="L176" s="9">
        <f t="shared" si="27"/>
        <v>165436826.68404767</v>
      </c>
    </row>
    <row r="177" spans="1:12" x14ac:dyDescent="0.35">
      <c r="A177" s="9">
        <v>8450</v>
      </c>
      <c r="B177" s="9">
        <f t="shared" si="19"/>
        <v>30.57617852362884</v>
      </c>
      <c r="C177" s="9">
        <f t="shared" si="20"/>
        <v>-19.651749908854427</v>
      </c>
      <c r="D177" s="9">
        <f t="shared" si="21"/>
        <v>5.0092549050652488E-3</v>
      </c>
      <c r="E177" s="9">
        <f t="shared" si="22"/>
        <v>-3.1637309243874099E-3</v>
      </c>
      <c r="F177" s="9">
        <f t="shared" si="23"/>
        <v>-293327.27852939861</v>
      </c>
      <c r="G177" s="9">
        <f t="shared" si="24"/>
        <v>233949.35108321169</v>
      </c>
      <c r="H177" s="9">
        <f t="shared" si="25"/>
        <v>94.703168324290914</v>
      </c>
      <c r="I177" s="9">
        <f t="shared" si="26"/>
        <v>-53.96239812696399</v>
      </c>
      <c r="J177" s="15"/>
      <c r="K177" s="15"/>
      <c r="L177" s="9">
        <f t="shared" si="27"/>
        <v>164021180.3941263</v>
      </c>
    </row>
    <row r="178" spans="1:12" x14ac:dyDescent="0.35">
      <c r="A178" s="9">
        <v>8500</v>
      </c>
      <c r="B178" s="9">
        <f t="shared" si="19"/>
        <v>30.826236827491886</v>
      </c>
      <c r="C178" s="9">
        <f t="shared" si="20"/>
        <v>-19.809613884321884</v>
      </c>
      <c r="D178" s="9">
        <f t="shared" si="21"/>
        <v>5.0011660772609438E-3</v>
      </c>
      <c r="E178" s="9">
        <f t="shared" si="22"/>
        <v>-3.1572795093491343E-3</v>
      </c>
      <c r="F178" s="9">
        <f t="shared" si="23"/>
        <v>-289363.39638710942</v>
      </c>
      <c r="G178" s="9">
        <f t="shared" si="24"/>
        <v>230787.87336587117</v>
      </c>
      <c r="H178" s="9">
        <f t="shared" si="25"/>
        <v>-79.277642845784044</v>
      </c>
      <c r="I178" s="9">
        <f t="shared" si="26"/>
        <v>63.229554346810119</v>
      </c>
      <c r="J178" s="15">
        <v>-173.98081117007496</v>
      </c>
      <c r="K178" s="15">
        <v>117.19195247377411</v>
      </c>
      <c r="L178" s="9">
        <f t="shared" si="27"/>
        <v>162605534.10420492</v>
      </c>
    </row>
    <row r="179" spans="1:12" x14ac:dyDescent="0.35">
      <c r="A179" s="9">
        <v>8550</v>
      </c>
      <c r="B179" s="9">
        <f t="shared" si="19"/>
        <v>31.0758927269185</v>
      </c>
      <c r="C179" s="9">
        <f t="shared" si="20"/>
        <v>-19.967156913652833</v>
      </c>
      <c r="D179" s="9">
        <f t="shared" si="21"/>
        <v>4.9931179885322682E-3</v>
      </c>
      <c r="E179" s="9">
        <f t="shared" si="22"/>
        <v>-3.1508605866189558E-3</v>
      </c>
      <c r="F179" s="9">
        <f t="shared" si="23"/>
        <v>-285399.51424482022</v>
      </c>
      <c r="G179" s="9">
        <f t="shared" si="24"/>
        <v>227626.39564853066</v>
      </c>
      <c r="H179" s="9">
        <f t="shared" si="25"/>
        <v>-79.277642845784044</v>
      </c>
      <c r="I179" s="9">
        <f t="shared" si="26"/>
        <v>63.229554346810119</v>
      </c>
      <c r="J179" s="15"/>
      <c r="K179" s="15"/>
      <c r="L179" s="9">
        <f t="shared" si="27"/>
        <v>161189887.81428355</v>
      </c>
    </row>
    <row r="180" spans="1:12" x14ac:dyDescent="0.35">
      <c r="A180" s="9">
        <v>8600</v>
      </c>
      <c r="B180" s="9">
        <f t="shared" si="19"/>
        <v>31.325148294958467</v>
      </c>
      <c r="C180" s="9">
        <f t="shared" si="20"/>
        <v>-20.124380650251808</v>
      </c>
      <c r="D180" s="9">
        <f t="shared" si="21"/>
        <v>4.9851113607993604E-3</v>
      </c>
      <c r="E180" s="9">
        <f t="shared" si="22"/>
        <v>-3.1444747319794904E-3</v>
      </c>
      <c r="F180" s="9">
        <f t="shared" si="23"/>
        <v>-281435.63210253103</v>
      </c>
      <c r="G180" s="9">
        <f t="shared" si="24"/>
        <v>224464.91793119014</v>
      </c>
      <c r="H180" s="9">
        <f t="shared" si="25"/>
        <v>-79.277642845784044</v>
      </c>
      <c r="I180" s="9">
        <f t="shared" si="26"/>
        <v>63.229554346810119</v>
      </c>
      <c r="J180" s="15"/>
      <c r="K180" s="15"/>
      <c r="L180" s="9">
        <f t="shared" si="27"/>
        <v>159774241.52436218</v>
      </c>
    </row>
    <row r="181" spans="1:12" x14ac:dyDescent="0.35">
      <c r="A181" s="9">
        <v>8650</v>
      </c>
      <c r="B181" s="9">
        <f t="shared" si="19"/>
        <v>31.574005641725627</v>
      </c>
      <c r="C181" s="9">
        <f t="shared" si="20"/>
        <v>-20.281286777084556</v>
      </c>
      <c r="D181" s="9">
        <f t="shared" si="21"/>
        <v>4.9771469353431684E-3</v>
      </c>
      <c r="E181" s="9">
        <f t="shared" si="22"/>
        <v>-3.1381225366549767E-3</v>
      </c>
      <c r="F181" s="9">
        <f t="shared" si="23"/>
        <v>-277471.74996024184</v>
      </c>
      <c r="G181" s="9">
        <f t="shared" si="24"/>
        <v>221303.44021384962</v>
      </c>
      <c r="H181" s="9">
        <f t="shared" si="25"/>
        <v>-79.277642845784044</v>
      </c>
      <c r="I181" s="9">
        <f t="shared" si="26"/>
        <v>63.229554346810119</v>
      </c>
      <c r="J181" s="15"/>
      <c r="K181" s="15"/>
      <c r="L181" s="9">
        <f t="shared" si="27"/>
        <v>158358595.2344408</v>
      </c>
    </row>
    <row r="182" spans="1:12" x14ac:dyDescent="0.35">
      <c r="A182" s="9">
        <v>8700</v>
      </c>
      <c r="B182" s="9">
        <f t="shared" si="19"/>
        <v>31.822466915400828</v>
      </c>
      <c r="C182" s="9">
        <f t="shared" si="20"/>
        <v>-20.437877007477976</v>
      </c>
      <c r="D182" s="9">
        <f t="shared" si="21"/>
        <v>4.9692254735039989E-3</v>
      </c>
      <c r="E182" s="9">
        <f t="shared" si="22"/>
        <v>-3.1318046078684172E-3</v>
      </c>
      <c r="F182" s="9">
        <f t="shared" si="23"/>
        <v>-273507.86781795265</v>
      </c>
      <c r="G182" s="9">
        <f t="shared" si="24"/>
        <v>218141.96249650911</v>
      </c>
      <c r="H182" s="9">
        <f t="shared" si="25"/>
        <v>-79.277642845784044</v>
      </c>
      <c r="I182" s="9">
        <f t="shared" si="26"/>
        <v>63.229554346810119</v>
      </c>
      <c r="J182" s="15"/>
      <c r="K182" s="15"/>
      <c r="L182" s="9">
        <f t="shared" si="27"/>
        <v>156942948.94451943</v>
      </c>
    </row>
    <row r="183" spans="1:12" x14ac:dyDescent="0.35">
      <c r="A183" s="9">
        <v>8750</v>
      </c>
      <c r="B183" s="9">
        <f t="shared" si="19"/>
        <v>32.070534303271423</v>
      </c>
      <c r="C183" s="9">
        <f t="shared" si="20"/>
        <v>-20.594153085949181</v>
      </c>
      <c r="D183" s="9">
        <f t="shared" si="21"/>
        <v>4.9613477574118577E-3</v>
      </c>
      <c r="E183" s="9">
        <f t="shared" si="22"/>
        <v>-3.1255215694240761E-3</v>
      </c>
      <c r="F183" s="9">
        <f t="shared" si="23"/>
        <v>-269543.98567566345</v>
      </c>
      <c r="G183" s="9">
        <f t="shared" si="24"/>
        <v>214980.48477916859</v>
      </c>
      <c r="H183" s="9">
        <f t="shared" si="25"/>
        <v>-79.277642845784044</v>
      </c>
      <c r="I183" s="9">
        <f t="shared" si="26"/>
        <v>63.229554346810119</v>
      </c>
      <c r="J183" s="15"/>
      <c r="K183" s="15"/>
      <c r="L183" s="9">
        <f t="shared" si="27"/>
        <v>155527302.65459806</v>
      </c>
    </row>
    <row r="184" spans="1:12" x14ac:dyDescent="0.35">
      <c r="A184" s="9">
        <v>8800</v>
      </c>
      <c r="B184" s="9">
        <f t="shared" si="19"/>
        <v>32.318210032808942</v>
      </c>
      <c r="C184" s="9">
        <f t="shared" si="20"/>
        <v>-20.750116789065018</v>
      </c>
      <c r="D184" s="9">
        <f t="shared" si="21"/>
        <v>4.9535145907503332E-3</v>
      </c>
      <c r="E184" s="9">
        <f t="shared" si="22"/>
        <v>-3.1192740623167321E-3</v>
      </c>
      <c r="F184" s="9">
        <f t="shared" si="23"/>
        <v>-265580.10353337426</v>
      </c>
      <c r="G184" s="9">
        <f t="shared" si="24"/>
        <v>211819.00706182807</v>
      </c>
      <c r="H184" s="9">
        <f t="shared" si="25"/>
        <v>-79.277642845784044</v>
      </c>
      <c r="I184" s="9">
        <f t="shared" si="26"/>
        <v>63.229554346810119</v>
      </c>
      <c r="J184" s="15"/>
      <c r="K184" s="15"/>
      <c r="L184" s="9">
        <f t="shared" si="27"/>
        <v>154111656.36467668</v>
      </c>
    </row>
    <row r="185" spans="1:12" x14ac:dyDescent="0.35">
      <c r="A185" s="9">
        <v>8850</v>
      </c>
      <c r="B185" s="9">
        <f t="shared" si="19"/>
        <v>32.56549637278674</v>
      </c>
      <c r="C185" s="9">
        <f t="shared" si="20"/>
        <v>-20.905769926333477</v>
      </c>
      <c r="D185" s="9">
        <f t="shared" si="21"/>
        <v>4.9457267995558904E-3</v>
      </c>
      <c r="E185" s="9">
        <f t="shared" si="22"/>
        <v>-3.1130627453691715E-3</v>
      </c>
      <c r="F185" s="9">
        <f t="shared" si="23"/>
        <v>-261616.22139108507</v>
      </c>
      <c r="G185" s="9">
        <f t="shared" si="24"/>
        <v>208657.52934448756</v>
      </c>
      <c r="H185" s="9">
        <f t="shared" si="25"/>
        <v>-79.277642845784044</v>
      </c>
      <c r="I185" s="9">
        <f t="shared" si="26"/>
        <v>63.229554346810119</v>
      </c>
      <c r="J185" s="15"/>
      <c r="K185" s="15"/>
      <c r="L185" s="9">
        <f t="shared" si="27"/>
        <v>152696010.07475531</v>
      </c>
    </row>
    <row r="186" spans="1:12" x14ac:dyDescent="0.35">
      <c r="A186" s="9">
        <v>8900</v>
      </c>
      <c r="B186" s="9">
        <f t="shared" si="19"/>
        <v>32.812395634439468</v>
      </c>
      <c r="C186" s="9">
        <f t="shared" si="20"/>
        <v>-21.061114341128452</v>
      </c>
      <c r="D186" s="9">
        <f t="shared" si="21"/>
        <v>4.9379852330545624E-3</v>
      </c>
      <c r="E186" s="9">
        <f t="shared" si="22"/>
        <v>-3.1068882958995092E-3</v>
      </c>
      <c r="F186" s="9">
        <f t="shared" si="23"/>
        <v>-257652.33924879588</v>
      </c>
      <c r="G186" s="9">
        <f t="shared" si="24"/>
        <v>205496.05162714704</v>
      </c>
      <c r="H186" s="9">
        <f t="shared" si="25"/>
        <v>-79.277642845784044</v>
      </c>
      <c r="I186" s="9">
        <f t="shared" si="26"/>
        <v>63.229554346810119</v>
      </c>
      <c r="J186" s="15"/>
      <c r="K186" s="15"/>
      <c r="L186" s="9">
        <f t="shared" si="27"/>
        <v>151280363.78483394</v>
      </c>
    </row>
    <row r="187" spans="1:12" x14ac:dyDescent="0.35">
      <c r="A187" s="9">
        <v>8950</v>
      </c>
      <c r="B187" s="9">
        <f t="shared" si="19"/>
        <v>33.05891017266638</v>
      </c>
      <c r="C187" s="9">
        <f t="shared" si="20"/>
        <v>-21.216151911649455</v>
      </c>
      <c r="D187" s="9">
        <f t="shared" si="21"/>
        <v>4.9302907645381606E-3</v>
      </c>
      <c r="E187" s="9">
        <f t="shared" si="22"/>
        <v>-3.1007514104200288E-3</v>
      </c>
      <c r="F187" s="9">
        <f t="shared" si="23"/>
        <v>-253688.45710650668</v>
      </c>
      <c r="G187" s="9">
        <f t="shared" si="24"/>
        <v>202334.57390980652</v>
      </c>
      <c r="H187" s="9">
        <f t="shared" si="25"/>
        <v>-79.277642845784044</v>
      </c>
      <c r="I187" s="9">
        <f t="shared" si="26"/>
        <v>63.229554346810119</v>
      </c>
      <c r="J187" s="15"/>
      <c r="K187" s="15"/>
      <c r="L187" s="9">
        <f t="shared" si="27"/>
        <v>149864717.49491256</v>
      </c>
    </row>
    <row r="188" spans="1:12" x14ac:dyDescent="0.35">
      <c r="A188" s="9">
        <v>9000</v>
      </c>
      <c r="B188" s="9">
        <f t="shared" si="19"/>
        <v>33.305042387280494</v>
      </c>
      <c r="C188" s="9">
        <f t="shared" si="20"/>
        <v>-21.370884551917921</v>
      </c>
      <c r="D188" s="9">
        <f t="shared" si="21"/>
        <v>4.9226442922822621E-3</v>
      </c>
      <c r="E188" s="9">
        <f t="shared" si="22"/>
        <v>-3.0946528053693435E-3</v>
      </c>
      <c r="F188" s="9">
        <f t="shared" si="23"/>
        <v>-249724.57496421749</v>
      </c>
      <c r="G188" s="9">
        <f t="shared" si="24"/>
        <v>199173.09619246601</v>
      </c>
      <c r="H188" s="9">
        <f t="shared" si="25"/>
        <v>-79.277642845784044</v>
      </c>
      <c r="I188" s="9">
        <f t="shared" si="26"/>
        <v>63.229554346810119</v>
      </c>
      <c r="J188" s="15"/>
      <c r="K188" s="15"/>
      <c r="L188" s="9">
        <f t="shared" si="27"/>
        <v>148449071.20499119</v>
      </c>
    </row>
    <row r="189" spans="1:12" x14ac:dyDescent="0.35">
      <c r="A189" s="9">
        <v>9050</v>
      </c>
      <c r="B189" s="9">
        <f t="shared" si="19"/>
        <v>33.550794724305916</v>
      </c>
      <c r="C189" s="9">
        <f t="shared" si="20"/>
        <v>-21.52531421281191</v>
      </c>
      <c r="D189" s="9">
        <f t="shared" si="21"/>
        <v>4.9150467405083935E-3</v>
      </c>
      <c r="E189" s="9">
        <f t="shared" si="22"/>
        <v>-3.0885932178798029E-3</v>
      </c>
      <c r="F189" s="9">
        <f t="shared" si="23"/>
        <v>-245760.6928219283</v>
      </c>
      <c r="G189" s="9">
        <f t="shared" si="24"/>
        <v>196011.61847512549</v>
      </c>
      <c r="H189" s="9">
        <f t="shared" si="25"/>
        <v>-79.277642845784044</v>
      </c>
      <c r="I189" s="9">
        <f t="shared" si="26"/>
        <v>63.229554346810119</v>
      </c>
      <c r="J189" s="15"/>
      <c r="K189" s="15"/>
      <c r="L189" s="9">
        <f t="shared" si="27"/>
        <v>147033424.91506982</v>
      </c>
    </row>
    <row r="190" spans="1:12" x14ac:dyDescent="0.35">
      <c r="A190" s="9">
        <v>9100</v>
      </c>
      <c r="B190" s="9">
        <f t="shared" si="19"/>
        <v>33.796169677325565</v>
      </c>
      <c r="C190" s="9">
        <f t="shared" si="20"/>
        <v>-21.679442883141022</v>
      </c>
      <c r="D190" s="9">
        <f t="shared" si="21"/>
        <v>4.9074990603929771E-3</v>
      </c>
      <c r="E190" s="9">
        <f t="shared" si="22"/>
        <v>-3.0825734065822031E-3</v>
      </c>
      <c r="F190" s="9">
        <f t="shared" si="23"/>
        <v>-241796.81067963911</v>
      </c>
      <c r="G190" s="9">
        <f t="shared" si="24"/>
        <v>192850.14075778497</v>
      </c>
      <c r="H190" s="9">
        <f t="shared" si="25"/>
        <v>-79.277642845784044</v>
      </c>
      <c r="I190" s="9">
        <f t="shared" si="26"/>
        <v>63.229554346810119</v>
      </c>
      <c r="J190" s="15"/>
      <c r="K190" s="15"/>
      <c r="L190" s="9">
        <f t="shared" si="27"/>
        <v>145617778.62514845</v>
      </c>
    </row>
    <row r="191" spans="1:12" x14ac:dyDescent="0.35">
      <c r="A191" s="9">
        <v>9150</v>
      </c>
      <c r="B191" s="9">
        <f t="shared" si="19"/>
        <v>34.041169788881852</v>
      </c>
      <c r="C191" s="9">
        <f t="shared" si="20"/>
        <v>-21.833272590763521</v>
      </c>
      <c r="D191" s="9">
        <f t="shared" si="21"/>
        <v>4.9000022311258083E-3</v>
      </c>
      <c r="E191" s="9">
        <f t="shared" si="22"/>
        <v>-3.0765941524499968E-3</v>
      </c>
      <c r="F191" s="9">
        <f t="shared" si="23"/>
        <v>-237832.92853734992</v>
      </c>
      <c r="G191" s="9">
        <f t="shared" si="24"/>
        <v>189688.66304044446</v>
      </c>
      <c r="H191" s="9">
        <f t="shared" si="25"/>
        <v>-79.277642845784044</v>
      </c>
      <c r="I191" s="9">
        <f t="shared" si="26"/>
        <v>63.229554346810119</v>
      </c>
      <c r="J191" s="15"/>
      <c r="K191" s="15"/>
      <c r="L191" s="9">
        <f t="shared" si="27"/>
        <v>144202132.33522707</v>
      </c>
    </row>
    <row r="192" spans="1:12" x14ac:dyDescent="0.35">
      <c r="A192" s="9">
        <v>9200</v>
      </c>
      <c r="B192" s="9">
        <f t="shared" si="19"/>
        <v>34.285797651932903</v>
      </c>
      <c r="C192" s="9">
        <f t="shared" si="20"/>
        <v>-21.986805403747788</v>
      </c>
      <c r="D192" s="9">
        <f t="shared" si="21"/>
        <v>4.8925572610210022E-3</v>
      </c>
      <c r="E192" s="9">
        <f t="shared" si="22"/>
        <v>-3.0706562596853502E-3</v>
      </c>
      <c r="F192" s="9">
        <f t="shared" si="23"/>
        <v>-233869.04639506072</v>
      </c>
      <c r="G192" s="9">
        <f t="shared" si="24"/>
        <v>186527.18532310394</v>
      </c>
      <c r="H192" s="9">
        <f t="shared" si="25"/>
        <v>-79.277642845784044</v>
      </c>
      <c r="I192" s="9">
        <f t="shared" si="26"/>
        <v>63.229554346810119</v>
      </c>
      <c r="J192" s="15"/>
      <c r="K192" s="15"/>
      <c r="L192" s="9">
        <f t="shared" si="27"/>
        <v>142786486.0453057</v>
      </c>
    </row>
    <row r="193" spans="1:12" x14ac:dyDescent="0.35">
      <c r="A193" s="9">
        <v>9250</v>
      </c>
      <c r="B193" s="9">
        <f t="shared" si="19"/>
        <v>34.530055911367079</v>
      </c>
      <c r="C193" s="9">
        <f t="shared" si="20"/>
        <v>-22.140043431580267</v>
      </c>
      <c r="D193" s="9">
        <f t="shared" si="21"/>
        <v>4.8851651886835639E-3</v>
      </c>
      <c r="E193" s="9">
        <f t="shared" si="22"/>
        <v>-3.0647605566495664E-3</v>
      </c>
      <c r="F193" s="9">
        <f t="shared" si="23"/>
        <v>-229905.16425277153</v>
      </c>
      <c r="G193" s="9">
        <f t="shared" si="24"/>
        <v>183365.70760576343</v>
      </c>
      <c r="H193" s="9">
        <f t="shared" si="25"/>
        <v>-79.277642845784044</v>
      </c>
      <c r="I193" s="9">
        <f t="shared" si="26"/>
        <v>63.229554346810119</v>
      </c>
      <c r="J193" s="15"/>
      <c r="K193" s="15"/>
      <c r="L193" s="9">
        <f t="shared" si="27"/>
        <v>141370839.75538433</v>
      </c>
    </row>
    <row r="194" spans="1:12" x14ac:dyDescent="0.35">
      <c r="A194" s="9">
        <v>9300</v>
      </c>
      <c r="B194" s="9">
        <f t="shared" si="19"/>
        <v>34.773947265578826</v>
      </c>
      <c r="C194" s="9">
        <f t="shared" si="20"/>
        <v>-22.292988826422295</v>
      </c>
      <c r="D194" s="9">
        <f t="shared" si="21"/>
        <v>4.8778270842349545E-3</v>
      </c>
      <c r="E194" s="9">
        <f t="shared" si="22"/>
        <v>-3.0589078968405641E-3</v>
      </c>
      <c r="F194" s="9">
        <f t="shared" si="23"/>
        <v>-225941.28211048234</v>
      </c>
      <c r="G194" s="9">
        <f t="shared" si="24"/>
        <v>180204.22988842291</v>
      </c>
      <c r="H194" s="9">
        <f t="shared" si="25"/>
        <v>-79.277642845784044</v>
      </c>
      <c r="I194" s="9">
        <f t="shared" si="26"/>
        <v>63.229554346810119</v>
      </c>
      <c r="J194" s="15"/>
      <c r="K194" s="15"/>
      <c r="L194" s="9">
        <f t="shared" si="27"/>
        <v>139955193.46546295</v>
      </c>
    </row>
    <row r="195" spans="1:12" x14ac:dyDescent="0.35">
      <c r="A195" s="9">
        <v>9350</v>
      </c>
      <c r="B195" s="9">
        <f t="shared" si="19"/>
        <v>35.017474468108887</v>
      </c>
      <c r="C195" s="9">
        <f t="shared" si="20"/>
        <v>-22.445643784418309</v>
      </c>
      <c r="D195" s="9">
        <f t="shared" si="21"/>
        <v>4.8705440506012793E-3</v>
      </c>
      <c r="E195" s="9">
        <f t="shared" si="22"/>
        <v>-3.0530991599202958E-3</v>
      </c>
      <c r="F195" s="9">
        <f t="shared" si="23"/>
        <v>-221977.39996819315</v>
      </c>
      <c r="G195" s="9">
        <f t="shared" si="24"/>
        <v>177042.75217108239</v>
      </c>
      <c r="H195" s="9">
        <f t="shared" si="25"/>
        <v>-79.277642845784044</v>
      </c>
      <c r="I195" s="9">
        <f t="shared" si="26"/>
        <v>63.229554346810119</v>
      </c>
      <c r="J195" s="15"/>
      <c r="K195" s="15"/>
      <c r="L195" s="9">
        <f t="shared" si="27"/>
        <v>138539547.17554158</v>
      </c>
    </row>
    <row r="196" spans="1:12" x14ac:dyDescent="0.35">
      <c r="A196" s="9">
        <v>9400</v>
      </c>
      <c r="B196" s="9">
        <f t="shared" si="19"/>
        <v>35.260640329352285</v>
      </c>
      <c r="C196" s="9">
        <f t="shared" si="20"/>
        <v>-22.59801054705807</v>
      </c>
      <c r="D196" s="9">
        <f t="shared" si="21"/>
        <v>4.8633172248679678E-3</v>
      </c>
      <c r="E196" s="9">
        <f t="shared" si="22"/>
        <v>-3.0473352527952027E-3</v>
      </c>
      <c r="F196" s="9">
        <f t="shared" si="23"/>
        <v>-218013.51782590395</v>
      </c>
      <c r="G196" s="9">
        <f t="shared" si="24"/>
        <v>173881.27445374188</v>
      </c>
      <c r="H196" s="9">
        <f t="shared" si="25"/>
        <v>-79.277642845784044</v>
      </c>
      <c r="I196" s="9">
        <f t="shared" si="26"/>
        <v>63.229554346810119</v>
      </c>
      <c r="J196" s="15"/>
      <c r="K196" s="15"/>
      <c r="L196" s="9">
        <f t="shared" si="27"/>
        <v>137123900.88562021</v>
      </c>
    </row>
    <row r="197" spans="1:12" x14ac:dyDescent="0.35">
      <c r="A197" s="9">
        <v>9450</v>
      </c>
      <c r="B197" s="9">
        <f t="shared" si="19"/>
        <v>35.50344771833754</v>
      </c>
      <c r="C197" s="9">
        <f t="shared" si="20"/>
        <v>-22.750091402595721</v>
      </c>
      <c r="D197" s="9">
        <f t="shared" si="21"/>
        <v>4.8561477797051103E-3</v>
      </c>
      <c r="E197" s="9">
        <f t="shared" si="22"/>
        <v>-3.0416171107530226E-3</v>
      </c>
      <c r="F197" s="9">
        <f t="shared" si="23"/>
        <v>-214049.63568361476</v>
      </c>
      <c r="G197" s="9">
        <f t="shared" si="24"/>
        <v>170719.79673640136</v>
      </c>
      <c r="H197" s="9">
        <f t="shared" si="25"/>
        <v>-79.277642845784044</v>
      </c>
      <c r="I197" s="9">
        <f t="shared" si="26"/>
        <v>63.229554346810119</v>
      </c>
      <c r="J197" s="15"/>
      <c r="K197" s="15"/>
      <c r="L197" s="9">
        <f t="shared" si="27"/>
        <v>135708254.59569883</v>
      </c>
    </row>
    <row r="198" spans="1:12" x14ac:dyDescent="0.35">
      <c r="A198" s="9">
        <v>9500</v>
      </c>
      <c r="B198" s="9">
        <f t="shared" si="19"/>
        <v>35.745899564580938</v>
      </c>
      <c r="C198" s="9">
        <f t="shared" si="20"/>
        <v>-22.901888687528697</v>
      </c>
      <c r="D198" s="9">
        <f t="shared" si="21"/>
        <v>4.8490369248679228E-3</v>
      </c>
      <c r="E198" s="9">
        <f t="shared" si="22"/>
        <v>-3.0359456986595161E-3</v>
      </c>
      <c r="F198" s="9">
        <f t="shared" si="23"/>
        <v>-210085.75354132557</v>
      </c>
      <c r="G198" s="9">
        <f t="shared" si="24"/>
        <v>167558.31901906084</v>
      </c>
      <c r="H198" s="9">
        <f t="shared" si="25"/>
        <v>-79.277642845784044</v>
      </c>
      <c r="I198" s="9">
        <f t="shared" si="26"/>
        <v>63.229554346810119</v>
      </c>
      <c r="J198" s="15"/>
      <c r="K198" s="15"/>
      <c r="L198" s="9">
        <f t="shared" si="27"/>
        <v>134292608.30577746</v>
      </c>
    </row>
    <row r="199" spans="1:12" x14ac:dyDescent="0.35">
      <c r="A199" s="9">
        <v>9550</v>
      </c>
      <c r="B199" s="9">
        <f t="shared" si="19"/>
        <v>35.987998860019793</v>
      </c>
      <c r="C199" s="9">
        <f t="shared" si="20"/>
        <v>-23.053404788139645</v>
      </c>
      <c r="D199" s="9">
        <f t="shared" si="21"/>
        <v>4.8419859087771387E-3</v>
      </c>
      <c r="E199" s="9">
        <f t="shared" si="22"/>
        <v>-3.0303220122189418E-3</v>
      </c>
      <c r="F199" s="9">
        <f t="shared" si="23"/>
        <v>-206121.87139903638</v>
      </c>
      <c r="G199" s="9">
        <f t="shared" si="24"/>
        <v>164396.84130172033</v>
      </c>
      <c r="H199" s="9">
        <f t="shared" si="25"/>
        <v>-79.277642845784044</v>
      </c>
      <c r="I199" s="9">
        <f t="shared" si="26"/>
        <v>63.229554346810119</v>
      </c>
      <c r="J199" s="15"/>
      <c r="K199" s="15"/>
      <c r="L199" s="9">
        <f t="shared" si="27"/>
        <v>132876962.01585607</v>
      </c>
    </row>
    <row r="200" spans="1:12" x14ac:dyDescent="0.35">
      <c r="A200" s="9">
        <v>9600</v>
      </c>
      <c r="B200" s="9">
        <f t="shared" si="19"/>
        <v>36.229748661029021</v>
      </c>
      <c r="C200" s="9">
        <f t="shared" si="20"/>
        <v>-23.204642142104763</v>
      </c>
      <c r="D200" s="9">
        <f t="shared" si="21"/>
        <v>4.8349960201844924E-3</v>
      </c>
      <c r="E200" s="9">
        <f t="shared" si="22"/>
        <v>-3.0247470793023984E-3</v>
      </c>
      <c r="F200" s="9">
        <f t="shared" si="23"/>
        <v>-202157.98925674718</v>
      </c>
      <c r="G200" s="9">
        <f t="shared" si="24"/>
        <v>161235.36358437981</v>
      </c>
      <c r="H200" s="9">
        <f t="shared" si="25"/>
        <v>-79.277642845784044</v>
      </c>
      <c r="I200" s="9">
        <f t="shared" si="26"/>
        <v>63.229554346810119</v>
      </c>
      <c r="J200" s="15"/>
      <c r="K200" s="15"/>
      <c r="L200" s="9">
        <f t="shared" si="27"/>
        <v>131461315.72593468</v>
      </c>
    </row>
    <row r="201" spans="1:12" x14ac:dyDescent="0.35">
      <c r="A201" s="9">
        <v>9650</v>
      </c>
      <c r="B201" s="9">
        <f t="shared" si="19"/>
        <v>36.471152090525464</v>
      </c>
      <c r="C201" s="9">
        <f t="shared" si="20"/>
        <v>-23.355603240172186</v>
      </c>
      <c r="D201" s="9">
        <f t="shared" si="21"/>
        <v>4.8280685899288545E-3</v>
      </c>
      <c r="E201" s="9">
        <f t="shared" si="22"/>
        <v>-3.0192219613484664E-3</v>
      </c>
      <c r="F201" s="9">
        <f t="shared" si="23"/>
        <v>-198194.10711445799</v>
      </c>
      <c r="G201" s="9">
        <f t="shared" si="24"/>
        <v>158073.88586703929</v>
      </c>
      <c r="H201" s="9">
        <f t="shared" si="25"/>
        <v>-79.277642845784044</v>
      </c>
      <c r="I201" s="9">
        <f t="shared" si="26"/>
        <v>63.229554346810119</v>
      </c>
      <c r="J201" s="15"/>
      <c r="K201" s="15"/>
      <c r="L201" s="9">
        <f t="shared" si="27"/>
        <v>130045669.4360133</v>
      </c>
    </row>
    <row r="202" spans="1:12" x14ac:dyDescent="0.35">
      <c r="A202" s="9">
        <v>9700</v>
      </c>
      <c r="B202" s="9">
        <f t="shared" ref="B202:B252" si="28">B201+D202*$P$1</f>
        <v>36.712212340164918</v>
      </c>
      <c r="C202" s="9">
        <f t="shared" ref="C202:C252" si="29">C201+E202*$P$1</f>
        <v>-23.506290627914233</v>
      </c>
      <c r="D202" s="9">
        <f t="shared" ref="D202:D252" si="30">D201+F202/$L202/$S$4*$P$1</f>
        <v>4.8212049927890037E-3</v>
      </c>
      <c r="E202" s="9">
        <f t="shared" ref="E202:E252" si="31">E201+G202/$L202/$S$4*$P$1</f>
        <v>-3.0137477548409265E-3</v>
      </c>
      <c r="F202" s="9">
        <f t="shared" ref="F202:F252" si="32">F201-H202*$P$1</f>
        <v>-194230.2249721688</v>
      </c>
      <c r="G202" s="9">
        <f t="shared" ref="G202:G252" si="33">G201-I202*$P$1</f>
        <v>154912.40814969878</v>
      </c>
      <c r="H202" s="9">
        <f t="shared" ref="H202:H252" si="34">H201+J202</f>
        <v>-79.277642845784044</v>
      </c>
      <c r="I202" s="9">
        <f t="shared" ref="I202:I252" si="35">I201+K202</f>
        <v>63.229554346810119</v>
      </c>
      <c r="J202" s="15"/>
      <c r="K202" s="15"/>
      <c r="L202" s="9">
        <f t="shared" ref="L202:L252" si="36">IF($A202&lt;1830, $S$1, L201-$S$3)</f>
        <v>128630023.14609191</v>
      </c>
    </row>
    <row r="203" spans="1:12" x14ac:dyDescent="0.35">
      <c r="A203" s="9">
        <v>9750</v>
      </c>
      <c r="B203" s="9">
        <f t="shared" si="28"/>
        <v>36.952932672636891</v>
      </c>
      <c r="C203" s="9">
        <f t="shared" si="29"/>
        <v>-23.656706907557666</v>
      </c>
      <c r="D203" s="9">
        <f t="shared" si="30"/>
        <v>4.8144066494394868E-3</v>
      </c>
      <c r="E203" s="9">
        <f t="shared" si="31"/>
        <v>-3.0083255928686943E-3</v>
      </c>
      <c r="F203" s="9">
        <f t="shared" si="32"/>
        <v>-190266.34282987961</v>
      </c>
      <c r="G203" s="9">
        <f t="shared" si="33"/>
        <v>151750.93043235826</v>
      </c>
      <c r="H203" s="9">
        <f t="shared" si="34"/>
        <v>-79.277642845784044</v>
      </c>
      <c r="I203" s="9">
        <f t="shared" si="35"/>
        <v>63.229554346810119</v>
      </c>
      <c r="J203" s="15"/>
      <c r="K203" s="15"/>
      <c r="L203" s="9">
        <f t="shared" si="36"/>
        <v>127214376.85617052</v>
      </c>
    </row>
    <row r="204" spans="1:12" x14ac:dyDescent="0.35">
      <c r="A204" s="9">
        <v>9800</v>
      </c>
      <c r="B204" s="9">
        <f t="shared" si="28"/>
        <v>37.193316424062715</v>
      </c>
      <c r="C204" s="9">
        <f t="shared" si="29"/>
        <v>-23.806854739896341</v>
      </c>
      <c r="D204" s="9">
        <f t="shared" si="30"/>
        <v>4.807675028516525E-3</v>
      </c>
      <c r="E204" s="9">
        <f t="shared" si="31"/>
        <v>-3.0029566467735316E-3</v>
      </c>
      <c r="F204" s="9">
        <f t="shared" si="32"/>
        <v>-186302.46068759041</v>
      </c>
      <c r="G204" s="9">
        <f t="shared" si="33"/>
        <v>148589.45271501775</v>
      </c>
      <c r="H204" s="9">
        <f t="shared" si="34"/>
        <v>-79.277642845784044</v>
      </c>
      <c r="I204" s="9">
        <f t="shared" si="35"/>
        <v>63.229554346810119</v>
      </c>
      <c r="J204" s="15"/>
      <c r="K204" s="15"/>
      <c r="L204" s="9">
        <f t="shared" si="36"/>
        <v>125798730.56624913</v>
      </c>
    </row>
    <row r="205" spans="1:12" x14ac:dyDescent="0.35">
      <c r="A205" s="9">
        <v>9850</v>
      </c>
      <c r="B205" s="9">
        <f t="shared" si="28"/>
        <v>37.433367006502792</v>
      </c>
      <c r="C205" s="9">
        <f t="shared" si="29"/>
        <v>-23.956736846290916</v>
      </c>
      <c r="D205" s="9">
        <f t="shared" si="30"/>
        <v>4.8010116488014891E-3</v>
      </c>
      <c r="E205" s="9">
        <f t="shared" si="31"/>
        <v>-2.9976421278915194E-3</v>
      </c>
      <c r="F205" s="9">
        <f t="shared" si="32"/>
        <v>-182338.57854530122</v>
      </c>
      <c r="G205" s="9">
        <f t="shared" si="33"/>
        <v>145427.97499767723</v>
      </c>
      <c r="H205" s="9">
        <f t="shared" si="34"/>
        <v>-79.277642845784044</v>
      </c>
      <c r="I205" s="9">
        <f t="shared" si="35"/>
        <v>63.229554346810119</v>
      </c>
      <c r="J205" s="15"/>
      <c r="K205" s="15"/>
      <c r="L205" s="9">
        <f t="shared" si="36"/>
        <v>124383084.27632774</v>
      </c>
    </row>
    <row r="206" spans="1:12" x14ac:dyDescent="0.35">
      <c r="A206" s="9">
        <v>9900</v>
      </c>
      <c r="B206" s="9">
        <f t="shared" si="28"/>
        <v>37.673087910579298</v>
      </c>
      <c r="C206" s="9">
        <f t="shared" si="29"/>
        <v>-24.106356010760656</v>
      </c>
      <c r="D206" s="9">
        <f t="shared" si="30"/>
        <v>4.7944180815300561E-3</v>
      </c>
      <c r="E206" s="9">
        <f t="shared" si="31"/>
        <v>-2.9923832893947763E-3</v>
      </c>
      <c r="F206" s="9">
        <f t="shared" si="32"/>
        <v>-178374.69640301203</v>
      </c>
      <c r="G206" s="9">
        <f t="shared" si="33"/>
        <v>142266.49728033671</v>
      </c>
      <c r="H206" s="9">
        <f t="shared" si="34"/>
        <v>-79.277642845784044</v>
      </c>
      <c r="I206" s="9">
        <f t="shared" si="35"/>
        <v>63.229554346810119</v>
      </c>
      <c r="J206" s="15"/>
      <c r="K206" s="15"/>
      <c r="L206" s="9">
        <f t="shared" si="36"/>
        <v>122967437.98640636</v>
      </c>
    </row>
    <row r="207" spans="1:12" x14ac:dyDescent="0.35">
      <c r="A207" s="9">
        <v>9950</v>
      </c>
      <c r="B207" s="9">
        <f t="shared" si="28"/>
        <v>37.912482708221091</v>
      </c>
      <c r="C207" s="9">
        <f t="shared" si="29"/>
        <v>-24.255715082172678</v>
      </c>
      <c r="D207" s="9">
        <f t="shared" si="30"/>
        <v>4.7878959528358331E-3</v>
      </c>
      <c r="E207" s="9">
        <f t="shared" si="31"/>
        <v>-2.9871814282404216E-3</v>
      </c>
      <c r="F207" s="9">
        <f t="shared" si="32"/>
        <v>-174410.81426072284</v>
      </c>
      <c r="G207" s="9">
        <f t="shared" si="33"/>
        <v>139105.0195629962</v>
      </c>
      <c r="H207" s="9">
        <f t="shared" si="34"/>
        <v>-79.277642845784044</v>
      </c>
      <c r="I207" s="9">
        <f t="shared" si="35"/>
        <v>63.229554346810119</v>
      </c>
      <c r="J207" s="15"/>
      <c r="K207" s="15"/>
      <c r="L207" s="9">
        <f t="shared" si="36"/>
        <v>121551791.69648497</v>
      </c>
    </row>
    <row r="208" spans="1:12" x14ac:dyDescent="0.35">
      <c r="A208" s="9">
        <v>10000</v>
      </c>
      <c r="B208" s="9">
        <f t="shared" si="28"/>
        <v>38.15155505553799</v>
      </c>
      <c r="C208" s="9">
        <f t="shared" si="29"/>
        <v>-24.404816976534395</v>
      </c>
      <c r="D208" s="9">
        <f t="shared" si="30"/>
        <v>4.7814469463379585E-3</v>
      </c>
      <c r="E208" s="9">
        <f t="shared" si="31"/>
        <v>-2.9820378872343709E-3</v>
      </c>
      <c r="F208" s="9">
        <f t="shared" si="32"/>
        <v>-170446.93211843364</v>
      </c>
      <c r="G208" s="9">
        <f t="shared" si="33"/>
        <v>135943.54184565568</v>
      </c>
      <c r="H208" s="9">
        <f t="shared" si="34"/>
        <v>-79.277642845784044</v>
      </c>
      <c r="I208" s="9">
        <f t="shared" si="35"/>
        <v>63.229554346810119</v>
      </c>
      <c r="J208" s="15"/>
      <c r="K208" s="15"/>
      <c r="L208" s="9">
        <f t="shared" si="36"/>
        <v>120136145.40656358</v>
      </c>
    </row>
    <row r="209" spans="1:12" x14ac:dyDescent="0.35">
      <c r="A209" s="9">
        <v>10050</v>
      </c>
      <c r="B209" s="9">
        <f t="shared" si="28"/>
        <v>38.39030869583214</v>
      </c>
      <c r="C209" s="9">
        <f t="shared" si="29"/>
        <v>-24.553664679395304</v>
      </c>
      <c r="D209" s="9">
        <f t="shared" si="30"/>
        <v>4.7750728058829749E-3</v>
      </c>
      <c r="E209" s="9">
        <f t="shared" si="31"/>
        <v>-2.9769540572181755E-3</v>
      </c>
      <c r="F209" s="9">
        <f t="shared" si="32"/>
        <v>-166483.04997614445</v>
      </c>
      <c r="G209" s="9">
        <f t="shared" si="33"/>
        <v>132782.06412831516</v>
      </c>
      <c r="H209" s="9">
        <f t="shared" si="34"/>
        <v>-79.277642845784044</v>
      </c>
      <c r="I209" s="9">
        <f t="shared" si="35"/>
        <v>63.229554346810119</v>
      </c>
      <c r="J209" s="15"/>
      <c r="K209" s="15"/>
      <c r="L209" s="9">
        <f t="shared" si="36"/>
        <v>118720499.11664219</v>
      </c>
    </row>
    <row r="210" spans="1:12" x14ac:dyDescent="0.35">
      <c r="A210" s="9">
        <v>10100</v>
      </c>
      <c r="B210" s="9">
        <f t="shared" si="28"/>
        <v>38.628747462754745</v>
      </c>
      <c r="C210" s="9">
        <f t="shared" si="29"/>
        <v>-24.702261248364696</v>
      </c>
      <c r="D210" s="9">
        <f t="shared" si="30"/>
        <v>4.7687753384521511E-3</v>
      </c>
      <c r="E210" s="9">
        <f t="shared" si="31"/>
        <v>-2.9719313793878169E-3</v>
      </c>
      <c r="F210" s="9">
        <f t="shared" si="32"/>
        <v>-162519.16783385526</v>
      </c>
      <c r="G210" s="9">
        <f t="shared" si="33"/>
        <v>129620.58641097466</v>
      </c>
      <c r="H210" s="9">
        <f t="shared" si="34"/>
        <v>-79.277642845784044</v>
      </c>
      <c r="I210" s="9">
        <f t="shared" si="35"/>
        <v>63.229554346810119</v>
      </c>
      <c r="J210" s="15"/>
      <c r="K210" s="15"/>
      <c r="L210" s="9">
        <f t="shared" si="36"/>
        <v>117304852.8267208</v>
      </c>
    </row>
    <row r="211" spans="1:12" x14ac:dyDescent="0.35">
      <c r="A211" s="9">
        <v>10150</v>
      </c>
      <c r="B211" s="9">
        <f t="shared" si="28"/>
        <v>38.866875283617063</v>
      </c>
      <c r="C211" s="9">
        <f t="shared" si="29"/>
        <v>-24.850609815752403</v>
      </c>
      <c r="D211" s="9">
        <f t="shared" si="30"/>
        <v>4.7625564172463723E-3</v>
      </c>
      <c r="E211" s="9">
        <f t="shared" si="31"/>
        <v>-2.9669713477541281E-3</v>
      </c>
      <c r="F211" s="9">
        <f t="shared" si="32"/>
        <v>-158555.28569156607</v>
      </c>
      <c r="G211" s="9">
        <f t="shared" si="33"/>
        <v>126459.10869363416</v>
      </c>
      <c r="H211" s="9">
        <f t="shared" si="34"/>
        <v>-79.277642845784044</v>
      </c>
      <c r="I211" s="9">
        <f t="shared" si="35"/>
        <v>63.229554346810119</v>
      </c>
      <c r="J211" s="15"/>
      <c r="K211" s="15"/>
      <c r="L211" s="9">
        <f t="shared" si="36"/>
        <v>115889206.53679942</v>
      </c>
    </row>
    <row r="212" spans="1:12" x14ac:dyDescent="0.35">
      <c r="A212" s="9">
        <v>10200</v>
      </c>
      <c r="B212" s="9">
        <f t="shared" si="28"/>
        <v>39.104696182865155</v>
      </c>
      <c r="C212" s="9">
        <f t="shared" si="29"/>
        <v>-24.99871359134017</v>
      </c>
      <c r="D212" s="9">
        <f t="shared" si="30"/>
        <v>4.7564179849617838E-3</v>
      </c>
      <c r="E212" s="9">
        <f t="shared" si="31"/>
        <v>-2.9620755117553501E-3</v>
      </c>
      <c r="F212" s="9">
        <f t="shared" si="32"/>
        <v>-154591.40354927687</v>
      </c>
      <c r="G212" s="9">
        <f t="shared" si="33"/>
        <v>123297.63097629366</v>
      </c>
      <c r="H212" s="9">
        <f t="shared" si="34"/>
        <v>-79.277642845784044</v>
      </c>
      <c r="I212" s="9">
        <f t="shared" si="35"/>
        <v>63.229554346810119</v>
      </c>
      <c r="J212" s="15"/>
      <c r="K212" s="15"/>
      <c r="L212" s="9">
        <f t="shared" si="36"/>
        <v>114473560.24687803</v>
      </c>
    </row>
    <row r="213" spans="1:12" x14ac:dyDescent="0.35">
      <c r="A213" s="9">
        <v>10250</v>
      </c>
      <c r="B213" s="9">
        <f t="shared" si="28"/>
        <v>39.34221428572868</v>
      </c>
      <c r="C213" s="9">
        <f t="shared" si="29"/>
        <v>-25.146575865291833</v>
      </c>
      <c r="D213" s="9">
        <f t="shared" si="30"/>
        <v>4.7503620572705071E-3</v>
      </c>
      <c r="E213" s="9">
        <f t="shared" si="31"/>
        <v>-2.9572454790332513E-3</v>
      </c>
      <c r="F213" s="9">
        <f t="shared" si="32"/>
        <v>-150627.52140698768</v>
      </c>
      <c r="G213" s="9">
        <f t="shared" si="33"/>
        <v>120136.15325895316</v>
      </c>
      <c r="H213" s="9">
        <f t="shared" si="34"/>
        <v>-79.277642845784044</v>
      </c>
      <c r="I213" s="9">
        <f t="shared" si="35"/>
        <v>63.229554346810119</v>
      </c>
      <c r="J213" s="15"/>
      <c r="K213" s="15"/>
      <c r="L213" s="9">
        <f t="shared" si="36"/>
        <v>113057913.95695664</v>
      </c>
    </row>
    <row r="214" spans="1:12" x14ac:dyDescent="0.35">
      <c r="A214" s="9">
        <v>10300</v>
      </c>
      <c r="B214" s="9">
        <f t="shared" si="28"/>
        <v>39.579433822054781</v>
      </c>
      <c r="C214" s="9">
        <f t="shared" si="29"/>
        <v>-25.294200011211096</v>
      </c>
      <c r="D214" s="9">
        <f t="shared" si="30"/>
        <v>4.7443907265220416E-3</v>
      </c>
      <c r="E214" s="9">
        <f t="shared" si="31"/>
        <v>-2.9524829183852587E-3</v>
      </c>
      <c r="F214" s="9">
        <f t="shared" si="32"/>
        <v>-146663.63926469849</v>
      </c>
      <c r="G214" s="9">
        <f t="shared" si="33"/>
        <v>116974.67554161265</v>
      </c>
      <c r="H214" s="9">
        <f t="shared" si="34"/>
        <v>-79.277642845784044</v>
      </c>
      <c r="I214" s="9">
        <f t="shared" si="35"/>
        <v>63.229554346810119</v>
      </c>
      <c r="J214" s="15"/>
      <c r="K214" s="15"/>
      <c r="L214" s="9">
        <f t="shared" si="36"/>
        <v>111642267.66703525</v>
      </c>
    </row>
    <row r="215" spans="1:12" x14ac:dyDescent="0.35">
      <c r="A215" s="9">
        <v>10350</v>
      </c>
      <c r="B215" s="9">
        <f t="shared" si="28"/>
        <v>39.816359130338896</v>
      </c>
      <c r="C215" s="9">
        <f t="shared" si="29"/>
        <v>-25.441589489356403</v>
      </c>
      <c r="D215" s="9">
        <f t="shared" si="30"/>
        <v>4.7385061656823498E-3</v>
      </c>
      <c r="E215" s="9">
        <f t="shared" si="31"/>
        <v>-2.9477895629061576E-3</v>
      </c>
      <c r="F215" s="9">
        <f t="shared" si="32"/>
        <v>-142699.7571224093</v>
      </c>
      <c r="G215" s="9">
        <f t="shared" si="33"/>
        <v>113813.19782427215</v>
      </c>
      <c r="H215" s="9">
        <f t="shared" si="34"/>
        <v>-79.277642845784044</v>
      </c>
      <c r="I215" s="9">
        <f t="shared" si="35"/>
        <v>63.229554346810119</v>
      </c>
      <c r="J215" s="15"/>
      <c r="K215" s="15"/>
      <c r="L215" s="9">
        <f t="shared" si="36"/>
        <v>110226621.37711386</v>
      </c>
    </row>
    <row r="216" spans="1:12" x14ac:dyDescent="0.35">
      <c r="A216" s="9">
        <v>10400</v>
      </c>
      <c r="B216" s="9">
        <f t="shared" si="28"/>
        <v>40.052994661965357</v>
      </c>
      <c r="C216" s="9">
        <f t="shared" si="29"/>
        <v>-25.588747850023111</v>
      </c>
      <c r="D216" s="9">
        <f t="shared" si="30"/>
        <v>4.7327106325291855E-3</v>
      </c>
      <c r="E216" s="9">
        <f t="shared" si="31"/>
        <v>-2.9431672133341646E-3</v>
      </c>
      <c r="F216" s="9">
        <f t="shared" si="32"/>
        <v>-138735.8749801201</v>
      </c>
      <c r="G216" s="9">
        <f t="shared" si="33"/>
        <v>110651.72010693165</v>
      </c>
      <c r="H216" s="9">
        <f t="shared" si="34"/>
        <v>-79.277642845784044</v>
      </c>
      <c r="I216" s="9">
        <f t="shared" si="35"/>
        <v>63.229554346810119</v>
      </c>
      <c r="J216" s="15"/>
      <c r="K216" s="15"/>
      <c r="L216" s="9">
        <f t="shared" si="36"/>
        <v>108810975.08719248</v>
      </c>
    </row>
    <row r="217" spans="1:12" x14ac:dyDescent="0.35">
      <c r="A217" s="9">
        <v>10450</v>
      </c>
      <c r="B217" s="9">
        <f t="shared" si="28"/>
        <v>40.289344985671555</v>
      </c>
      <c r="C217" s="9">
        <f t="shared" si="29"/>
        <v>-25.735678737103989</v>
      </c>
      <c r="D217" s="9">
        <f t="shared" si="30"/>
        <v>4.7270064741239248E-3</v>
      </c>
      <c r="E217" s="9">
        <f t="shared" si="31"/>
        <v>-2.9386177416175305E-3</v>
      </c>
      <c r="F217" s="9">
        <f t="shared" si="32"/>
        <v>-134771.99283783091</v>
      </c>
      <c r="G217" s="9">
        <f t="shared" si="33"/>
        <v>107490.24238959115</v>
      </c>
      <c r="H217" s="9">
        <f t="shared" si="34"/>
        <v>-79.277642845784044</v>
      </c>
      <c r="I217" s="9">
        <f t="shared" si="35"/>
        <v>63.229554346810119</v>
      </c>
      <c r="J217" s="15"/>
      <c r="K217" s="15"/>
      <c r="L217" s="9">
        <f t="shared" si="36"/>
        <v>107395328.79727109</v>
      </c>
    </row>
    <row r="218" spans="1:12" x14ac:dyDescent="0.35">
      <c r="A218" s="9">
        <v>10500</v>
      </c>
      <c r="B218" s="9">
        <f t="shared" si="28"/>
        <v>40.525414792250658</v>
      </c>
      <c r="C218" s="9">
        <f t="shared" si="29"/>
        <v>-25.882385891839956</v>
      </c>
      <c r="D218" s="9">
        <f t="shared" si="30"/>
        <v>4.7213961315820691E-3</v>
      </c>
      <c r="E218" s="9">
        <f t="shared" si="31"/>
        <v>-2.9341430947193549E-3</v>
      </c>
      <c r="F218" s="9">
        <f t="shared" si="32"/>
        <v>-130808.11069554171</v>
      </c>
      <c r="G218" s="9">
        <f t="shared" si="33"/>
        <v>104328.76467225065</v>
      </c>
      <c r="H218" s="9">
        <f t="shared" si="34"/>
        <v>-79.277642845784044</v>
      </c>
      <c r="I218" s="9">
        <f t="shared" si="35"/>
        <v>63.229554346810119</v>
      </c>
      <c r="J218" s="15"/>
      <c r="K218" s="15"/>
      <c r="L218" s="9">
        <f t="shared" si="36"/>
        <v>105979682.5073497</v>
      </c>
    </row>
    <row r="219" spans="1:12" x14ac:dyDescent="0.35">
      <c r="A219" s="9">
        <v>10550</v>
      </c>
      <c r="B219" s="9">
        <f t="shared" si="28"/>
        <v>40.761208899508993</v>
      </c>
      <c r="C219" s="9">
        <f t="shared" si="29"/>
        <v>-26.028873156773955</v>
      </c>
      <c r="D219" s="9">
        <f t="shared" si="30"/>
        <v>4.7158821451666715E-3</v>
      </c>
      <c r="E219" s="9">
        <f t="shared" si="31"/>
        <v>-2.9297452986799567E-3</v>
      </c>
      <c r="F219" s="9">
        <f t="shared" si="32"/>
        <v>-126844.2285532525</v>
      </c>
      <c r="G219" s="9">
        <f t="shared" si="33"/>
        <v>101167.28695491015</v>
      </c>
      <c r="H219" s="9">
        <f t="shared" si="34"/>
        <v>-79.277642845784044</v>
      </c>
      <c r="I219" s="9">
        <f t="shared" si="35"/>
        <v>63.229554346810119</v>
      </c>
      <c r="J219" s="15"/>
      <c r="K219" s="15"/>
      <c r="L219" s="9">
        <f t="shared" si="36"/>
        <v>104564036.21742831</v>
      </c>
    </row>
    <row r="220" spans="1:12" x14ac:dyDescent="0.35">
      <c r="A220" s="9">
        <v>10600</v>
      </c>
      <c r="B220" s="9">
        <f t="shared" si="28"/>
        <v>40.996732257495559</v>
      </c>
      <c r="C220" s="9">
        <f t="shared" si="29"/>
        <v>-26.175144479921855</v>
      </c>
      <c r="D220" s="9">
        <f t="shared" si="30"/>
        <v>4.7104671597312875E-3</v>
      </c>
      <c r="E220" s="9">
        <f t="shared" si="31"/>
        <v>-2.9254264629580131E-3</v>
      </c>
      <c r="F220" s="9">
        <f t="shared" si="32"/>
        <v>-122880.34641096329</v>
      </c>
      <c r="G220" s="9">
        <f t="shared" si="33"/>
        <v>98005.809237569643</v>
      </c>
      <c r="H220" s="9">
        <f t="shared" si="34"/>
        <v>-79.277642845784044</v>
      </c>
      <c r="I220" s="9">
        <f t="shared" si="35"/>
        <v>63.229554346810119</v>
      </c>
      <c r="J220" s="15"/>
      <c r="K220" s="15"/>
      <c r="L220" s="9">
        <f t="shared" si="36"/>
        <v>103148389.92750692</v>
      </c>
    </row>
    <row r="221" spans="1:12" x14ac:dyDescent="0.35">
      <c r="A221" s="9">
        <v>10650</v>
      </c>
      <c r="B221" s="9">
        <f t="shared" si="28"/>
        <v>41.231989954022637</v>
      </c>
      <c r="C221" s="9">
        <f t="shared" si="29"/>
        <v>-26.321203919175542</v>
      </c>
      <c r="D221" s="9">
        <f t="shared" si="30"/>
        <v>4.7051539305416274E-3</v>
      </c>
      <c r="E221" s="9">
        <f t="shared" si="31"/>
        <v>-2.921188785073742E-3</v>
      </c>
      <c r="F221" s="9">
        <f t="shared" si="32"/>
        <v>-118916.46426867408</v>
      </c>
      <c r="G221" s="9">
        <f t="shared" si="33"/>
        <v>94844.331520229141</v>
      </c>
      <c r="H221" s="9">
        <f t="shared" si="34"/>
        <v>-79.277642845784044</v>
      </c>
      <c r="I221" s="9">
        <f t="shared" si="35"/>
        <v>63.229554346810119</v>
      </c>
      <c r="J221" s="15"/>
      <c r="K221" s="15"/>
      <c r="L221" s="9">
        <f t="shared" si="36"/>
        <v>101732743.63758554</v>
      </c>
    </row>
    <row r="222" spans="1:12" x14ac:dyDescent="0.35">
      <c r="A222" s="9">
        <v>10700</v>
      </c>
      <c r="B222" s="9">
        <f t="shared" si="28"/>
        <v>41.466987220498034</v>
      </c>
      <c r="C222" s="9">
        <f t="shared" si="29"/>
        <v>-26.467055646954528</v>
      </c>
      <c r="D222" s="9">
        <f t="shared" si="30"/>
        <v>4.6999453295079744E-3</v>
      </c>
      <c r="E222" s="9">
        <f t="shared" si="31"/>
        <v>-2.9170345555796975E-3</v>
      </c>
      <c r="F222" s="9">
        <f t="shared" si="32"/>
        <v>-114952.58212638488</v>
      </c>
      <c r="G222" s="9">
        <f t="shared" si="33"/>
        <v>91682.85380288864</v>
      </c>
      <c r="H222" s="9">
        <f t="shared" si="34"/>
        <v>-79.277642845784044</v>
      </c>
      <c r="I222" s="9">
        <f t="shared" si="35"/>
        <v>63.229554346810119</v>
      </c>
      <c r="J222" s="15"/>
      <c r="K222" s="15"/>
      <c r="L222" s="9">
        <f t="shared" si="36"/>
        <v>100317097.34766415</v>
      </c>
    </row>
    <row r="223" spans="1:12" x14ac:dyDescent="0.35">
      <c r="A223" s="9">
        <v>10750</v>
      </c>
      <c r="B223" s="9">
        <f t="shared" si="28"/>
        <v>41.701729438091213</v>
      </c>
      <c r="C223" s="9">
        <f t="shared" si="29"/>
        <v>-26.612703955123894</v>
      </c>
      <c r="D223" s="9">
        <f t="shared" si="30"/>
        <v>4.6948443518636503E-3</v>
      </c>
      <c r="E223" s="9">
        <f t="shared" si="31"/>
        <v>-2.9129661633873218E-3</v>
      </c>
      <c r="F223" s="9">
        <f t="shared" si="32"/>
        <v>-110988.69998409567</v>
      </c>
      <c r="G223" s="9">
        <f t="shared" si="33"/>
        <v>88521.376085548138</v>
      </c>
      <c r="H223" s="9">
        <f t="shared" si="34"/>
        <v>-79.277642845784044</v>
      </c>
      <c r="I223" s="9">
        <f t="shared" si="35"/>
        <v>63.229554346810119</v>
      </c>
      <c r="J223" s="15"/>
      <c r="K223" s="15"/>
      <c r="L223" s="9">
        <f t="shared" si="36"/>
        <v>98901451.05774276</v>
      </c>
    </row>
    <row r="224" spans="1:12" x14ac:dyDescent="0.35">
      <c r="A224" s="9">
        <v>10800</v>
      </c>
      <c r="B224" s="9">
        <f t="shared" si="28"/>
        <v>41.936222144257634</v>
      </c>
      <c r="C224" s="9">
        <f t="shared" si="29"/>
        <v>-26.758153260197908</v>
      </c>
      <c r="D224" s="9">
        <f t="shared" si="30"/>
        <v>4.6898541233283868E-3</v>
      </c>
      <c r="E224" s="9">
        <f t="shared" si="31"/>
        <v>-2.9089861014802432E-3</v>
      </c>
      <c r="F224" s="9">
        <f t="shared" si="32"/>
        <v>-107024.81784180646</v>
      </c>
      <c r="G224" s="9">
        <f t="shared" si="33"/>
        <v>85359.898368207636</v>
      </c>
      <c r="H224" s="9">
        <f t="shared" si="34"/>
        <v>-79.277642845784044</v>
      </c>
      <c r="I224" s="9">
        <f t="shared" si="35"/>
        <v>63.229554346810119</v>
      </c>
      <c r="J224" s="15"/>
      <c r="K224" s="15"/>
      <c r="L224" s="9">
        <f t="shared" si="36"/>
        <v>97485804.767821372</v>
      </c>
    </row>
    <row r="225" spans="1:12" x14ac:dyDescent="0.35">
      <c r="A225" s="9">
        <v>10850</v>
      </c>
      <c r="B225" s="9">
        <f t="shared" si="28"/>
        <v>42.170471039647609</v>
      </c>
      <c r="C225" s="9">
        <f t="shared" si="29"/>
        <v>-26.903408108850332</v>
      </c>
      <c r="D225" s="9">
        <f t="shared" si="30"/>
        <v>4.684977907799483E-3</v>
      </c>
      <c r="E225" s="9">
        <f t="shared" si="31"/>
        <v>-2.9050969730485187E-3</v>
      </c>
      <c r="F225" s="9">
        <f t="shared" si="32"/>
        <v>-103060.93569951726</v>
      </c>
      <c r="G225" s="9">
        <f t="shared" si="33"/>
        <v>82198.420650867134</v>
      </c>
      <c r="H225" s="9">
        <f t="shared" si="34"/>
        <v>-79.277642845784044</v>
      </c>
      <c r="I225" s="9">
        <f t="shared" si="35"/>
        <v>63.229554346810119</v>
      </c>
      <c r="J225" s="15"/>
      <c r="K225" s="15"/>
      <c r="L225" s="9">
        <f t="shared" si="36"/>
        <v>96070158.477899984</v>
      </c>
    </row>
    <row r="226" spans="1:12" x14ac:dyDescent="0.35">
      <c r="A226" s="9">
        <v>10900</v>
      </c>
      <c r="B226" s="9">
        <f t="shared" si="28"/>
        <v>42.404481995428512</v>
      </c>
      <c r="C226" s="9">
        <f t="shared" si="29"/>
        <v>-27.04847318375441</v>
      </c>
      <c r="D226" s="9">
        <f t="shared" si="30"/>
        <v>4.6802191156180995E-3</v>
      </c>
      <c r="E226" s="9">
        <f t="shared" si="31"/>
        <v>-2.9013014980815931E-3</v>
      </c>
      <c r="F226" s="9">
        <f t="shared" si="32"/>
        <v>-99097.05355722805</v>
      </c>
      <c r="G226" s="9">
        <f t="shared" si="33"/>
        <v>79036.942933526632</v>
      </c>
      <c r="H226" s="9">
        <f t="shared" si="34"/>
        <v>-79.277642845784044</v>
      </c>
      <c r="I226" s="9">
        <f t="shared" si="35"/>
        <v>63.229554346810119</v>
      </c>
      <c r="J226" s="15"/>
      <c r="K226" s="15"/>
      <c r="L226" s="9">
        <f t="shared" si="36"/>
        <v>94654512.187978595</v>
      </c>
    </row>
    <row r="227" spans="1:12" x14ac:dyDescent="0.35">
      <c r="A227" s="9">
        <v>10950</v>
      </c>
      <c r="B227" s="9">
        <f t="shared" si="28"/>
        <v>42.638261061051665</v>
      </c>
      <c r="C227" s="9">
        <f t="shared" si="29"/>
        <v>-27.1933533097775</v>
      </c>
      <c r="D227" s="9">
        <f t="shared" si="30"/>
        <v>4.67558131246309E-3</v>
      </c>
      <c r="E227" s="9">
        <f t="shared" si="31"/>
        <v>-2.8976025204617614E-3</v>
      </c>
      <c r="F227" s="9">
        <f t="shared" si="32"/>
        <v>-95133.171414938843</v>
      </c>
      <c r="G227" s="9">
        <f t="shared" si="33"/>
        <v>75875.46521618613</v>
      </c>
      <c r="H227" s="9">
        <f t="shared" si="34"/>
        <v>-79.277642845784044</v>
      </c>
      <c r="I227" s="9">
        <f t="shared" si="35"/>
        <v>63.229554346810119</v>
      </c>
      <c r="J227" s="15"/>
      <c r="K227" s="15"/>
      <c r="L227" s="9">
        <f t="shared" si="36"/>
        <v>93238865.898057207</v>
      </c>
    </row>
    <row r="228" spans="1:12" x14ac:dyDescent="0.35">
      <c r="A228" s="9">
        <v>11000</v>
      </c>
      <c r="B228" s="9">
        <f t="shared" si="28"/>
        <v>42.871814472498187</v>
      </c>
      <c r="C228" s="9">
        <f t="shared" si="29"/>
        <v>-27.33805346055772</v>
      </c>
      <c r="D228" s="9">
        <f t="shared" si="30"/>
        <v>4.6710682289304202E-3</v>
      </c>
      <c r="E228" s="9">
        <f t="shared" si="31"/>
        <v>-2.8940030156044357E-3</v>
      </c>
      <c r="F228" s="9">
        <f t="shared" si="32"/>
        <v>-91169.289272649636</v>
      </c>
      <c r="G228" s="9">
        <f t="shared" si="33"/>
        <v>72713.987498845629</v>
      </c>
      <c r="H228" s="9">
        <f t="shared" si="34"/>
        <v>-79.277642845784044</v>
      </c>
      <c r="I228" s="9">
        <f t="shared" si="35"/>
        <v>63.229554346810119</v>
      </c>
      <c r="J228" s="15"/>
      <c r="K228" s="15"/>
      <c r="L228" s="9">
        <f t="shared" si="36"/>
        <v>91823219.608135819</v>
      </c>
    </row>
    <row r="229" spans="1:12" x14ac:dyDescent="0.35">
      <c r="A229" s="9">
        <v>11050</v>
      </c>
      <c r="B229" s="9">
        <f t="shared" si="28"/>
        <v>43.105148661041319</v>
      </c>
      <c r="C229" s="9">
        <f t="shared" si="29"/>
        <v>-27.482578765492551</v>
      </c>
      <c r="D229" s="9">
        <f t="shared" si="30"/>
        <v>4.66668377086258E-3</v>
      </c>
      <c r="E229" s="9">
        <f t="shared" si="31"/>
        <v>-2.8905060986965862E-3</v>
      </c>
      <c r="F229" s="9">
        <f t="shared" si="32"/>
        <v>-87205.407130360429</v>
      </c>
      <c r="G229" s="9">
        <f t="shared" si="33"/>
        <v>69552.509781505127</v>
      </c>
      <c r="H229" s="9">
        <f t="shared" si="34"/>
        <v>-79.277642845784044</v>
      </c>
      <c r="I229" s="9">
        <f t="shared" si="35"/>
        <v>63.229554346810119</v>
      </c>
      <c r="J229" s="15"/>
      <c r="K229" s="15"/>
      <c r="L229" s="9">
        <f t="shared" si="36"/>
        <v>90407573.318214431</v>
      </c>
    </row>
    <row r="230" spans="1:12" x14ac:dyDescent="0.35">
      <c r="A230" s="9">
        <v>11100</v>
      </c>
      <c r="B230" s="9">
        <f t="shared" si="28"/>
        <v>43.338270262566297</v>
      </c>
      <c r="C230" s="9">
        <f t="shared" si="29"/>
        <v>-27.626934517172074</v>
      </c>
      <c r="D230" s="9">
        <f t="shared" si="30"/>
        <v>4.662432030499577E-3</v>
      </c>
      <c r="E230" s="9">
        <f t="shared" si="31"/>
        <v>-2.8871150335904499E-3</v>
      </c>
      <c r="F230" s="9">
        <f t="shared" si="32"/>
        <v>-83241.524988071222</v>
      </c>
      <c r="G230" s="9">
        <f t="shared" si="33"/>
        <v>66391.032064164625</v>
      </c>
      <c r="H230" s="9">
        <f t="shared" si="34"/>
        <v>-79.277642845784044</v>
      </c>
      <c r="I230" s="9">
        <f t="shared" si="35"/>
        <v>63.229554346810119</v>
      </c>
      <c r="J230" s="15"/>
      <c r="K230" s="15"/>
      <c r="L230" s="9">
        <f t="shared" si="36"/>
        <v>88991927.028293043</v>
      </c>
    </row>
    <row r="231" spans="1:12" x14ac:dyDescent="0.35">
      <c r="A231" s="9">
        <v>11150</v>
      </c>
      <c r="B231" s="9">
        <f t="shared" si="28"/>
        <v>43.571186127492858</v>
      </c>
      <c r="C231" s="9">
        <f t="shared" si="29"/>
        <v>-27.771126179292878</v>
      </c>
      <c r="D231" s="9">
        <f t="shared" si="30"/>
        <v>4.658317298531194E-3</v>
      </c>
      <c r="E231" s="9">
        <f t="shared" si="31"/>
        <v>-2.8838332424160626E-3</v>
      </c>
      <c r="F231" s="9">
        <f t="shared" si="32"/>
        <v>-79277.642845782015</v>
      </c>
      <c r="G231" s="9">
        <f t="shared" si="33"/>
        <v>63229.554346824116</v>
      </c>
      <c r="H231" s="9">
        <f t="shared" si="34"/>
        <v>-79.277642845784044</v>
      </c>
      <c r="I231" s="9">
        <f t="shared" si="35"/>
        <v>63.229554346810119</v>
      </c>
      <c r="J231" s="15"/>
      <c r="K231" s="15"/>
      <c r="L231" s="9">
        <f t="shared" si="36"/>
        <v>87576280.738371655</v>
      </c>
    </row>
    <row r="232" spans="1:12" x14ac:dyDescent="0.35">
      <c r="A232" s="9">
        <v>11200</v>
      </c>
      <c r="B232" s="9">
        <f t="shared" si="28"/>
        <v>43.803903331349822</v>
      </c>
      <c r="C232" s="9">
        <f t="shared" si="29"/>
        <v>-27.915159395092051</v>
      </c>
      <c r="D232" s="9">
        <f t="shared" si="30"/>
        <v>4.6543440771393552E-3</v>
      </c>
      <c r="E232" s="9">
        <f t="shared" si="31"/>
        <v>-2.8806643159834753E-3</v>
      </c>
      <c r="F232" s="9">
        <f t="shared" si="32"/>
        <v>-75313.760703492808</v>
      </c>
      <c r="G232" s="9">
        <f t="shared" si="33"/>
        <v>60068.076629483607</v>
      </c>
      <c r="H232" s="9">
        <f t="shared" si="34"/>
        <v>-79.277642845784044</v>
      </c>
      <c r="I232" s="9">
        <f t="shared" si="35"/>
        <v>63.229554346810119</v>
      </c>
      <c r="J232" s="15"/>
      <c r="K232" s="15"/>
      <c r="L232" s="9">
        <f t="shared" si="36"/>
        <v>86160634.448450267</v>
      </c>
    </row>
    <row r="233" spans="1:12" x14ac:dyDescent="0.35">
      <c r="A233" s="9">
        <v>11250</v>
      </c>
      <c r="B233" s="9">
        <f t="shared" si="28"/>
        <v>44.036429186056317</v>
      </c>
      <c r="C233" s="9">
        <f t="shared" si="29"/>
        <v>-28.05903999634474</v>
      </c>
      <c r="D233" s="9">
        <f t="shared" si="30"/>
        <v>4.650517094129847E-3</v>
      </c>
      <c r="E233" s="9">
        <f t="shared" si="31"/>
        <v>-2.8776120250538018E-3</v>
      </c>
      <c r="F233" s="9">
        <f t="shared" si="32"/>
        <v>-71349.878561203601</v>
      </c>
      <c r="G233" s="9">
        <f t="shared" si="33"/>
        <v>56906.598912143098</v>
      </c>
      <c r="H233" s="9">
        <f t="shared" si="34"/>
        <v>-79.277642845784044</v>
      </c>
      <c r="I233" s="9">
        <f t="shared" si="35"/>
        <v>63.229554346810119</v>
      </c>
      <c r="J233" s="15"/>
      <c r="K233" s="15"/>
      <c r="L233" s="9">
        <f t="shared" si="36"/>
        <v>84744988.158528879</v>
      </c>
    </row>
    <row r="234" spans="1:12" x14ac:dyDescent="0.35">
      <c r="A234" s="9">
        <v>11300</v>
      </c>
      <c r="B234" s="9">
        <f t="shared" si="28"/>
        <v>44.26877125196954</v>
      </c>
      <c r="C234" s="9">
        <f t="shared" si="29"/>
        <v>-28.202774012973123</v>
      </c>
      <c r="D234" s="9">
        <f t="shared" si="30"/>
        <v>4.6468413182644223E-3</v>
      </c>
      <c r="E234" s="9">
        <f t="shared" si="31"/>
        <v>-2.8746803325676649E-3</v>
      </c>
      <c r="F234" s="9">
        <f t="shared" si="32"/>
        <v>-67385.996418914394</v>
      </c>
      <c r="G234" s="9">
        <f t="shared" si="33"/>
        <v>53745.121194802588</v>
      </c>
      <c r="H234" s="9">
        <f t="shared" si="34"/>
        <v>-79.277642845784044</v>
      </c>
      <c r="I234" s="9">
        <f t="shared" si="35"/>
        <v>63.229554346810119</v>
      </c>
      <c r="J234" s="15"/>
      <c r="K234" s="15"/>
      <c r="L234" s="9">
        <f t="shared" si="36"/>
        <v>83329341.868607491</v>
      </c>
    </row>
    <row r="235" spans="1:12" x14ac:dyDescent="0.35">
      <c r="A235" s="9">
        <v>11350</v>
      </c>
      <c r="B235" s="9">
        <f t="shared" si="28"/>
        <v>44.500937350765426</v>
      </c>
      <c r="C235" s="9">
        <f t="shared" si="29"/>
        <v>-28.346367683319638</v>
      </c>
      <c r="D235" s="9">
        <f t="shared" si="30"/>
        <v>4.6433219759177682E-3</v>
      </c>
      <c r="E235" s="9">
        <f t="shared" si="31"/>
        <v>-2.8718734069303102E-3</v>
      </c>
      <c r="F235" s="9">
        <f t="shared" si="32"/>
        <v>-63422.114276625194</v>
      </c>
      <c r="G235" s="9">
        <f t="shared" si="33"/>
        <v>50583.643477462079</v>
      </c>
      <c r="H235" s="9">
        <f t="shared" si="34"/>
        <v>-79.277642845784044</v>
      </c>
      <c r="I235" s="9">
        <f t="shared" si="35"/>
        <v>63.229554346810119</v>
      </c>
      <c r="J235" s="15"/>
      <c r="K235" s="15"/>
      <c r="L235" s="9">
        <f t="shared" si="36"/>
        <v>81913695.578686103</v>
      </c>
    </row>
    <row r="236" spans="1:12" x14ac:dyDescent="0.35">
      <c r="A236" s="9">
        <v>11400</v>
      </c>
      <c r="B236" s="9">
        <f t="shared" si="28"/>
        <v>44.732935579225384</v>
      </c>
      <c r="C236" s="9">
        <f t="shared" si="29"/>
        <v>-28.489827465142881</v>
      </c>
      <c r="D236" s="9">
        <f t="shared" si="30"/>
        <v>4.6399645691991261E-3</v>
      </c>
      <c r="E236" s="9">
        <f t="shared" si="31"/>
        <v>-2.869195636464887E-3</v>
      </c>
      <c r="F236" s="9">
        <f t="shared" si="32"/>
        <v>-59458.232134335994</v>
      </c>
      <c r="G236" s="9">
        <f t="shared" si="33"/>
        <v>47422.16576012157</v>
      </c>
      <c r="H236" s="9">
        <f t="shared" si="34"/>
        <v>-79.277642845784044</v>
      </c>
      <c r="I236" s="9">
        <f t="shared" si="35"/>
        <v>63.229554346810119</v>
      </c>
      <c r="J236" s="15"/>
      <c r="K236" s="15"/>
      <c r="L236" s="9">
        <f t="shared" si="36"/>
        <v>80498049.288764715</v>
      </c>
    </row>
    <row r="237" spans="1:12" x14ac:dyDescent="0.35">
      <c r="A237" s="9">
        <v>11450</v>
      </c>
      <c r="B237" s="9">
        <f t="shared" si="28"/>
        <v>44.964774324010179</v>
      </c>
      <c r="C237" s="9">
        <f t="shared" si="29"/>
        <v>-28.63316004740085</v>
      </c>
      <c r="D237" s="9">
        <f t="shared" si="30"/>
        <v>4.6367748956958809E-3</v>
      </c>
      <c r="E237" s="9">
        <f t="shared" si="31"/>
        <v>-2.866651645159363E-3</v>
      </c>
      <c r="F237" s="9">
        <f t="shared" si="32"/>
        <v>-55494.349992046795</v>
      </c>
      <c r="G237" s="9">
        <f t="shared" si="33"/>
        <v>44260.688042781061</v>
      </c>
      <c r="H237" s="9">
        <f t="shared" si="34"/>
        <v>-79.277642845784044</v>
      </c>
      <c r="I237" s="9">
        <f t="shared" si="35"/>
        <v>63.229554346810119</v>
      </c>
      <c r="J237" s="15"/>
      <c r="K237" s="15"/>
      <c r="L237" s="9">
        <f t="shared" si="36"/>
        <v>79082402.998843327</v>
      </c>
    </row>
    <row r="238" spans="1:12" x14ac:dyDescent="0.35">
      <c r="A238" s="9">
        <v>11500</v>
      </c>
      <c r="B238" s="9">
        <f t="shared" si="28"/>
        <v>45.196462277511003</v>
      </c>
      <c r="C238" s="9">
        <f t="shared" si="29"/>
        <v>-28.776372362893277</v>
      </c>
      <c r="D238" s="9">
        <f t="shared" si="30"/>
        <v>4.633759070016499E-3</v>
      </c>
      <c r="E238" s="9">
        <f t="shared" si="31"/>
        <v>-2.8642463098485491E-3</v>
      </c>
      <c r="F238" s="9">
        <f t="shared" si="32"/>
        <v>-51530.467849757595</v>
      </c>
      <c r="G238" s="9">
        <f t="shared" si="33"/>
        <v>41099.210325440552</v>
      </c>
      <c r="H238" s="9">
        <f t="shared" si="34"/>
        <v>-79.277642845784044</v>
      </c>
      <c r="I238" s="9">
        <f t="shared" si="35"/>
        <v>63.229554346810119</v>
      </c>
      <c r="J238" s="15"/>
      <c r="K238" s="15"/>
      <c r="L238" s="9">
        <f t="shared" si="36"/>
        <v>77666756.708921939</v>
      </c>
    </row>
    <row r="239" spans="1:12" x14ac:dyDescent="0.35">
      <c r="A239" s="9">
        <v>11550</v>
      </c>
      <c r="B239" s="9">
        <f t="shared" si="28"/>
        <v>45.428008454877663</v>
      </c>
      <c r="C239" s="9">
        <f t="shared" si="29"/>
        <v>-28.919471601842833</v>
      </c>
      <c r="D239" s="9">
        <f t="shared" si="30"/>
        <v>4.6309235473332528E-3</v>
      </c>
      <c r="E239" s="9">
        <f t="shared" si="31"/>
        <v>-2.8619847789910949E-3</v>
      </c>
      <c r="F239" s="9">
        <f t="shared" si="32"/>
        <v>-47566.585707468395</v>
      </c>
      <c r="G239" s="9">
        <f t="shared" si="33"/>
        <v>37937.732608100043</v>
      </c>
      <c r="H239" s="9">
        <f t="shared" si="34"/>
        <v>-79.277642845784044</v>
      </c>
      <c r="I239" s="9">
        <f t="shared" si="35"/>
        <v>63.229554346810119</v>
      </c>
      <c r="J239" s="15"/>
      <c r="K239" s="15"/>
      <c r="L239" s="9">
        <f t="shared" si="36"/>
        <v>76251110.419000551</v>
      </c>
    </row>
    <row r="240" spans="1:12" x14ac:dyDescent="0.35">
      <c r="A240" s="9">
        <v>11600</v>
      </c>
      <c r="B240" s="9">
        <f t="shared" si="28"/>
        <v>45.659422212335251</v>
      </c>
      <c r="C240" s="9">
        <f t="shared" si="29"/>
        <v>-29.062465226503956</v>
      </c>
      <c r="D240" s="9">
        <f t="shared" si="30"/>
        <v>4.6282751491517086E-3</v>
      </c>
      <c r="E240" s="9">
        <f t="shared" si="31"/>
        <v>-2.8598724932224861E-3</v>
      </c>
      <c r="F240" s="9">
        <f t="shared" si="32"/>
        <v>-43602.703565179196</v>
      </c>
      <c r="G240" s="9">
        <f t="shared" si="33"/>
        <v>34776.254890759534</v>
      </c>
      <c r="H240" s="9">
        <f t="shared" si="34"/>
        <v>-79.277642845784044</v>
      </c>
      <c r="I240" s="9">
        <f t="shared" si="35"/>
        <v>63.229554346810119</v>
      </c>
      <c r="J240" s="15"/>
      <c r="K240" s="15"/>
      <c r="L240" s="9">
        <f t="shared" si="36"/>
        <v>74835464.129079163</v>
      </c>
    </row>
    <row r="241" spans="1:12" x14ac:dyDescent="0.35">
      <c r="A241" s="9">
        <v>11650</v>
      </c>
      <c r="B241" s="9">
        <f t="shared" si="28"/>
        <v>45.89071326691348</v>
      </c>
      <c r="C241" s="9">
        <f t="shared" si="29"/>
        <v>-29.20536098689843</v>
      </c>
      <c r="D241" s="9">
        <f t="shared" si="30"/>
        <v>4.6258210915645888E-3</v>
      </c>
      <c r="E241" s="9">
        <f t="shared" si="31"/>
        <v>-2.8579152078895089E-3</v>
      </c>
      <c r="F241" s="9">
        <f t="shared" si="32"/>
        <v>-39638.821422889996</v>
      </c>
      <c r="G241" s="9">
        <f t="shared" si="33"/>
        <v>31614.777173419028</v>
      </c>
      <c r="H241" s="9">
        <f t="shared" si="34"/>
        <v>-79.277642845784044</v>
      </c>
      <c r="I241" s="9">
        <f t="shared" si="35"/>
        <v>63.229554346810119</v>
      </c>
      <c r="J241" s="15"/>
      <c r="K241" s="15"/>
      <c r="L241" s="9">
        <f t="shared" si="36"/>
        <v>73419817.839157775</v>
      </c>
    </row>
    <row r="242" spans="1:12" x14ac:dyDescent="0.35">
      <c r="A242" s="9">
        <v>11700</v>
      </c>
      <c r="B242" s="9">
        <f t="shared" si="28"/>
        <v>46.121891717727635</v>
      </c>
      <c r="C242" s="9">
        <f t="shared" si="29"/>
        <v>-29.348166937788427</v>
      </c>
      <c r="D242" s="9">
        <f t="shared" si="30"/>
        <v>4.6235690162830766E-3</v>
      </c>
      <c r="E242" s="9">
        <f t="shared" si="31"/>
        <v>-2.8561190177999198E-3</v>
      </c>
      <c r="F242" s="9">
        <f t="shared" si="32"/>
        <v>-35674.939280600796</v>
      </c>
      <c r="G242" s="9">
        <f t="shared" si="33"/>
        <v>28453.299456078523</v>
      </c>
      <c r="H242" s="9">
        <f t="shared" si="34"/>
        <v>-79.277642845784044</v>
      </c>
      <c r="I242" s="9">
        <f t="shared" si="35"/>
        <v>63.229554346810119</v>
      </c>
      <c r="J242" s="15"/>
      <c r="K242" s="15"/>
      <c r="L242" s="9">
        <f t="shared" si="36"/>
        <v>72004171.549236387</v>
      </c>
    </row>
    <row r="243" spans="1:12" x14ac:dyDescent="0.35">
      <c r="A243" s="9">
        <v>11750</v>
      </c>
      <c r="B243" s="9">
        <f t="shared" si="28"/>
        <v>46.352968068966625</v>
      </c>
      <c r="C243" s="9">
        <f t="shared" si="29"/>
        <v>-29.49089145701112</v>
      </c>
      <c r="D243" s="9">
        <f t="shared" si="30"/>
        <v>4.6215270247797697E-3</v>
      </c>
      <c r="E243" s="9">
        <f t="shared" si="31"/>
        <v>-2.8544903844538788E-3</v>
      </c>
      <c r="F243" s="9">
        <f t="shared" si="32"/>
        <v>-31711.057138311593</v>
      </c>
      <c r="G243" s="9">
        <f t="shared" si="33"/>
        <v>25291.821738738017</v>
      </c>
      <c r="H243" s="9">
        <f t="shared" si="34"/>
        <v>-79.277642845784044</v>
      </c>
      <c r="I243" s="9">
        <f t="shared" si="35"/>
        <v>63.229554346810119</v>
      </c>
      <c r="J243" s="15"/>
      <c r="K243" s="15"/>
      <c r="L243" s="9">
        <f t="shared" si="36"/>
        <v>70588525.259314999</v>
      </c>
    </row>
    <row r="244" spans="1:12" x14ac:dyDescent="0.35">
      <c r="A244" s="9">
        <v>11800</v>
      </c>
      <c r="B244" s="9">
        <f t="shared" si="28"/>
        <v>46.583953254762896</v>
      </c>
      <c r="C244" s="9">
        <f t="shared" si="29"/>
        <v>-29.633543265314213</v>
      </c>
      <c r="D244" s="9">
        <f t="shared" si="30"/>
        <v>4.6197037159253704E-3</v>
      </c>
      <c r="E244" s="9">
        <f t="shared" si="31"/>
        <v>-2.8530361660618836E-3</v>
      </c>
      <c r="F244" s="9">
        <f t="shared" si="32"/>
        <v>-27747.17499602239</v>
      </c>
      <c r="G244" s="9">
        <f t="shared" si="33"/>
        <v>22130.344021397512</v>
      </c>
      <c r="H244" s="9">
        <f t="shared" si="34"/>
        <v>-79.277642845784044</v>
      </c>
      <c r="I244" s="9">
        <f t="shared" si="35"/>
        <v>63.229554346810119</v>
      </c>
      <c r="J244" s="15"/>
      <c r="K244" s="15"/>
      <c r="L244" s="9">
        <f t="shared" si="36"/>
        <v>69172878.969393611</v>
      </c>
    </row>
    <row r="245" spans="1:12" x14ac:dyDescent="0.35">
      <c r="A245" s="9">
        <v>11850</v>
      </c>
      <c r="B245" s="9">
        <f t="shared" si="28"/>
        <v>46.814858666140751</v>
      </c>
      <c r="C245" s="9">
        <f t="shared" si="29"/>
        <v>-29.776131447849139</v>
      </c>
      <c r="D245" s="9">
        <f t="shared" si="30"/>
        <v>4.6181082275570766E-3</v>
      </c>
      <c r="E245" s="9">
        <f t="shared" si="31"/>
        <v>-2.8517636506985161E-3</v>
      </c>
      <c r="F245" s="9">
        <f t="shared" si="32"/>
        <v>-23783.292853733186</v>
      </c>
      <c r="G245" s="9">
        <f t="shared" si="33"/>
        <v>18968.866304057006</v>
      </c>
      <c r="H245" s="9">
        <f t="shared" si="34"/>
        <v>-79.277642845784044</v>
      </c>
      <c r="I245" s="9">
        <f t="shared" si="35"/>
        <v>63.229554346810119</v>
      </c>
      <c r="J245" s="15"/>
      <c r="K245" s="15"/>
      <c r="L245" s="9">
        <f t="shared" si="36"/>
        <v>67757232.679472223</v>
      </c>
    </row>
    <row r="246" spans="1:12" x14ac:dyDescent="0.35">
      <c r="A246" s="9">
        <v>11900</v>
      </c>
      <c r="B246" s="9">
        <f t="shared" si="28"/>
        <v>47.045696180264855</v>
      </c>
      <c r="C246" s="9">
        <f t="shared" si="29"/>
        <v>-29.918665477498813</v>
      </c>
      <c r="D246" s="9">
        <f t="shared" si="30"/>
        <v>4.6167502824820588E-3</v>
      </c>
      <c r="E246" s="9">
        <f t="shared" si="31"/>
        <v>-2.8506805929934841E-3</v>
      </c>
      <c r="F246" s="9">
        <f t="shared" si="32"/>
        <v>-19819.410711443983</v>
      </c>
      <c r="G246" s="9">
        <f t="shared" si="33"/>
        <v>15807.388586716501</v>
      </c>
      <c r="H246" s="9">
        <f t="shared" si="34"/>
        <v>-79.277642845784044</v>
      </c>
      <c r="I246" s="9">
        <f t="shared" si="35"/>
        <v>63.229554346810119</v>
      </c>
      <c r="J246" s="15"/>
      <c r="K246" s="15"/>
      <c r="L246" s="9">
        <f t="shared" si="36"/>
        <v>66341586.389550842</v>
      </c>
    </row>
    <row r="247" spans="1:12" x14ac:dyDescent="0.35">
      <c r="A247" s="9">
        <v>11950</v>
      </c>
      <c r="B247" s="9">
        <f t="shared" si="28"/>
        <v>47.276478192239665</v>
      </c>
      <c r="C247" s="9">
        <f t="shared" si="29"/>
        <v>-30.061155240239948</v>
      </c>
      <c r="D247" s="9">
        <f t="shared" si="30"/>
        <v>4.6156402394962404E-3</v>
      </c>
      <c r="E247" s="9">
        <f t="shared" si="31"/>
        <v>-2.849795254822725E-3</v>
      </c>
      <c r="F247" s="9">
        <f t="shared" si="32"/>
        <v>-15855.52856915478</v>
      </c>
      <c r="G247" s="9">
        <f t="shared" si="33"/>
        <v>12645.910869375995</v>
      </c>
      <c r="H247" s="9">
        <f t="shared" si="34"/>
        <v>-79.277642845784044</v>
      </c>
      <c r="I247" s="9">
        <f t="shared" si="35"/>
        <v>63.229554346810119</v>
      </c>
      <c r="J247" s="15"/>
      <c r="K247" s="15"/>
      <c r="L247" s="9">
        <f t="shared" si="36"/>
        <v>64925940.099629462</v>
      </c>
    </row>
    <row r="248" spans="1:12" x14ac:dyDescent="0.35">
      <c r="A248" s="9">
        <v>12000</v>
      </c>
      <c r="B248" s="9">
        <f t="shared" si="28"/>
        <v>47.507217649744121</v>
      </c>
      <c r="C248" s="9">
        <f t="shared" si="29"/>
        <v>-30.203611062766676</v>
      </c>
      <c r="D248" s="9">
        <f t="shared" si="30"/>
        <v>4.6147891500891297E-3</v>
      </c>
      <c r="E248" s="9">
        <f t="shared" si="31"/>
        <v>-2.849116450534539E-3</v>
      </c>
      <c r="F248" s="9">
        <f t="shared" si="32"/>
        <v>-11891.646426865576</v>
      </c>
      <c r="G248" s="9">
        <f t="shared" si="33"/>
        <v>9484.4331520354899</v>
      </c>
      <c r="H248" s="9">
        <f t="shared" si="34"/>
        <v>-79.277642845784044</v>
      </c>
      <c r="I248" s="9">
        <f t="shared" si="35"/>
        <v>63.229554346810119</v>
      </c>
      <c r="J248" s="15"/>
      <c r="K248" s="15"/>
      <c r="L248" s="9">
        <f t="shared" si="36"/>
        <v>63510293.809708081</v>
      </c>
    </row>
    <row r="249" spans="1:12" x14ac:dyDescent="0.35">
      <c r="A249" s="9">
        <v>12050</v>
      </c>
      <c r="B249" s="9">
        <f t="shared" si="28"/>
        <v>47.737928090824745</v>
      </c>
      <c r="C249" s="9">
        <f t="shared" si="29"/>
        <v>-30.346043742633231</v>
      </c>
      <c r="D249" s="9">
        <f t="shared" si="30"/>
        <v>4.6142088216124906E-3</v>
      </c>
      <c r="E249" s="9">
        <f t="shared" si="31"/>
        <v>-2.8486535973310935E-3</v>
      </c>
      <c r="F249" s="9">
        <f t="shared" si="32"/>
        <v>-7927.7642845763739</v>
      </c>
      <c r="G249" s="9">
        <f t="shared" si="33"/>
        <v>6322.9554346949844</v>
      </c>
      <c r="H249" s="9">
        <f t="shared" si="34"/>
        <v>-79.277642845784044</v>
      </c>
      <c r="I249" s="9">
        <f t="shared" si="35"/>
        <v>63.229554346810119</v>
      </c>
      <c r="J249" s="15"/>
      <c r="K249" s="15"/>
      <c r="L249" s="9">
        <f t="shared" si="36"/>
        <v>62094647.519786701</v>
      </c>
    </row>
    <row r="250" spans="1:12" x14ac:dyDescent="0.35">
      <c r="A250" s="9">
        <v>12100</v>
      </c>
      <c r="B250" s="9">
        <f t="shared" si="28"/>
        <v>47.968623685215626</v>
      </c>
      <c r="C250" s="9">
        <f t="shared" si="29"/>
        <v>-30.48846458120958</v>
      </c>
      <c r="D250" s="9">
        <f t="shared" si="30"/>
        <v>4.6139118878176667E-3</v>
      </c>
      <c r="E250" s="9">
        <f t="shared" si="31"/>
        <v>-2.8484167715269529E-3</v>
      </c>
      <c r="F250" s="9">
        <f t="shared" si="32"/>
        <v>-3963.8821422871715</v>
      </c>
      <c r="G250" s="9">
        <f t="shared" si="33"/>
        <v>3161.4777173544785</v>
      </c>
      <c r="H250" s="9">
        <f t="shared" si="34"/>
        <v>-79.277642845784044</v>
      </c>
      <c r="I250" s="9">
        <f t="shared" si="35"/>
        <v>63.229554346810119</v>
      </c>
      <c r="J250" s="15"/>
      <c r="K250" s="15"/>
      <c r="L250" s="9">
        <f t="shared" si="36"/>
        <v>60679001.22986532</v>
      </c>
    </row>
    <row r="251" spans="1:12" x14ac:dyDescent="0.35">
      <c r="A251" s="9">
        <v>12150</v>
      </c>
      <c r="B251" s="9">
        <f t="shared" si="28"/>
        <v>48.199319279606506</v>
      </c>
      <c r="C251" s="9">
        <f t="shared" si="29"/>
        <v>-30.63088541978593</v>
      </c>
      <c r="D251" s="9">
        <f t="shared" si="30"/>
        <v>4.6139118878176667E-3</v>
      </c>
      <c r="E251" s="9">
        <f t="shared" si="31"/>
        <v>-2.848416771526952E-3</v>
      </c>
      <c r="F251" s="9">
        <f t="shared" si="32"/>
        <v>2.0309016690589488E-9</v>
      </c>
      <c r="G251" s="9">
        <f t="shared" si="33"/>
        <v>1.3972567103337497E-8</v>
      </c>
      <c r="H251" s="9">
        <f t="shared" si="34"/>
        <v>-79.277642845784044</v>
      </c>
      <c r="I251" s="9">
        <f t="shared" si="35"/>
        <v>63.229554346810119</v>
      </c>
      <c r="J251" s="15"/>
      <c r="K251" s="15"/>
      <c r="L251" s="9">
        <f t="shared" si="36"/>
        <v>59263354.939943939</v>
      </c>
    </row>
    <row r="252" spans="1:12" x14ac:dyDescent="0.35">
      <c r="B252" s="9">
        <f t="shared" si="28"/>
        <v>48.430017431127226</v>
      </c>
      <c r="C252" s="9">
        <f t="shared" si="29"/>
        <v>-30.773308297855053</v>
      </c>
      <c r="D252" s="9">
        <f t="shared" si="30"/>
        <v>4.6139630304143512E-3</v>
      </c>
      <c r="E252" s="9">
        <f t="shared" si="31"/>
        <v>-2.8484575613824574E-3</v>
      </c>
      <c r="F252" s="9">
        <f t="shared" si="32"/>
        <v>3963.8821422912333</v>
      </c>
      <c r="G252" s="9">
        <f t="shared" si="33"/>
        <v>-3161.4777173265334</v>
      </c>
      <c r="H252" s="9">
        <f t="shared" si="34"/>
        <v>-79.277642845784044</v>
      </c>
      <c r="I252" s="9">
        <f t="shared" si="35"/>
        <v>63.229554346810119</v>
      </c>
      <c r="J252" s="15"/>
      <c r="K252" s="15"/>
      <c r="L252" s="9">
        <f t="shared" si="36"/>
        <v>352302136.95367068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olvePole">
                <anchor moveWithCells="1" sizeWithCells="1">
                  <from>
                    <xdr:col>7</xdr:col>
                    <xdr:colOff>933450</xdr:colOff>
                    <xdr:row>0</xdr:row>
                    <xdr:rowOff>114300</xdr:rowOff>
                  </from>
                  <to>
                    <xdr:col>10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etupFEA">
                <anchor moveWithCells="1" sizeWithCells="1">
                  <from>
                    <xdr:col>5</xdr:col>
                    <xdr:colOff>406400</xdr:colOff>
                    <xdr:row>0</xdr:row>
                    <xdr:rowOff>114300</xdr:rowOff>
                  </from>
                  <to>
                    <xdr:col>7</xdr:col>
                    <xdr:colOff>800100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Pole Lookup</vt:lpstr>
      <vt:lpstr>Image</vt:lpstr>
      <vt:lpstr>Pole Data</vt:lpstr>
      <vt:lpstr>Spans</vt:lpstr>
      <vt:lpstr>Clearance Issues</vt:lpstr>
      <vt:lpstr>AEUC</vt:lpstr>
      <vt:lpstr>FEA Setup</vt:lpstr>
      <vt:lpstr>FEA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Civil Dell</dc:creator>
  <cp:lastModifiedBy>Pickthall, Kyle</cp:lastModifiedBy>
  <dcterms:created xsi:type="dcterms:W3CDTF">2015-06-05T18:17:20Z</dcterms:created>
  <dcterms:modified xsi:type="dcterms:W3CDTF">2024-07-03T22:22:24Z</dcterms:modified>
</cp:coreProperties>
</file>