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25" windowHeight="10335" firstSheet="1" activeTab="7"/>
  </bookViews>
  <sheets>
    <sheet name="債権数理式" sheetId="7" r:id="rId1"/>
    <sheet name="LIBOR・SWAP" sheetId="10" r:id="rId2"/>
    <sheet name="BootStrap" sheetId="5" r:id="rId3"/>
    <sheet name="複利計算" sheetId="3" r:id="rId4"/>
    <sheet name="LIBOR" sheetId="6" r:id="rId5"/>
    <sheet name="宿題１" sheetId="4" r:id="rId6"/>
    <sheet name="宿題１（解き直し）" sheetId="9" r:id="rId7"/>
    <sheet name="LIBOR(練習問題)" sheetId="11" r:id="rId8"/>
  </sheets>
  <calcPr calcId="152511"/>
</workbook>
</file>

<file path=xl/calcChain.xml><?xml version="1.0" encoding="utf-8"?>
<calcChain xmlns="http://schemas.openxmlformats.org/spreadsheetml/2006/main">
  <c r="E84" i="11" l="1"/>
  <c r="E81" i="11"/>
  <c r="E80" i="11"/>
  <c r="E79" i="11"/>
  <c r="E78" i="11"/>
  <c r="F84" i="11"/>
  <c r="F83" i="11"/>
  <c r="F82" i="11"/>
  <c r="F81" i="11"/>
  <c r="F80" i="11"/>
  <c r="F79" i="11"/>
  <c r="F78" i="11"/>
  <c r="C79" i="11"/>
  <c r="C80" i="11"/>
  <c r="C81" i="11"/>
  <c r="C82" i="11"/>
  <c r="C83" i="11"/>
  <c r="C78" i="11"/>
  <c r="B83" i="11"/>
  <c r="B82" i="11"/>
  <c r="B81" i="11"/>
  <c r="B80" i="11"/>
  <c r="B79" i="11"/>
  <c r="B78" i="11"/>
  <c r="C69" i="11"/>
  <c r="C70" i="11"/>
  <c r="C68" i="11"/>
  <c r="B72" i="11"/>
  <c r="E58" i="11"/>
  <c r="F58" i="11"/>
  <c r="B57" i="11"/>
  <c r="C57" i="11" s="1"/>
  <c r="C54" i="11"/>
  <c r="C55" i="11"/>
  <c r="C56" i="11"/>
  <c r="C53" i="11"/>
  <c r="C47" i="11"/>
  <c r="C49" i="11" s="1"/>
  <c r="C48" i="11"/>
  <c r="C46" i="11"/>
  <c r="C45" i="11"/>
  <c r="A38" i="11"/>
  <c r="A93" i="10"/>
  <c r="C43" i="10"/>
  <c r="C59" i="10"/>
  <c r="B63" i="10"/>
  <c r="B18" i="10"/>
  <c r="B17" i="10"/>
  <c r="C71" i="11" l="1"/>
  <c r="C72" i="11" s="1"/>
  <c r="C58" i="11"/>
  <c r="C60" i="10"/>
  <c r="C70" i="10" s="1"/>
  <c r="C69" i="10"/>
  <c r="C44" i="10"/>
  <c r="C49" i="10"/>
  <c r="F118" i="9"/>
  <c r="F119" i="9"/>
  <c r="F117" i="9"/>
  <c r="C73" i="11" l="1"/>
  <c r="C61" i="10"/>
  <c r="C71" i="10" s="1"/>
  <c r="C50" i="10"/>
  <c r="C62" i="10"/>
  <c r="C72" i="10" s="1"/>
  <c r="C45" i="10"/>
  <c r="E52" i="10" s="1"/>
  <c r="F116" i="9"/>
  <c r="G99" i="9"/>
  <c r="E99" i="9"/>
  <c r="G103" i="9" s="1"/>
  <c r="C82" i="9"/>
  <c r="C81" i="9"/>
  <c r="C80" i="9"/>
  <c r="C79" i="9"/>
  <c r="C88" i="9" s="1"/>
  <c r="A68" i="9"/>
  <c r="A69" i="9"/>
  <c r="A70" i="9"/>
  <c r="A71" i="9"/>
  <c r="F58" i="9"/>
  <c r="F53" i="9"/>
  <c r="F52" i="9"/>
  <c r="F51" i="9"/>
  <c r="D29" i="9"/>
  <c r="D25" i="9"/>
  <c r="D21" i="9"/>
  <c r="C32" i="9"/>
  <c r="D32" i="9" s="1"/>
  <c r="D31" i="9"/>
  <c r="D30" i="9"/>
  <c r="C28" i="9"/>
  <c r="D28" i="9" s="1"/>
  <c r="D27" i="9"/>
  <c r="D26" i="9"/>
  <c r="C24" i="9"/>
  <c r="D24" i="9" s="1"/>
  <c r="C44" i="9"/>
  <c r="C43" i="9"/>
  <c r="C42" i="9"/>
  <c r="C41" i="9"/>
  <c r="D23" i="9"/>
  <c r="D22" i="9"/>
  <c r="B12" i="9"/>
  <c r="D12" i="9" s="1"/>
  <c r="D4" i="9"/>
  <c r="B4" i="9"/>
  <c r="B3" i="9"/>
  <c r="E3" i="9" s="1"/>
  <c r="D13" i="9"/>
  <c r="E5" i="9"/>
  <c r="F198" i="7"/>
  <c r="F186" i="7"/>
  <c r="F187" i="7" s="1"/>
  <c r="G187" i="7" s="1"/>
  <c r="C166" i="7"/>
  <c r="C174" i="7" s="1"/>
  <c r="C165" i="7"/>
  <c r="C173" i="7" s="1"/>
  <c r="C164" i="7"/>
  <c r="C172" i="7" s="1"/>
  <c r="C163" i="7"/>
  <c r="C171" i="7" s="1"/>
  <c r="F125" i="7"/>
  <c r="F124" i="7"/>
  <c r="F117" i="7"/>
  <c r="F116" i="7"/>
  <c r="A105" i="7"/>
  <c r="A104" i="7"/>
  <c r="A103" i="7"/>
  <c r="C93" i="7"/>
  <c r="C94" i="7"/>
  <c r="C92" i="7"/>
  <c r="C91" i="7"/>
  <c r="E114" i="3"/>
  <c r="A77" i="7"/>
  <c r="A78" i="7"/>
  <c r="A79" i="7"/>
  <c r="A76" i="7"/>
  <c r="C80" i="7"/>
  <c r="A80" i="7" s="1"/>
  <c r="C67" i="7"/>
  <c r="D67" i="7" s="1"/>
  <c r="D68" i="7"/>
  <c r="D66" i="7"/>
  <c r="D65" i="7"/>
  <c r="D64" i="7"/>
  <c r="D63" i="7"/>
  <c r="E39" i="7"/>
  <c r="G43" i="7" s="1"/>
  <c r="G39" i="7"/>
  <c r="G31" i="7"/>
  <c r="E31" i="7"/>
  <c r="G32" i="7" s="1"/>
  <c r="G28" i="7"/>
  <c r="G27" i="7"/>
  <c r="G26" i="7"/>
  <c r="E26" i="7"/>
  <c r="D16" i="7"/>
  <c r="E9" i="7"/>
  <c r="D17" i="7"/>
  <c r="D8" i="7"/>
  <c r="E8" i="7" s="1"/>
  <c r="E6" i="7"/>
  <c r="E7" i="7"/>
  <c r="C63" i="10" l="1"/>
  <c r="C51" i="10"/>
  <c r="C52" i="10" s="1"/>
  <c r="F52" i="10"/>
  <c r="G116" i="9"/>
  <c r="G100" i="9"/>
  <c r="G101" i="9"/>
  <c r="G102" i="9"/>
  <c r="E4" i="9"/>
  <c r="M199" i="7"/>
  <c r="J199" i="7"/>
  <c r="F199" i="7"/>
  <c r="C179" i="7"/>
  <c r="F188" i="7"/>
  <c r="G188" i="7" s="1"/>
  <c r="C175" i="7"/>
  <c r="G186" i="7"/>
  <c r="F189" i="7"/>
  <c r="G189" i="7" s="1"/>
  <c r="H26" i="7"/>
  <c r="G33" i="7"/>
  <c r="H31" i="7" s="1"/>
  <c r="G40" i="7"/>
  <c r="G41" i="7"/>
  <c r="G42" i="7"/>
  <c r="B93" i="4"/>
  <c r="H93" i="4" s="1"/>
  <c r="F93" i="4"/>
  <c r="H94" i="4" s="1"/>
  <c r="C86" i="4"/>
  <c r="C85" i="4"/>
  <c r="E68" i="4"/>
  <c r="E79" i="4" s="1"/>
  <c r="E69" i="4"/>
  <c r="E80" i="4" s="1"/>
  <c r="E70" i="4"/>
  <c r="E81" i="4" s="1"/>
  <c r="C87" i="4" s="1"/>
  <c r="B99" i="3"/>
  <c r="E101" i="3"/>
  <c r="E100" i="3"/>
  <c r="E71" i="4"/>
  <c r="E82" i="4" s="1"/>
  <c r="C88" i="4" s="1"/>
  <c r="B75" i="6"/>
  <c r="C56" i="6"/>
  <c r="G49" i="6"/>
  <c r="G48" i="6"/>
  <c r="E28" i="6"/>
  <c r="H78" i="5"/>
  <c r="H75" i="5"/>
  <c r="H76" i="5"/>
  <c r="H77" i="5"/>
  <c r="H74" i="5"/>
  <c r="B17" i="6"/>
  <c r="B7" i="6"/>
  <c r="E74" i="5"/>
  <c r="D39" i="5"/>
  <c r="D50" i="5" s="1"/>
  <c r="D23" i="5"/>
  <c r="D27" i="5" s="1"/>
  <c r="E30" i="5" s="1"/>
  <c r="C33" i="5" s="1"/>
  <c r="D9" i="5"/>
  <c r="D14" i="5" s="1"/>
  <c r="D8" i="5"/>
  <c r="D13" i="5" s="1"/>
  <c r="C64" i="10" l="1"/>
  <c r="C73" i="10"/>
  <c r="E75" i="10"/>
  <c r="H99" i="9"/>
  <c r="J200" i="7"/>
  <c r="M200" i="7"/>
  <c r="F200" i="7"/>
  <c r="H39" i="7"/>
  <c r="H95" i="4"/>
  <c r="I93" i="4" s="1"/>
  <c r="C89" i="4"/>
  <c r="E88" i="4" s="1"/>
  <c r="E30" i="6"/>
  <c r="C35" i="6" s="1"/>
  <c r="C36" i="6" s="1"/>
  <c r="C57" i="6"/>
  <c r="G50" i="6"/>
  <c r="E29" i="6"/>
  <c r="C34" i="6" s="1"/>
  <c r="C33" i="6"/>
  <c r="C58" i="5"/>
  <c r="D43" i="5"/>
  <c r="E46" i="5" s="1"/>
  <c r="E75" i="5"/>
  <c r="E76" i="5" s="1"/>
  <c r="C17" i="5"/>
  <c r="G59" i="4"/>
  <c r="G53" i="4"/>
  <c r="G54" i="4"/>
  <c r="G52" i="4"/>
  <c r="E32" i="4"/>
  <c r="F32" i="4" s="1"/>
  <c r="E28" i="4"/>
  <c r="F28" i="4" s="1"/>
  <c r="E24" i="4"/>
  <c r="F24" i="4" s="1"/>
  <c r="D43" i="4"/>
  <c r="D42" i="4"/>
  <c r="D41" i="4"/>
  <c r="D35" i="4"/>
  <c r="E35" i="4" s="1"/>
  <c r="E34" i="4"/>
  <c r="F34" i="4" s="1"/>
  <c r="E33" i="4"/>
  <c r="F33" i="4" s="1"/>
  <c r="D31" i="4"/>
  <c r="E31" i="4" s="1"/>
  <c r="F31" i="4" s="1"/>
  <c r="E30" i="4"/>
  <c r="F30" i="4" s="1"/>
  <c r="E29" i="4"/>
  <c r="F29" i="4" s="1"/>
  <c r="D27" i="4"/>
  <c r="E27" i="4" s="1"/>
  <c r="F27" i="4" s="1"/>
  <c r="E26" i="4"/>
  <c r="F26" i="4" s="1"/>
  <c r="E25" i="4"/>
  <c r="F25" i="4" s="1"/>
  <c r="D14" i="4"/>
  <c r="E14" i="4" s="1"/>
  <c r="E7" i="4"/>
  <c r="D7" i="4"/>
  <c r="D6" i="4"/>
  <c r="F6" i="4" s="1"/>
  <c r="C84" i="11" l="1"/>
  <c r="C74" i="10"/>
  <c r="C75" i="10" s="1"/>
  <c r="F75" i="10"/>
  <c r="F201" i="7"/>
  <c r="J201" i="7"/>
  <c r="M201" i="7"/>
  <c r="M202" i="7" s="1"/>
  <c r="G51" i="6"/>
  <c r="C58" i="6"/>
  <c r="C59" i="5"/>
  <c r="E56" i="5"/>
  <c r="C60" i="5" s="1"/>
  <c r="D53" i="5"/>
  <c r="E77" i="5"/>
  <c r="B83" i="5" s="1"/>
  <c r="B84" i="5" s="1"/>
  <c r="F7" i="4"/>
  <c r="G143" i="3"/>
  <c r="D143" i="3"/>
  <c r="G142" i="3"/>
  <c r="D142" i="3"/>
  <c r="J131" i="3"/>
  <c r="J132" i="3"/>
  <c r="G132" i="3"/>
  <c r="D132" i="3"/>
  <c r="E96" i="3"/>
  <c r="E98" i="3"/>
  <c r="E97" i="3"/>
  <c r="K141" i="3"/>
  <c r="I141" i="3"/>
  <c r="G141" i="3"/>
  <c r="D141" i="3"/>
  <c r="D131" i="3"/>
  <c r="G131" i="3"/>
  <c r="E116" i="3"/>
  <c r="E117" i="3"/>
  <c r="E115" i="3"/>
  <c r="E118" i="3"/>
  <c r="E95" i="3"/>
  <c r="E102" i="3"/>
  <c r="E94" i="3"/>
  <c r="E90" i="3"/>
  <c r="E91" i="3"/>
  <c r="E92" i="3"/>
  <c r="E93" i="3"/>
  <c r="E89" i="3"/>
  <c r="F66" i="3"/>
  <c r="H68" i="3" s="1"/>
  <c r="H69" i="3"/>
  <c r="H67" i="3"/>
  <c r="H66" i="3"/>
  <c r="H58" i="3"/>
  <c r="F58" i="3"/>
  <c r="H60" i="3" s="1"/>
  <c r="H53" i="3"/>
  <c r="F53" i="3"/>
  <c r="H54" i="3" s="1"/>
  <c r="E36" i="3"/>
  <c r="E37" i="3"/>
  <c r="F19" i="3"/>
  <c r="F20" i="3"/>
  <c r="E18" i="3"/>
  <c r="F18" i="3" s="1"/>
  <c r="E17" i="3"/>
  <c r="F17" i="3" s="1"/>
  <c r="E32" i="3"/>
  <c r="E33" i="3"/>
  <c r="E34" i="3"/>
  <c r="E35" i="3"/>
  <c r="E38" i="3"/>
  <c r="F22" i="3"/>
  <c r="F8" i="3"/>
  <c r="F9" i="3"/>
  <c r="F11" i="3"/>
  <c r="F12" i="3"/>
  <c r="F13" i="3"/>
  <c r="F14" i="3"/>
  <c r="F15" i="3"/>
  <c r="F7" i="3"/>
  <c r="E16" i="3"/>
  <c r="F16" i="3" s="1"/>
  <c r="E10" i="3"/>
  <c r="F10" i="3" s="1"/>
  <c r="J202" i="7" l="1"/>
  <c r="J203" i="7" s="1"/>
  <c r="C204" i="7"/>
  <c r="C59" i="6"/>
  <c r="G52" i="6"/>
  <c r="C60" i="6" s="1"/>
  <c r="I142" i="3"/>
  <c r="K142" i="3" s="1"/>
  <c r="I143" i="3"/>
  <c r="K143" i="3" s="1"/>
  <c r="H70" i="3"/>
  <c r="I66" i="3"/>
  <c r="H55" i="3"/>
  <c r="I53" i="3" s="1"/>
  <c r="H59" i="3"/>
  <c r="I58" i="3" s="1"/>
  <c r="G53" i="6" l="1"/>
  <c r="C61" i="6" s="1"/>
  <c r="C62" i="6" s="1"/>
  <c r="G117" i="9"/>
  <c r="G118" i="9"/>
  <c r="G119" i="9"/>
  <c r="C122" i="9"/>
</calcChain>
</file>

<file path=xl/sharedStrings.xml><?xml version="1.0" encoding="utf-8"?>
<sst xmlns="http://schemas.openxmlformats.org/spreadsheetml/2006/main" count="1005" uniqueCount="415">
  <si>
    <t>複利計算式</t>
    <rPh sb="0" eb="2">
      <t>フクリ</t>
    </rPh>
    <rPh sb="2" eb="4">
      <t>ケイサン</t>
    </rPh>
    <rPh sb="4" eb="5">
      <t>シキ</t>
    </rPh>
    <phoneticPr fontId="1"/>
  </si>
  <si>
    <t>当初元本　×　（ 1 + r / n ) ^ nt</t>
    <rPh sb="0" eb="2">
      <t>トウショ</t>
    </rPh>
    <rPh sb="2" eb="4">
      <t>ガンポン</t>
    </rPh>
    <phoneticPr fontId="1"/>
  </si>
  <si>
    <t>当初元本</t>
    <rPh sb="0" eb="2">
      <t>トウショ</t>
    </rPh>
    <rPh sb="2" eb="4">
      <t>ガンポン</t>
    </rPh>
    <phoneticPr fontId="1"/>
  </si>
  <si>
    <t>金利r</t>
    <rPh sb="0" eb="2">
      <t>キンリ</t>
    </rPh>
    <phoneticPr fontId="1"/>
  </si>
  <si>
    <t>期間 t 年</t>
    <rPh sb="0" eb="2">
      <t>キカン</t>
    </rPh>
    <rPh sb="5" eb="6">
      <t>ネン</t>
    </rPh>
    <phoneticPr fontId="1"/>
  </si>
  <si>
    <t>回数 n</t>
    <rPh sb="0" eb="2">
      <t>カイスウ</t>
    </rPh>
    <phoneticPr fontId="1"/>
  </si>
  <si>
    <t>答え</t>
    <rPh sb="0" eb="1">
      <t>コタ</t>
    </rPh>
    <phoneticPr fontId="1"/>
  </si>
  <si>
    <t>１年複利</t>
    <rPh sb="1" eb="2">
      <t>ネン</t>
    </rPh>
    <rPh sb="2" eb="4">
      <t>フクリ</t>
    </rPh>
    <phoneticPr fontId="1"/>
  </si>
  <si>
    <t>半年複利</t>
    <rPh sb="0" eb="2">
      <t>ハントシ</t>
    </rPh>
    <rPh sb="2" eb="4">
      <t>フクリ</t>
    </rPh>
    <phoneticPr fontId="1"/>
  </si>
  <si>
    <t>１カ月複利</t>
    <rPh sb="2" eb="3">
      <t>ゲツ</t>
    </rPh>
    <rPh sb="3" eb="5">
      <t>フクリ</t>
    </rPh>
    <phoneticPr fontId="1"/>
  </si>
  <si>
    <t>1秒複利</t>
    <rPh sb="1" eb="2">
      <t>ビョウ</t>
    </rPh>
    <rPh sb="2" eb="4">
      <t>フクリ</t>
    </rPh>
    <phoneticPr fontId="1"/>
  </si>
  <si>
    <t>問題１</t>
    <rPh sb="0" eb="2">
      <t>モンダイ</t>
    </rPh>
    <phoneticPr fontId="1"/>
  </si>
  <si>
    <t>3か月複利</t>
    <rPh sb="2" eb="3">
      <t>ゲツ</t>
    </rPh>
    <rPh sb="3" eb="5">
      <t>フクリ</t>
    </rPh>
    <phoneticPr fontId="1"/>
  </si>
  <si>
    <t>1日複利</t>
    <rPh sb="1" eb="2">
      <t>ヒ</t>
    </rPh>
    <rPh sb="2" eb="4">
      <t>フクリ</t>
    </rPh>
    <phoneticPr fontId="1"/>
  </si>
  <si>
    <t>=B16 * ( 1 + C16 / E16 ) ^ ( E16 * D16 )</t>
    <phoneticPr fontId="1"/>
  </si>
  <si>
    <t>=当初元本　×　（ 1 + r / n ) ^ nt</t>
    <phoneticPr fontId="1"/>
  </si>
  <si>
    <t>連続複利</t>
    <rPh sb="0" eb="2">
      <t>レンゾク</t>
    </rPh>
    <rPh sb="2" eb="4">
      <t>フクリ</t>
    </rPh>
    <phoneticPr fontId="1"/>
  </si>
  <si>
    <t>当初元本　×　lim ( 1 + r / n ) ^ t * n</t>
    <rPh sb="0" eb="2">
      <t>トウショ</t>
    </rPh>
    <rPh sb="2" eb="4">
      <t>ガンポン</t>
    </rPh>
    <phoneticPr fontId="1"/>
  </si>
  <si>
    <t>→　当初元本 × e ^ (r * t )</t>
    <rPh sb="2" eb="4">
      <t>トウショ</t>
    </rPh>
    <rPh sb="4" eb="6">
      <t>ガンポン</t>
    </rPh>
    <phoneticPr fontId="1"/>
  </si>
  <si>
    <t>問題２</t>
    <rPh sb="0" eb="2">
      <t>モンダイ</t>
    </rPh>
    <phoneticPr fontId="1"/>
  </si>
  <si>
    <t>= B30 * EXP(C30 * D30 )</t>
    <phoneticPr fontId="1"/>
  </si>
  <si>
    <t>= 当初元本 × e ^ ( 金利 × 期間 )</t>
    <phoneticPr fontId="1"/>
  </si>
  <si>
    <t>問題３</t>
    <rPh sb="0" eb="2">
      <t>モンダイ</t>
    </rPh>
    <phoneticPr fontId="1"/>
  </si>
  <si>
    <t>債権の複利利回り</t>
    <rPh sb="0" eb="2">
      <t>サイケン</t>
    </rPh>
    <rPh sb="3" eb="5">
      <t>フクリ</t>
    </rPh>
    <rPh sb="5" eb="7">
      <t>リマワ</t>
    </rPh>
    <phoneticPr fontId="1"/>
  </si>
  <si>
    <t>c/(1+r) + c/(1+r)^2 + ・・・ + (c+100) / (1+r)^n = P</t>
    <phoneticPr fontId="1"/>
  </si>
  <si>
    <t>→　IRR(キャッシュフロー)　※最初はマイナス</t>
    <rPh sb="17" eb="19">
      <t>サイショ</t>
    </rPh>
    <phoneticPr fontId="1"/>
  </si>
  <si>
    <t>(c/2)/(1+r/2) + (c/2)/(1+r/2)^2 + ・・・ + (c/2+100) / (1+r/2)^n = P</t>
    <phoneticPr fontId="1"/>
  </si>
  <si>
    <t>価格</t>
    <rPh sb="0" eb="2">
      <t>カカク</t>
    </rPh>
    <phoneticPr fontId="1"/>
  </si>
  <si>
    <t>クーポン</t>
    <phoneticPr fontId="1"/>
  </si>
  <si>
    <t>クーポンフロー</t>
    <phoneticPr fontId="1"/>
  </si>
  <si>
    <t>クーポン年支払回数</t>
    <rPh sb="4" eb="5">
      <t>ネン</t>
    </rPh>
    <rPh sb="5" eb="7">
      <t>シハライ</t>
    </rPh>
    <rPh sb="7" eb="9">
      <t>カイスウ</t>
    </rPh>
    <phoneticPr fontId="1"/>
  </si>
  <si>
    <t>CashFlow</t>
    <phoneticPr fontId="1"/>
  </si>
  <si>
    <t>価格パーの場合は、クーポンレート＝単利利回り＝複利利回りが同じになる。</t>
    <rPh sb="0" eb="2">
      <t>カカク</t>
    </rPh>
    <rPh sb="5" eb="7">
      <t>バアイ</t>
    </rPh>
    <rPh sb="17" eb="19">
      <t>タンリ</t>
    </rPh>
    <rPh sb="19" eb="21">
      <t>リマワ</t>
    </rPh>
    <rPh sb="23" eb="25">
      <t>フクリ</t>
    </rPh>
    <rPh sb="25" eb="27">
      <t>リマワ</t>
    </rPh>
    <rPh sb="29" eb="30">
      <t>オナ</t>
    </rPh>
    <phoneticPr fontId="1"/>
  </si>
  <si>
    <t>→現在価値が、額面100円と同じということは、クーポンレートがそのまま利回りと考えることができる。</t>
    <rPh sb="1" eb="3">
      <t>ゲンザイ</t>
    </rPh>
    <rPh sb="3" eb="5">
      <t>カチ</t>
    </rPh>
    <rPh sb="7" eb="9">
      <t>ガクメン</t>
    </rPh>
    <rPh sb="12" eb="13">
      <t>エン</t>
    </rPh>
    <rPh sb="14" eb="15">
      <t>オナ</t>
    </rPh>
    <rPh sb="35" eb="37">
      <t>リマワ</t>
    </rPh>
    <rPh sb="39" eb="40">
      <t>カンガ</t>
    </rPh>
    <phoneticPr fontId="1"/>
  </si>
  <si>
    <t>= C66 / E66</t>
    <phoneticPr fontId="1"/>
  </si>
  <si>
    <t>= クーポンレート / 年支払回数</t>
    <rPh sb="12" eb="13">
      <t>ネン</t>
    </rPh>
    <rPh sb="13" eb="15">
      <t>シハライ</t>
    </rPh>
    <rPh sb="15" eb="17">
      <t>カイスウ</t>
    </rPh>
    <phoneticPr fontId="1"/>
  </si>
  <si>
    <t>= IRR(キャッシュフロー） * クーポン年支払回数</t>
    <rPh sb="22" eb="23">
      <t>ネン</t>
    </rPh>
    <rPh sb="23" eb="25">
      <t>シハライ</t>
    </rPh>
    <rPh sb="25" eb="27">
      <t>カイスウ</t>
    </rPh>
    <phoneticPr fontId="1"/>
  </si>
  <si>
    <t>アンダーパー</t>
    <phoneticPr fontId="1"/>
  </si>
  <si>
    <t>パー</t>
    <phoneticPr fontId="1"/>
  </si>
  <si>
    <t>オーバーパー</t>
    <phoneticPr fontId="1"/>
  </si>
  <si>
    <t>額面 &lt; 価格</t>
    <rPh sb="0" eb="2">
      <t>ガクメン</t>
    </rPh>
    <rPh sb="5" eb="7">
      <t>カカク</t>
    </rPh>
    <phoneticPr fontId="1"/>
  </si>
  <si>
    <t>額面 = 価格</t>
    <rPh sb="0" eb="2">
      <t>ガクメン</t>
    </rPh>
    <rPh sb="5" eb="7">
      <t>カカク</t>
    </rPh>
    <phoneticPr fontId="1"/>
  </si>
  <si>
    <t>額面 &gt; 価格</t>
    <rPh sb="0" eb="2">
      <t>ガクメン</t>
    </rPh>
    <rPh sb="5" eb="7">
      <t>カカク</t>
    </rPh>
    <phoneticPr fontId="1"/>
  </si>
  <si>
    <t>利回り &lt; クーポン</t>
    <rPh sb="0" eb="2">
      <t>リマワ</t>
    </rPh>
    <phoneticPr fontId="1"/>
  </si>
  <si>
    <t>利回り = クーポン</t>
    <rPh sb="0" eb="2">
      <t>リマワ</t>
    </rPh>
    <phoneticPr fontId="1"/>
  </si>
  <si>
    <t>利回り &gt; クーポン</t>
    <rPh sb="0" eb="2">
      <t>リマワ</t>
    </rPh>
    <phoneticPr fontId="1"/>
  </si>
  <si>
    <t>額面と価格の関係</t>
    <rPh sb="0" eb="2">
      <t>ガクメン</t>
    </rPh>
    <rPh sb="3" eb="5">
      <t>カカク</t>
    </rPh>
    <rPh sb="6" eb="8">
      <t>カンケイ</t>
    </rPh>
    <phoneticPr fontId="1"/>
  </si>
  <si>
    <t>ゼロレート</t>
    <phoneticPr fontId="1"/>
  </si>
  <si>
    <t>ゼロレートとは、割引債の利回りのこと。別名スポットレートと呼ぶ。</t>
    <rPh sb="8" eb="11">
      <t>ワリビキサイ</t>
    </rPh>
    <rPh sb="12" eb="14">
      <t>リマワ</t>
    </rPh>
    <rPh sb="19" eb="21">
      <t>ベツメイ</t>
    </rPh>
    <rPh sb="29" eb="30">
      <t>ヨ</t>
    </rPh>
    <phoneticPr fontId="1"/>
  </si>
  <si>
    <t>例題２</t>
    <rPh sb="0" eb="2">
      <t>レイダイ</t>
    </rPh>
    <phoneticPr fontId="1"/>
  </si>
  <si>
    <t>P = 100 / ( 1 + r ) ^ nt</t>
    <phoneticPr fontId="1"/>
  </si>
  <si>
    <t>=( (100/B86) ^ ( 1/(D86*C86) )  - 1 ) * D86</t>
    <phoneticPr fontId="1"/>
  </si>
  <si>
    <t>=( (100/価格) ^ ( 1 / (期間*年支払回数) ) - 1 ) * 年支払回数</t>
    <rPh sb="9" eb="11">
      <t>カカク</t>
    </rPh>
    <rPh sb="22" eb="24">
      <t>キカン</t>
    </rPh>
    <rPh sb="25" eb="26">
      <t>ネン</t>
    </rPh>
    <rPh sb="26" eb="28">
      <t>シハライ</t>
    </rPh>
    <rPh sb="28" eb="30">
      <t>カイスウ</t>
    </rPh>
    <rPh sb="42" eb="43">
      <t>ネン</t>
    </rPh>
    <rPh sb="43" eb="45">
      <t>シハライカイスウ</t>
    </rPh>
    <phoneticPr fontId="1"/>
  </si>
  <si>
    <t>問題４</t>
    <rPh sb="0" eb="2">
      <t>モンダイ</t>
    </rPh>
    <phoneticPr fontId="1"/>
  </si>
  <si>
    <t>r = ( ( 100 / P ) ^ ( 1 / (期間 * 年支払回数 ) )  - 1 ) * 年支払回数</t>
    <rPh sb="27" eb="29">
      <t>キカン</t>
    </rPh>
    <rPh sb="32" eb="33">
      <t>ネン</t>
    </rPh>
    <rPh sb="33" eb="35">
      <t>シハライ</t>
    </rPh>
    <rPh sb="35" eb="37">
      <t>カイスウ</t>
    </rPh>
    <rPh sb="51" eb="52">
      <t>ネン</t>
    </rPh>
    <rPh sb="52" eb="54">
      <t>シハライ</t>
    </rPh>
    <rPh sb="54" eb="56">
      <t>カイスウ</t>
    </rPh>
    <phoneticPr fontId="1"/>
  </si>
  <si>
    <t>連続複利のゼロレート</t>
    <rPh sb="0" eb="2">
      <t>レンゾク</t>
    </rPh>
    <rPh sb="2" eb="4">
      <t>フクリ</t>
    </rPh>
    <phoneticPr fontId="1"/>
  </si>
  <si>
    <t>P = 100 / e ^ rt</t>
    <phoneticPr fontId="1"/>
  </si>
  <si>
    <t>→ r = (1 / t) * LN ( P / 100 )</t>
    <phoneticPr fontId="1"/>
  </si>
  <si>
    <t>例題３</t>
    <rPh sb="0" eb="2">
      <t>レイダイ</t>
    </rPh>
    <phoneticPr fontId="1"/>
  </si>
  <si>
    <t xml:space="preserve">r = ( 1 / 期間 ) * LN ( 100 / P ) </t>
    <rPh sb="10" eb="12">
      <t>キカン</t>
    </rPh>
    <phoneticPr fontId="1"/>
  </si>
  <si>
    <t>※連続複利なんで、クーポン年支払回数はある意味無限となる。</t>
    <rPh sb="1" eb="3">
      <t>レンゾク</t>
    </rPh>
    <rPh sb="3" eb="5">
      <t>フクリ</t>
    </rPh>
    <rPh sb="13" eb="14">
      <t>ネン</t>
    </rPh>
    <rPh sb="14" eb="16">
      <t>シハライ</t>
    </rPh>
    <rPh sb="16" eb="18">
      <t>カイスウ</t>
    </rPh>
    <rPh sb="21" eb="23">
      <t>イミ</t>
    </rPh>
    <rPh sb="23" eb="25">
      <t>ムゲン</t>
    </rPh>
    <phoneticPr fontId="1"/>
  </si>
  <si>
    <t>　だから e を使っているので、支払回数は考慮しなくてよい。</t>
    <phoneticPr fontId="1"/>
  </si>
  <si>
    <t>問題５</t>
    <rPh sb="0" eb="2">
      <t>モンダイ</t>
    </rPh>
    <phoneticPr fontId="1"/>
  </si>
  <si>
    <t>回数増やした方が、利回りは減るに決まっている。</t>
    <rPh sb="0" eb="2">
      <t>カイスウ</t>
    </rPh>
    <rPh sb="2" eb="3">
      <t>フ</t>
    </rPh>
    <rPh sb="6" eb="7">
      <t>ホウ</t>
    </rPh>
    <rPh sb="9" eb="11">
      <t>リマワ</t>
    </rPh>
    <rPh sb="13" eb="14">
      <t>ヘ</t>
    </rPh>
    <rPh sb="16" eb="17">
      <t>キ</t>
    </rPh>
    <phoneticPr fontId="1"/>
  </si>
  <si>
    <t>=(1/C111) * LN(100/B111) * D111</t>
    <phoneticPr fontId="1"/>
  </si>
  <si>
    <t>= ( 1 / 期間 ) * LN ( 100 / 価格 )</t>
    <rPh sb="9" eb="11">
      <t>キカン</t>
    </rPh>
    <rPh sb="27" eb="29">
      <t>カカク</t>
    </rPh>
    <phoneticPr fontId="1"/>
  </si>
  <si>
    <t>インプライド・フォワード・レート</t>
    <phoneticPr fontId="1"/>
  </si>
  <si>
    <t>ゼロレート１</t>
    <phoneticPr fontId="1"/>
  </si>
  <si>
    <t>ゼロレート2</t>
    <phoneticPr fontId="1"/>
  </si>
  <si>
    <t>期間１</t>
    <rPh sb="0" eb="2">
      <t>キカン</t>
    </rPh>
    <phoneticPr fontId="1"/>
  </si>
  <si>
    <t>期間2</t>
    <rPh sb="0" eb="2">
      <t>キカン</t>
    </rPh>
    <phoneticPr fontId="1"/>
  </si>
  <si>
    <t>年支払回数</t>
    <rPh sb="0" eb="1">
      <t>ネン</t>
    </rPh>
    <rPh sb="1" eb="3">
      <t>シハライ</t>
    </rPh>
    <rPh sb="3" eb="5">
      <t>カイスウ</t>
    </rPh>
    <phoneticPr fontId="1"/>
  </si>
  <si>
    <t>期間１の回数</t>
    <rPh sb="0" eb="2">
      <t>キカン</t>
    </rPh>
    <rPh sb="4" eb="6">
      <t>カイスウ</t>
    </rPh>
    <phoneticPr fontId="1"/>
  </si>
  <si>
    <t>期間2の回数</t>
    <rPh sb="0" eb="2">
      <t>キカン</t>
    </rPh>
    <rPh sb="4" eb="6">
      <t>カイスウ</t>
    </rPh>
    <phoneticPr fontId="1"/>
  </si>
  <si>
    <t>連続複利のインプライド・フォワード・レート</t>
    <rPh sb="0" eb="4">
      <t>レンゾクフクリ</t>
    </rPh>
    <phoneticPr fontId="1"/>
  </si>
  <si>
    <t>e ^ r1t1 + e ^ r2t2 = e ^ r3t3</t>
    <phoneticPr fontId="1"/>
  </si>
  <si>
    <t>→　r1t1 + r2t2 = r3t3</t>
    <phoneticPr fontId="1"/>
  </si>
  <si>
    <t>期間３の回数</t>
    <rPh sb="0" eb="2">
      <t>キカン</t>
    </rPh>
    <rPh sb="4" eb="6">
      <t>カイスウ</t>
    </rPh>
    <phoneticPr fontId="1"/>
  </si>
  <si>
    <t>確認問題</t>
    <rPh sb="0" eb="2">
      <t>カクニン</t>
    </rPh>
    <rPh sb="2" eb="4">
      <t>モンダイ</t>
    </rPh>
    <phoneticPr fontId="1"/>
  </si>
  <si>
    <t>( 1 + 1.5%/2 ) ^ 2 * ( 1 + X / 2 ) ^ 1 = ( 1 + 2% / 2 ) ^ 3</t>
    <phoneticPr fontId="1"/>
  </si>
  <si>
    <t>宿題　（債権数理）</t>
    <rPh sb="0" eb="2">
      <t>シュクダイ</t>
    </rPh>
    <rPh sb="4" eb="6">
      <t>サイケン</t>
    </rPh>
    <rPh sb="6" eb="8">
      <t>スウリ</t>
    </rPh>
    <phoneticPr fontId="1"/>
  </si>
  <si>
    <t>想定元本</t>
    <rPh sb="0" eb="2">
      <t>ソウテイ</t>
    </rPh>
    <rPh sb="2" eb="4">
      <t>ガンポン</t>
    </rPh>
    <phoneticPr fontId="1"/>
  </si>
  <si>
    <t>金利</t>
    <rPh sb="0" eb="2">
      <t>キンリ</t>
    </rPh>
    <phoneticPr fontId="1"/>
  </si>
  <si>
    <t>期間</t>
    <rPh sb="0" eb="2">
      <t>キカン</t>
    </rPh>
    <phoneticPr fontId="1"/>
  </si>
  <si>
    <t>P = 元本 × （ 1 + r/n ) ^ nt</t>
    <rPh sb="4" eb="6">
      <t>ガンポン</t>
    </rPh>
    <phoneticPr fontId="1"/>
  </si>
  <si>
    <t>CashFlow支払回数</t>
    <rPh sb="8" eb="10">
      <t>シハライ</t>
    </rPh>
    <rPh sb="10" eb="12">
      <t>カイスウ</t>
    </rPh>
    <phoneticPr fontId="1"/>
  </si>
  <si>
    <t>P = 元本 × e ^ rt</t>
    <rPh sb="4" eb="6">
      <t>ガンポン</t>
    </rPh>
    <phoneticPr fontId="1"/>
  </si>
  <si>
    <t>①</t>
    <phoneticPr fontId="1"/>
  </si>
  <si>
    <t>②</t>
    <phoneticPr fontId="1"/>
  </si>
  <si>
    <t>③</t>
    <phoneticPr fontId="1"/>
  </si>
  <si>
    <t>r = ( (100 / P ) ^ ( 1/Ncashflow) - 1 ) * Navg1year</t>
    <phoneticPr fontId="1"/>
  </si>
  <si>
    <t>P = 100 / ( 1 + r /N1year) ^ Ncashflow</t>
    <phoneticPr fontId="1"/>
  </si>
  <si>
    <t>①</t>
    <phoneticPr fontId="1"/>
  </si>
  <si>
    <t>③</t>
    <phoneticPr fontId="1"/>
  </si>
  <si>
    <t>連続ゼロレート</t>
    <rPh sb="0" eb="2">
      <t>レンゾク</t>
    </rPh>
    <phoneticPr fontId="1"/>
  </si>
  <si>
    <t>P = 100 / e ^ rt</t>
    <phoneticPr fontId="1"/>
  </si>
  <si>
    <t xml:space="preserve">r =  1/ t * LN ( 100 / P ) </t>
    <phoneticPr fontId="1"/>
  </si>
  <si>
    <t>( 1 + r1/2 ) ^ 3 × ( 1 + r12/2 ) ^ 1 = ( 1 + r2/2 ) ^ 4</t>
    <phoneticPr fontId="1"/>
  </si>
  <si>
    <t>ゼロ金利１</t>
    <rPh sb="2" eb="4">
      <t>キンリ</t>
    </rPh>
    <phoneticPr fontId="1"/>
  </si>
  <si>
    <t>期間の間の回数１</t>
    <rPh sb="0" eb="2">
      <t>キカン</t>
    </rPh>
    <rPh sb="3" eb="4">
      <t>アイダ</t>
    </rPh>
    <rPh sb="5" eb="7">
      <t>カイスウ</t>
    </rPh>
    <phoneticPr fontId="1"/>
  </si>
  <si>
    <t>ゼロ金利２</t>
    <rPh sb="2" eb="4">
      <t>キンリ</t>
    </rPh>
    <phoneticPr fontId="1"/>
  </si>
  <si>
    <t>期間の間の回数２</t>
    <rPh sb="0" eb="2">
      <t>キカン</t>
    </rPh>
    <rPh sb="3" eb="4">
      <t>アイダ</t>
    </rPh>
    <rPh sb="5" eb="7">
      <t>カイスウ</t>
    </rPh>
    <phoneticPr fontId="1"/>
  </si>
  <si>
    <t>年のCashFlow回数</t>
    <rPh sb="0" eb="1">
      <t>ネン</t>
    </rPh>
    <rPh sb="10" eb="12">
      <t>カイスウ</t>
    </rPh>
    <phoneticPr fontId="1"/>
  </si>
  <si>
    <t>①</t>
    <phoneticPr fontId="1"/>
  </si>
  <si>
    <t>３か月複利</t>
    <rPh sb="2" eb="3">
      <t>ゲツ</t>
    </rPh>
    <rPh sb="3" eb="5">
      <t>フクリ</t>
    </rPh>
    <phoneticPr fontId="1"/>
  </si>
  <si>
    <t>連続複利のインプライド・フォワードレート</t>
    <rPh sb="0" eb="2">
      <t>レンゾク</t>
    </rPh>
    <rPh sb="2" eb="4">
      <t>フクリ</t>
    </rPh>
    <phoneticPr fontId="1"/>
  </si>
  <si>
    <t>r1 * t1  ＋ r * t = r2 * t2</t>
    <phoneticPr fontId="1"/>
  </si>
  <si>
    <t>期間２</t>
    <rPh sb="0" eb="2">
      <t>キカン</t>
    </rPh>
    <phoneticPr fontId="1"/>
  </si>
  <si>
    <t>割引債</t>
    <rPh sb="0" eb="3">
      <t>ワリビキサイ</t>
    </rPh>
    <phoneticPr fontId="1"/>
  </si>
  <si>
    <t>①割引債のCFより、DFを順次求める</t>
    <rPh sb="1" eb="4">
      <t>ワリビキサイ</t>
    </rPh>
    <rPh sb="13" eb="15">
      <t>ジュンジ</t>
    </rPh>
    <rPh sb="15" eb="16">
      <t>モト</t>
    </rPh>
    <phoneticPr fontId="1"/>
  </si>
  <si>
    <t>DF</t>
    <phoneticPr fontId="1"/>
  </si>
  <si>
    <t>PV</t>
    <phoneticPr fontId="1"/>
  </si>
  <si>
    <t>P1 = 2 * 0.99</t>
    <phoneticPr fontId="1"/>
  </si>
  <si>
    <t>P2 = 102 * 0.98</t>
    <phoneticPr fontId="1"/>
  </si>
  <si>
    <t xml:space="preserve">PV = P1 + P2 = </t>
    <phoneticPr fontId="1"/>
  </si>
  <si>
    <t>計算式</t>
    <rPh sb="0" eb="2">
      <t>ケイサン</t>
    </rPh>
    <rPh sb="2" eb="3">
      <t>シキ</t>
    </rPh>
    <phoneticPr fontId="1"/>
  </si>
  <si>
    <t>②利付債のキャッシュフローのPVを求める</t>
    <rPh sb="1" eb="3">
      <t>リツキ</t>
    </rPh>
    <rPh sb="3" eb="4">
      <t>サイ</t>
    </rPh>
    <rPh sb="17" eb="18">
      <t>モト</t>
    </rPh>
    <phoneticPr fontId="1"/>
  </si>
  <si>
    <t>③利付債の価格</t>
    <rPh sb="1" eb="3">
      <t>リツキ</t>
    </rPh>
    <rPh sb="3" eb="4">
      <t>サイ</t>
    </rPh>
    <rPh sb="5" eb="7">
      <t>カカク</t>
    </rPh>
    <phoneticPr fontId="1"/>
  </si>
  <si>
    <t>例題５　割引債の値段がわかっているとき、利付債の値段を求めよ</t>
    <rPh sb="0" eb="2">
      <t>レイダイ</t>
    </rPh>
    <rPh sb="4" eb="7">
      <t>ワリビキサイ</t>
    </rPh>
    <rPh sb="8" eb="10">
      <t>ネダン</t>
    </rPh>
    <rPh sb="20" eb="22">
      <t>リツキ</t>
    </rPh>
    <rPh sb="22" eb="23">
      <t>サイ</t>
    </rPh>
    <rPh sb="24" eb="26">
      <t>ネダン</t>
    </rPh>
    <rPh sb="27" eb="28">
      <t>モト</t>
    </rPh>
    <phoneticPr fontId="1"/>
  </si>
  <si>
    <t>例題６　利付債の値段がわかっているとき、割引債の理論価格を求めよ</t>
    <rPh sb="0" eb="2">
      <t>レイダイ</t>
    </rPh>
    <rPh sb="4" eb="6">
      <t>リツキ</t>
    </rPh>
    <rPh sb="6" eb="7">
      <t>サイ</t>
    </rPh>
    <rPh sb="8" eb="10">
      <t>ネダン</t>
    </rPh>
    <rPh sb="20" eb="23">
      <t>ワリビキサイ</t>
    </rPh>
    <rPh sb="24" eb="26">
      <t>リロン</t>
    </rPh>
    <rPh sb="26" eb="28">
      <t>カカク</t>
    </rPh>
    <rPh sb="29" eb="30">
      <t>モト</t>
    </rPh>
    <phoneticPr fontId="1"/>
  </si>
  <si>
    <t>③割引債の価格</t>
    <rPh sb="1" eb="4">
      <t>ワリビキサイ</t>
    </rPh>
    <rPh sb="5" eb="7">
      <t>カカク</t>
    </rPh>
    <phoneticPr fontId="1"/>
  </si>
  <si>
    <t>CF</t>
    <phoneticPr fontId="1"/>
  </si>
  <si>
    <t>PV</t>
    <phoneticPr fontId="1"/>
  </si>
  <si>
    <t>②利付債よりdf2を求める</t>
    <rPh sb="1" eb="3">
      <t>リツキ</t>
    </rPh>
    <rPh sb="3" eb="4">
      <t>サイ</t>
    </rPh>
    <rPh sb="10" eb="11">
      <t>モト</t>
    </rPh>
    <phoneticPr fontId="1"/>
  </si>
  <si>
    <t>df2 = ( 101.8 - 2.2*0.99 ) / 102.2</t>
    <phoneticPr fontId="1"/>
  </si>
  <si>
    <t>PV = 100 * df2 =</t>
    <phoneticPr fontId="1"/>
  </si>
  <si>
    <t>例題７　半年の割引債の理論がわかっていて、順次利付債の価格を求めよ</t>
    <rPh sb="0" eb="2">
      <t>レイダイ</t>
    </rPh>
    <rPh sb="4" eb="6">
      <t>ハントシ</t>
    </rPh>
    <rPh sb="7" eb="10">
      <t>ワリビキサイ</t>
    </rPh>
    <rPh sb="11" eb="13">
      <t>リロン</t>
    </rPh>
    <rPh sb="21" eb="23">
      <t>ジュンジ</t>
    </rPh>
    <rPh sb="23" eb="25">
      <t>リツキ</t>
    </rPh>
    <rPh sb="25" eb="26">
      <t>サイ</t>
    </rPh>
    <rPh sb="27" eb="29">
      <t>カカク</t>
    </rPh>
    <rPh sb="30" eb="31">
      <t>モト</t>
    </rPh>
    <phoneticPr fontId="1"/>
  </si>
  <si>
    <t>②利付債よりdf1を求める</t>
    <rPh sb="1" eb="3">
      <t>リツキ</t>
    </rPh>
    <rPh sb="3" eb="4">
      <t>サイ</t>
    </rPh>
    <rPh sb="10" eb="11">
      <t>モト</t>
    </rPh>
    <phoneticPr fontId="1"/>
  </si>
  <si>
    <t>P1 + P2 の価格</t>
    <rPh sb="9" eb="11">
      <t>カカク</t>
    </rPh>
    <phoneticPr fontId="1"/>
  </si>
  <si>
    <t>df2 = ( 102.45 - 2*0.99 ) / 102</t>
    <phoneticPr fontId="1"/>
  </si>
  <si>
    <t>③利付債よりdf1.5を求める</t>
    <rPh sb="1" eb="3">
      <t>リツキ</t>
    </rPh>
    <rPh sb="3" eb="4">
      <t>サイ</t>
    </rPh>
    <rPh sb="12" eb="13">
      <t>モト</t>
    </rPh>
    <phoneticPr fontId="1"/>
  </si>
  <si>
    <t>df3 = ( 102.23 - 1.5 * (df0.5 + df1.0) ) / 101.5</t>
    <phoneticPr fontId="1"/>
  </si>
  <si>
    <t>割引債0.5</t>
    <rPh sb="0" eb="3">
      <t>ワリビキサイ</t>
    </rPh>
    <phoneticPr fontId="1"/>
  </si>
  <si>
    <t>割引債1.5</t>
    <rPh sb="0" eb="3">
      <t>ワリビキサイ</t>
    </rPh>
    <phoneticPr fontId="1"/>
  </si>
  <si>
    <t>割引債1.0</t>
    <rPh sb="0" eb="3">
      <t>ワリビキサイ</t>
    </rPh>
    <phoneticPr fontId="1"/>
  </si>
  <si>
    <t xml:space="preserve">BootStrap法 </t>
    <rPh sb="9" eb="10">
      <t>ホウ</t>
    </rPh>
    <phoneticPr fontId="1"/>
  </si>
  <si>
    <t>結局はDFを求めたら勝ちである</t>
    <rPh sb="0" eb="2">
      <t>ケッキョク</t>
    </rPh>
    <rPh sb="6" eb="7">
      <t>モト</t>
    </rPh>
    <rPh sb="10" eb="11">
      <t>カ</t>
    </rPh>
    <phoneticPr fontId="1"/>
  </si>
  <si>
    <t>BootStrapの実践</t>
    <rPh sb="10" eb="12">
      <t>ジッセン</t>
    </rPh>
    <phoneticPr fontId="1"/>
  </si>
  <si>
    <t>種類</t>
    <rPh sb="0" eb="2">
      <t>シュルイ</t>
    </rPh>
    <phoneticPr fontId="1"/>
  </si>
  <si>
    <t>クーポン（％）</t>
    <phoneticPr fontId="1"/>
  </si>
  <si>
    <t>価格（円）</t>
    <rPh sb="0" eb="2">
      <t>カカク</t>
    </rPh>
    <rPh sb="3" eb="4">
      <t>エン</t>
    </rPh>
    <phoneticPr fontId="1"/>
  </si>
  <si>
    <t>利付債</t>
    <rPh sb="0" eb="2">
      <t>リツキ</t>
    </rPh>
    <rPh sb="2" eb="3">
      <t>サイ</t>
    </rPh>
    <phoneticPr fontId="1"/>
  </si>
  <si>
    <t>（１）ディスカウントファクターを求める</t>
    <rPh sb="16" eb="17">
      <t>モト</t>
    </rPh>
    <phoneticPr fontId="1"/>
  </si>
  <si>
    <t xml:space="preserve">df0.5 = 99.7 / 100 </t>
    <phoneticPr fontId="1"/>
  </si>
  <si>
    <t>クーポン半年払い</t>
    <rPh sb="4" eb="6">
      <t>ハントシ</t>
    </rPh>
    <rPh sb="6" eb="7">
      <t>ハラ</t>
    </rPh>
    <phoneticPr fontId="1"/>
  </si>
  <si>
    <t>df1.0 = ( 100 - 0.4 * ( df0.5 ) ) / 100.4</t>
    <phoneticPr fontId="1"/>
  </si>
  <si>
    <t>df1.5 = ( 100.6 - 0.7*(df0.5+df1.0) ) / 100.7</t>
    <phoneticPr fontId="1"/>
  </si>
  <si>
    <t>df2.0 = ( 100.5 - 0.75*(df0.5*df1.0+df1.5) ) / 100.75</t>
    <phoneticPr fontId="1"/>
  </si>
  <si>
    <t>(2)この企業が、期間2年の債権を100円で発行するためのクーポンは何%</t>
    <rPh sb="5" eb="7">
      <t>キギョウ</t>
    </rPh>
    <rPh sb="9" eb="11">
      <t>キカン</t>
    </rPh>
    <rPh sb="12" eb="13">
      <t>ネン</t>
    </rPh>
    <rPh sb="14" eb="16">
      <t>サイケン</t>
    </rPh>
    <rPh sb="20" eb="21">
      <t>エン</t>
    </rPh>
    <rPh sb="22" eb="24">
      <t>ハッコウ</t>
    </rPh>
    <rPh sb="34" eb="35">
      <t>ナン</t>
    </rPh>
    <phoneticPr fontId="1"/>
  </si>
  <si>
    <t>100 = x/2 * (df0.5+df1.0+df1.5) + ( 100 + x/2 ) * df2.0</t>
    <phoneticPr fontId="1"/>
  </si>
  <si>
    <t>　　→結局はキャッシュフローを考えて、DFをかけて、債権の100円の値段と等式にする</t>
    <rPh sb="3" eb="5">
      <t>ケッキョク</t>
    </rPh>
    <rPh sb="15" eb="16">
      <t>カンガ</t>
    </rPh>
    <rPh sb="26" eb="28">
      <t>サイケン</t>
    </rPh>
    <rPh sb="32" eb="33">
      <t>エン</t>
    </rPh>
    <rPh sb="34" eb="36">
      <t>ネダン</t>
    </rPh>
    <rPh sb="37" eb="39">
      <t>トウシキ</t>
    </rPh>
    <phoneticPr fontId="1"/>
  </si>
  <si>
    <t>LIBOR</t>
    <phoneticPr fontId="1"/>
  </si>
  <si>
    <t>確認問題１</t>
    <rPh sb="0" eb="2">
      <t>カクニン</t>
    </rPh>
    <rPh sb="2" eb="4">
      <t>モンダイ</t>
    </rPh>
    <phoneticPr fontId="1"/>
  </si>
  <si>
    <t>=B5 * 365/300</t>
    <phoneticPr fontId="1"/>
  </si>
  <si>
    <t>変動金利 LIBOR6M + 0.3%</t>
    <rPh sb="0" eb="2">
      <t>ヘンドウ</t>
    </rPh>
    <rPh sb="2" eb="4">
      <t>キンリ</t>
    </rPh>
    <phoneticPr fontId="1"/>
  </si>
  <si>
    <t>固定金利は何％</t>
    <rPh sb="0" eb="2">
      <t>コテイ</t>
    </rPh>
    <rPh sb="2" eb="4">
      <t>キンリ</t>
    </rPh>
    <rPh sb="5" eb="6">
      <t>ナン</t>
    </rPh>
    <phoneticPr fontId="1"/>
  </si>
  <si>
    <t>スワップレート 0.8%　（対　LIBOR6M)</t>
    <rPh sb="14" eb="15">
      <t>タイ</t>
    </rPh>
    <phoneticPr fontId="1"/>
  </si>
  <si>
    <t>= 0.8% + 0.3% * 365/360</t>
    <phoneticPr fontId="1"/>
  </si>
  <si>
    <t>価格と一致</t>
    <rPh sb="0" eb="2">
      <t>カカク</t>
    </rPh>
    <rPh sb="3" eb="5">
      <t>イッチ</t>
    </rPh>
    <phoneticPr fontId="1"/>
  </si>
  <si>
    <t>確かめるため、キャッシュフローで計算</t>
    <rPh sb="0" eb="1">
      <t>タシ</t>
    </rPh>
    <rPh sb="16" eb="18">
      <t>ケイサン</t>
    </rPh>
    <phoneticPr fontId="1"/>
  </si>
  <si>
    <t>LIBORのディスカウントファクター</t>
    <phoneticPr fontId="1"/>
  </si>
  <si>
    <t>１２M　￥LIBOR</t>
    <phoneticPr fontId="1"/>
  </si>
  <si>
    <t>２Y　￥SWAP</t>
    <phoneticPr fontId="1"/>
  </si>
  <si>
    <t>３Y　￥SWAP</t>
    <phoneticPr fontId="1"/>
  </si>
  <si>
    <t>例題１</t>
    <rPh sb="0" eb="2">
      <t>レイダイ</t>
    </rPh>
    <phoneticPr fontId="1"/>
  </si>
  <si>
    <t>df1 = 100 / ( 100 + 1*365/360)</t>
    <phoneticPr fontId="1"/>
  </si>
  <si>
    <t>df2 = ( 100 - 1.5*df1 ) / 101.5</t>
    <phoneticPr fontId="1"/>
  </si>
  <si>
    <t>df3 = ( 100 - 2*(df1+df2) ) / 102</t>
    <phoneticPr fontId="1"/>
  </si>
  <si>
    <t>検算キャッシュフロー</t>
    <rPh sb="0" eb="2">
      <t>ケンザン</t>
    </rPh>
    <phoneticPr fontId="1"/>
  </si>
  <si>
    <t>価格100円と一致</t>
    <rPh sb="0" eb="2">
      <t>カカク</t>
    </rPh>
    <rPh sb="5" eb="6">
      <t>エン</t>
    </rPh>
    <rPh sb="7" eb="9">
      <t>イッチ</t>
    </rPh>
    <phoneticPr fontId="1"/>
  </si>
  <si>
    <t>ディスカウントファクターの公式で求める</t>
    <rPh sb="13" eb="15">
      <t>コウシキ</t>
    </rPh>
    <rPh sb="16" eb="17">
      <t>モト</t>
    </rPh>
    <phoneticPr fontId="1"/>
  </si>
  <si>
    <t>６M　￥LIBOR</t>
    <phoneticPr fontId="1"/>
  </si>
  <si>
    <t>１Y　￥SWAP</t>
    <phoneticPr fontId="1"/>
  </si>
  <si>
    <t>１.５Y　￥SWAP</t>
    <phoneticPr fontId="1"/>
  </si>
  <si>
    <t>2.0Y　￥SWAP</t>
    <phoneticPr fontId="1"/>
  </si>
  <si>
    <t>２.５Y　￥SWAP</t>
    <phoneticPr fontId="1"/>
  </si>
  <si>
    <t>３．０Y　￥SWAP</t>
    <phoneticPr fontId="1"/>
  </si>
  <si>
    <t>df0.5 = 100 / ( 100 + 0.5*365/360)</t>
    <phoneticPr fontId="1"/>
  </si>
  <si>
    <t>半年ごと</t>
    <rPh sb="0" eb="2">
      <t>ハントシ</t>
    </rPh>
    <phoneticPr fontId="1"/>
  </si>
  <si>
    <t>df1.0 = ( 100 - 0.4 * df0.5 ) / 100.4</t>
    <phoneticPr fontId="1"/>
  </si>
  <si>
    <t>線形補完</t>
    <rPh sb="0" eb="2">
      <t>センケイ</t>
    </rPh>
    <rPh sb="2" eb="4">
      <t>ホカン</t>
    </rPh>
    <phoneticPr fontId="1"/>
  </si>
  <si>
    <t>df1.5 = ( 100 - 0.6*(df0.5+df1) ) / 100.6</t>
    <phoneticPr fontId="1"/>
  </si>
  <si>
    <t>df2.0 = ( 100 - 0.75*(df0.5+df1.0+df1.5) ) / 100.75</t>
    <phoneticPr fontId="1"/>
  </si>
  <si>
    <t>df2.5 = ( 100 - (1.75/2)*(df0.5+df1.0+df1.5+df2.0) ) / (100 + (1.75/2))</t>
    <phoneticPr fontId="1"/>
  </si>
  <si>
    <t>df3.0 = ( 100 - 1 * (df0.5+df1.0+df1.5+df2.0+df2.5 ) ) / 101</t>
    <phoneticPr fontId="1"/>
  </si>
  <si>
    <t>受け取り金利</t>
    <rPh sb="0" eb="1">
      <t>ウ</t>
    </rPh>
    <rPh sb="2" eb="3">
      <t>ト</t>
    </rPh>
    <rPh sb="4" eb="6">
      <t>キンリ</t>
    </rPh>
    <phoneticPr fontId="1"/>
  </si>
  <si>
    <t>支払金利</t>
    <rPh sb="0" eb="2">
      <t>シハライ</t>
    </rPh>
    <rPh sb="2" eb="4">
      <t>キンリ</t>
    </rPh>
    <phoneticPr fontId="1"/>
  </si>
  <si>
    <t>半年払い</t>
    <rPh sb="0" eb="2">
      <t>ハントシ</t>
    </rPh>
    <rPh sb="2" eb="3">
      <t>バラ</t>
    </rPh>
    <phoneticPr fontId="1"/>
  </si>
  <si>
    <t>100億</t>
    <rPh sb="3" eb="4">
      <t>オク</t>
    </rPh>
    <phoneticPr fontId="1"/>
  </si>
  <si>
    <t>当初期間5年、残存期間3年</t>
    <rPh sb="0" eb="2">
      <t>トウショ</t>
    </rPh>
    <rPh sb="2" eb="4">
      <t>キカン</t>
    </rPh>
    <rPh sb="5" eb="6">
      <t>ネン</t>
    </rPh>
    <rPh sb="7" eb="9">
      <t>ザンゾン</t>
    </rPh>
    <rPh sb="9" eb="11">
      <t>キカン</t>
    </rPh>
    <rPh sb="12" eb="13">
      <t>ネン</t>
    </rPh>
    <phoneticPr fontId="1"/>
  </si>
  <si>
    <t>LIBOR6M</t>
    <phoneticPr fontId="1"/>
  </si>
  <si>
    <t>時価評価額</t>
    <rPh sb="0" eb="2">
      <t>ジカ</t>
    </rPh>
    <rPh sb="2" eb="5">
      <t>ヒョウカガク</t>
    </rPh>
    <phoneticPr fontId="1"/>
  </si>
  <si>
    <t>期間３年のSWAPレート = 2.0%</t>
    <rPh sb="0" eb="2">
      <t>キカン</t>
    </rPh>
    <rPh sb="3" eb="4">
      <t>ネン</t>
    </rPh>
    <phoneticPr fontId="1"/>
  </si>
  <si>
    <t>得するのは0.6%（一年）、半年では0.3%</t>
    <rPh sb="0" eb="1">
      <t>トク</t>
    </rPh>
    <rPh sb="10" eb="12">
      <t>イチネン</t>
    </rPh>
    <rPh sb="14" eb="16">
      <t>ハントシ</t>
    </rPh>
    <phoneticPr fontId="1"/>
  </si>
  <si>
    <t>10000000000 * 0.30% * (df0.5 + df1.0 + df1.5 + df2.0 + df2.5 + df3.0 )</t>
    <phoneticPr fontId="1"/>
  </si>
  <si>
    <t>ゼロレート</t>
    <phoneticPr fontId="1"/>
  </si>
  <si>
    <t>ゼロレートの公式</t>
    <rPh sb="6" eb="8">
      <t>コウシキ</t>
    </rPh>
    <phoneticPr fontId="1"/>
  </si>
  <si>
    <t>値段</t>
    <rPh sb="0" eb="2">
      <t>ネダン</t>
    </rPh>
    <phoneticPr fontId="1"/>
  </si>
  <si>
    <t>P = 100 / ( 1 + r /2) ^ (回数 * t)</t>
    <rPh sb="25" eb="27">
      <t>カイスウ</t>
    </rPh>
    <phoneticPr fontId="1"/>
  </si>
  <si>
    <t>=100/( (1+E99/2)^(2*2) )</t>
    <phoneticPr fontId="1"/>
  </si>
  <si>
    <t>ゼロレートから割引債の値段を求める</t>
    <rPh sb="7" eb="10">
      <t>ワリビキサイ</t>
    </rPh>
    <rPh sb="11" eb="13">
      <t>ネダン</t>
    </rPh>
    <rPh sb="14" eb="15">
      <t>モト</t>
    </rPh>
    <phoneticPr fontId="1"/>
  </si>
  <si>
    <t>P = 100 / ( 1 + r /2) ^ (年の支払回数　* t )</t>
    <rPh sb="25" eb="26">
      <t>ネン</t>
    </rPh>
    <rPh sb="27" eb="29">
      <t>シハライ</t>
    </rPh>
    <rPh sb="29" eb="31">
      <t>カイスウ</t>
    </rPh>
    <phoneticPr fontId="1"/>
  </si>
  <si>
    <t>df1.0 = 99.125/100</t>
    <phoneticPr fontId="1"/>
  </si>
  <si>
    <t>df1.5 = 98.485/100</t>
    <phoneticPr fontId="1"/>
  </si>
  <si>
    <t>df2.0 = 97.674/100</t>
    <phoneticPr fontId="1"/>
  </si>
  <si>
    <t>（２）利付債の価格</t>
    <rPh sb="3" eb="5">
      <t>リツキ</t>
    </rPh>
    <rPh sb="5" eb="6">
      <t>サイ</t>
    </rPh>
    <rPh sb="7" eb="9">
      <t>カカク</t>
    </rPh>
    <phoneticPr fontId="1"/>
  </si>
  <si>
    <t>検算</t>
    <rPh sb="0" eb="2">
      <t>ケンザン</t>
    </rPh>
    <phoneticPr fontId="1"/>
  </si>
  <si>
    <t>=(C89-0.6*(E79+E80+E81) ) / 100.6</t>
    <phoneticPr fontId="1"/>
  </si>
  <si>
    <t>債権数理　公式</t>
    <rPh sb="0" eb="2">
      <t>サイケン</t>
    </rPh>
    <rPh sb="2" eb="4">
      <t>スウリ</t>
    </rPh>
    <rPh sb="5" eb="7">
      <t>コウシキ</t>
    </rPh>
    <phoneticPr fontId="1"/>
  </si>
  <si>
    <t>金利%</t>
    <rPh sb="0" eb="2">
      <t>キンリ</t>
    </rPh>
    <phoneticPr fontId="1"/>
  </si>
  <si>
    <t>年複利回数</t>
    <rPh sb="0" eb="1">
      <t>ネン</t>
    </rPh>
    <rPh sb="1" eb="3">
      <t>フクリ</t>
    </rPh>
    <rPh sb="3" eb="5">
      <t>カイスウ</t>
    </rPh>
    <phoneticPr fontId="1"/>
  </si>
  <si>
    <t>1年における複利回数</t>
    <rPh sb="1" eb="2">
      <t>ネン</t>
    </rPh>
    <rPh sb="6" eb="8">
      <t>フクリ</t>
    </rPh>
    <rPh sb="8" eb="10">
      <t>カイスウ</t>
    </rPh>
    <phoneticPr fontId="1"/>
  </si>
  <si>
    <t>元利合計額</t>
    <rPh sb="0" eb="2">
      <t>ガンリ</t>
    </rPh>
    <rPh sb="2" eb="4">
      <t>ゴウケイ</t>
    </rPh>
    <rPh sb="4" eb="5">
      <t>ガク</t>
    </rPh>
    <phoneticPr fontId="1"/>
  </si>
  <si>
    <t>期間 [年]</t>
    <rPh sb="0" eb="2">
      <t>キカン</t>
    </rPh>
    <rPh sb="4" eb="5">
      <t>ネン</t>
    </rPh>
    <phoneticPr fontId="1"/>
  </si>
  <si>
    <t>=A6 * ( (1+C6/D6)^(B6*D6) )</t>
    <phoneticPr fontId="1"/>
  </si>
  <si>
    <t>元本 [円]</t>
    <rPh sb="0" eb="2">
      <t>ガンポン</t>
    </rPh>
    <rPh sb="4" eb="5">
      <t>エン</t>
    </rPh>
    <phoneticPr fontId="1"/>
  </si>
  <si>
    <t>=A16 * EXP(B16*C16)</t>
    <phoneticPr fontId="1"/>
  </si>
  <si>
    <t>半年払い</t>
    <rPh sb="0" eb="2">
      <t>ハントシ</t>
    </rPh>
    <rPh sb="2" eb="3">
      <t>ハラ</t>
    </rPh>
    <phoneticPr fontId="1"/>
  </si>
  <si>
    <t>②価格パーの場合</t>
    <rPh sb="1" eb="3">
      <t>カカク</t>
    </rPh>
    <rPh sb="6" eb="8">
      <t>バアイ</t>
    </rPh>
    <phoneticPr fontId="1"/>
  </si>
  <si>
    <t>③半年払いの場合</t>
    <rPh sb="1" eb="3">
      <t>ハントシ</t>
    </rPh>
    <rPh sb="3" eb="4">
      <t>ハラ</t>
    </rPh>
    <rPh sb="6" eb="8">
      <t>バアイ</t>
    </rPh>
    <phoneticPr fontId="1"/>
  </si>
  <si>
    <t>①年払いの場合</t>
    <rPh sb="1" eb="2">
      <t>ネン</t>
    </rPh>
    <rPh sb="2" eb="3">
      <t>ハラ</t>
    </rPh>
    <rPh sb="5" eb="7">
      <t>バアイ</t>
    </rPh>
    <phoneticPr fontId="1"/>
  </si>
  <si>
    <t>クーポン CashFlow</t>
    <phoneticPr fontId="1"/>
  </si>
  <si>
    <t>=B41/D41</t>
    <phoneticPr fontId="1"/>
  </si>
  <si>
    <t>利付債の複利利回り</t>
    <rPh sb="0" eb="2">
      <t>リツキ</t>
    </rPh>
    <rPh sb="2" eb="3">
      <t>サイ</t>
    </rPh>
    <rPh sb="4" eb="6">
      <t>フクリ</t>
    </rPh>
    <rPh sb="6" eb="8">
      <t>リマワ</t>
    </rPh>
    <phoneticPr fontId="1"/>
  </si>
  <si>
    <t>複利計算  (複利を元に元利合計額を求める問題)</t>
    <rPh sb="0" eb="2">
      <t>フクリ</t>
    </rPh>
    <rPh sb="2" eb="4">
      <t>ケイサン</t>
    </rPh>
    <rPh sb="7" eb="9">
      <t>フクリ</t>
    </rPh>
    <rPh sb="10" eb="11">
      <t>モト</t>
    </rPh>
    <rPh sb="12" eb="14">
      <t>ガンリ</t>
    </rPh>
    <rPh sb="14" eb="16">
      <t>ゴウケイ</t>
    </rPh>
    <rPh sb="16" eb="17">
      <t>ガク</t>
    </rPh>
    <rPh sb="18" eb="19">
      <t>モト</t>
    </rPh>
    <rPh sb="21" eb="23">
      <t>モンダイ</t>
    </rPh>
    <phoneticPr fontId="1"/>
  </si>
  <si>
    <t>連続複利 (連続複利を元に元利合計額を求める問題)</t>
    <rPh sb="0" eb="2">
      <t>レンゾク</t>
    </rPh>
    <rPh sb="2" eb="4">
      <t>フクリ</t>
    </rPh>
    <rPh sb="6" eb="8">
      <t>レンゾク</t>
    </rPh>
    <rPh sb="8" eb="10">
      <t>フクリ</t>
    </rPh>
    <rPh sb="11" eb="12">
      <t>モト</t>
    </rPh>
    <rPh sb="13" eb="15">
      <t>ガンリ</t>
    </rPh>
    <rPh sb="15" eb="17">
      <t>ゴウケイ</t>
    </rPh>
    <rPh sb="17" eb="18">
      <t>ガク</t>
    </rPh>
    <rPh sb="19" eb="20">
      <t>モト</t>
    </rPh>
    <rPh sb="22" eb="24">
      <t>モンダイ</t>
    </rPh>
    <phoneticPr fontId="1"/>
  </si>
  <si>
    <r>
      <t xml:space="preserve"> (</t>
    </r>
    <r>
      <rPr>
        <b/>
        <u/>
        <sz val="9"/>
        <color rgb="FF0000FF"/>
        <rFont val="ＭＳ ゴシック"/>
        <family val="3"/>
        <charset val="128"/>
      </rPr>
      <t>利付債の理論価格</t>
    </r>
    <r>
      <rPr>
        <b/>
        <sz val="9"/>
        <color theme="1"/>
        <rFont val="ＭＳ ゴシック"/>
        <family val="3"/>
        <charset val="128"/>
      </rPr>
      <t>　＋　クーポンレートから、利付債の複利利回りを求める)</t>
    </r>
    <phoneticPr fontId="1"/>
  </si>
  <si>
    <t>100円の額面を、120円で買わないといけない。</t>
    <rPh sb="3" eb="4">
      <t>エン</t>
    </rPh>
    <rPh sb="5" eb="7">
      <t>ガクメン</t>
    </rPh>
    <rPh sb="12" eb="13">
      <t>エン</t>
    </rPh>
    <rPh sb="14" eb="15">
      <t>カ</t>
    </rPh>
    <phoneticPr fontId="1"/>
  </si>
  <si>
    <t>ということは、クーポンをいっぱいもらわないと理屈に合わない。</t>
    <rPh sb="22" eb="24">
      <t>リクツ</t>
    </rPh>
    <rPh sb="25" eb="26">
      <t>ア</t>
    </rPh>
    <phoneticPr fontId="1"/>
  </si>
  <si>
    <t>割引債と考えればよい</t>
    <rPh sb="0" eb="3">
      <t>ワリビキサイ</t>
    </rPh>
    <rPh sb="4" eb="5">
      <t>カンガ</t>
    </rPh>
    <phoneticPr fontId="1"/>
  </si>
  <si>
    <t>ゼロクーポンもある</t>
    <phoneticPr fontId="1"/>
  </si>
  <si>
    <t>割引債のスポットレート（ゼロレート）</t>
    <rPh sb="0" eb="3">
      <t>ワリビキサイ</t>
    </rPh>
    <phoneticPr fontId="1"/>
  </si>
  <si>
    <t xml:space="preserve"> (割引債の価格から、ゼロレートを求める)</t>
    <rPh sb="2" eb="5">
      <t>ワリビキサイ</t>
    </rPh>
    <rPh sb="6" eb="8">
      <t>カカク</t>
    </rPh>
    <phoneticPr fontId="1"/>
  </si>
  <si>
    <t>ゼロレートを求める式</t>
    <rPh sb="6" eb="7">
      <t>モト</t>
    </rPh>
    <rPh sb="9" eb="10">
      <t>シキ</t>
    </rPh>
    <phoneticPr fontId="1"/>
  </si>
  <si>
    <t>=( (100/A64) ^ ( 1/(C64*B64) )  - 1 ) * C64</t>
    <phoneticPr fontId="1"/>
  </si>
  <si>
    <t>1年複利ベース</t>
    <rPh sb="1" eb="2">
      <t>ネン</t>
    </rPh>
    <rPh sb="2" eb="4">
      <t>フクリ</t>
    </rPh>
    <phoneticPr fontId="1"/>
  </si>
  <si>
    <t>半年複利ベース</t>
    <rPh sb="0" eb="2">
      <t>ハントシ</t>
    </rPh>
    <rPh sb="2" eb="4">
      <t>フクリ</t>
    </rPh>
    <phoneticPr fontId="1"/>
  </si>
  <si>
    <t>3か月複利ベース</t>
    <rPh sb="2" eb="3">
      <t>ゲツ</t>
    </rPh>
    <rPh sb="3" eb="5">
      <t>フクリ</t>
    </rPh>
    <phoneticPr fontId="1"/>
  </si>
  <si>
    <t>1日複利ベース</t>
    <rPh sb="1" eb="2">
      <t>ヒ</t>
    </rPh>
    <rPh sb="2" eb="4">
      <t>フクリ</t>
    </rPh>
    <phoneticPr fontId="1"/>
  </si>
  <si>
    <t>1秒複利ベース</t>
    <rPh sb="1" eb="2">
      <t>ビョウ</t>
    </rPh>
    <rPh sb="2" eb="4">
      <t>フクリ</t>
    </rPh>
    <phoneticPr fontId="1"/>
  </si>
  <si>
    <t>割引債の価格</t>
    <rPh sb="0" eb="3">
      <t>ワリビキサイ</t>
    </rPh>
    <rPh sb="4" eb="6">
      <t>カカク</t>
    </rPh>
    <phoneticPr fontId="1"/>
  </si>
  <si>
    <t xml:space="preserve"> (割引債のゼロレートから、割引債の価格を求める)</t>
    <rPh sb="2" eb="5">
      <t>ワリビキサイ</t>
    </rPh>
    <rPh sb="14" eb="17">
      <t>ワリビキサイ</t>
    </rPh>
    <rPh sb="18" eb="20">
      <t>カカク</t>
    </rPh>
    <phoneticPr fontId="1"/>
  </si>
  <si>
    <t>=100 / ( ( 1 + D80/C80 )^(B80*C80) )</t>
    <phoneticPr fontId="1"/>
  </si>
  <si>
    <t>P = 100 / ( 1 + r ) ^ nt</t>
  </si>
  <si>
    <t xml:space="preserve"> (割引債の価格から、連続複利のゼロレートを求める)</t>
    <rPh sb="2" eb="5">
      <t>ワリビキサイ</t>
    </rPh>
    <rPh sb="6" eb="8">
      <t>カカク</t>
    </rPh>
    <rPh sb="11" eb="13">
      <t>レンゾク</t>
    </rPh>
    <rPh sb="13" eb="15">
      <t>フクリ</t>
    </rPh>
    <phoneticPr fontId="1"/>
  </si>
  <si>
    <t>連続複利のゼロレートを求める式</t>
    <rPh sb="0" eb="2">
      <t>レンゾク</t>
    </rPh>
    <rPh sb="2" eb="4">
      <t>フクリ</t>
    </rPh>
    <rPh sb="11" eb="12">
      <t>モト</t>
    </rPh>
    <rPh sb="14" eb="15">
      <t>シキ</t>
    </rPh>
    <phoneticPr fontId="1"/>
  </si>
  <si>
    <t>→ r = (1 / t) * LN ( 100 / P )</t>
    <phoneticPr fontId="1"/>
  </si>
  <si>
    <t>=(1/B93)*LN(100/A93)</t>
    <phoneticPr fontId="1"/>
  </si>
  <si>
    <t>r = (1 / t) * LN ( 100 / P )</t>
  </si>
  <si>
    <t xml:space="preserve"> (連続複利のゼロレートから、割引債の価格を求める)</t>
    <rPh sb="2" eb="4">
      <t>レンゾク</t>
    </rPh>
    <rPh sb="4" eb="6">
      <t>フクリ</t>
    </rPh>
    <rPh sb="15" eb="18">
      <t>ワリビキサイ</t>
    </rPh>
    <rPh sb="19" eb="21">
      <t>カカク</t>
    </rPh>
    <phoneticPr fontId="1"/>
  </si>
  <si>
    <t>P = 100 / e ^ rt</t>
  </si>
  <si>
    <t>=100/(EXP(C105*B105))</t>
    <phoneticPr fontId="1"/>
  </si>
  <si>
    <t>割引債の価格 (ゼロレートから価格を求める)</t>
    <rPh sb="0" eb="3">
      <t>ワリビキサイ</t>
    </rPh>
    <rPh sb="4" eb="6">
      <t>カカク</t>
    </rPh>
    <rPh sb="15" eb="17">
      <t>カカク</t>
    </rPh>
    <rPh sb="18" eb="19">
      <t>モト</t>
    </rPh>
    <phoneticPr fontId="1"/>
  </si>
  <si>
    <t>割引債の価格 (連続複利ゼロレートから価格を求める)</t>
    <rPh sb="0" eb="3">
      <t>ワリビキサイ</t>
    </rPh>
    <rPh sb="4" eb="6">
      <t>カカク</t>
    </rPh>
    <rPh sb="8" eb="10">
      <t>レンゾク</t>
    </rPh>
    <rPh sb="10" eb="12">
      <t>フクリ</t>
    </rPh>
    <phoneticPr fontId="1"/>
  </si>
  <si>
    <t>インプライドフォワード</t>
    <phoneticPr fontId="1"/>
  </si>
  <si>
    <t>時点T1</t>
    <rPh sb="0" eb="2">
      <t>ジテン</t>
    </rPh>
    <phoneticPr fontId="1"/>
  </si>
  <si>
    <t>時点T2</t>
    <rPh sb="0" eb="2">
      <t>ジテン</t>
    </rPh>
    <phoneticPr fontId="1"/>
  </si>
  <si>
    <t>ゼロレート２</t>
    <phoneticPr fontId="1"/>
  </si>
  <si>
    <t>年支払回数（複利回数）</t>
    <rPh sb="0" eb="1">
      <t>ネン</t>
    </rPh>
    <rPh sb="1" eb="3">
      <t>シハライ</t>
    </rPh>
    <rPh sb="3" eb="5">
      <t>カイスウ</t>
    </rPh>
    <rPh sb="6" eb="8">
      <t>フクリ</t>
    </rPh>
    <rPh sb="8" eb="10">
      <t>カイスウ</t>
    </rPh>
    <phoneticPr fontId="1"/>
  </si>
  <si>
    <t>=((((1+((D117)/E117))^(E117*C117))/((1+((B117)/E117))^(E117*A117)))^(1/((C117-A117)*E117))-1)*E117</t>
    <phoneticPr fontId="1"/>
  </si>
  <si>
    <t>無限</t>
    <rPh sb="0" eb="2">
      <t>ムゲン</t>
    </rPh>
    <phoneticPr fontId="1"/>
  </si>
  <si>
    <t>=( (C125*D125) - (A125*B125) ) / ( C125-A125)</t>
    <phoneticPr fontId="1"/>
  </si>
  <si>
    <t>＝</t>
    <phoneticPr fontId="1"/>
  </si>
  <si>
    <t>df0.5</t>
    <phoneticPr fontId="1"/>
  </si>
  <si>
    <t>df1.0</t>
    <phoneticPr fontId="1"/>
  </si>
  <si>
    <t>df1.5</t>
    <phoneticPr fontId="1"/>
  </si>
  <si>
    <t>①利付債の理論価格を求めよ　（割引債の理論価格がすべて分かっている場合）</t>
    <rPh sb="1" eb="3">
      <t>リツキ</t>
    </rPh>
    <rPh sb="3" eb="4">
      <t>サイ</t>
    </rPh>
    <rPh sb="5" eb="7">
      <t>リロン</t>
    </rPh>
    <rPh sb="7" eb="9">
      <t>カカク</t>
    </rPh>
    <rPh sb="10" eb="11">
      <t>モト</t>
    </rPh>
    <rPh sb="15" eb="18">
      <t>ワリビキサイ</t>
    </rPh>
    <rPh sb="19" eb="21">
      <t>リロン</t>
    </rPh>
    <rPh sb="21" eb="23">
      <t>カカク</t>
    </rPh>
    <rPh sb="27" eb="28">
      <t>ワ</t>
    </rPh>
    <rPh sb="33" eb="35">
      <t>バアイ</t>
    </rPh>
    <phoneticPr fontId="1"/>
  </si>
  <si>
    <t>割引債のディスカウントファクター</t>
    <rPh sb="0" eb="3">
      <t>ワリビキサイ</t>
    </rPh>
    <phoneticPr fontId="1"/>
  </si>
  <si>
    <t>df = P /100</t>
    <phoneticPr fontId="1"/>
  </si>
  <si>
    <t>割引債の理論価格</t>
    <rPh sb="0" eb="3">
      <t>ワリビキサイ</t>
    </rPh>
    <rPh sb="4" eb="6">
      <t>リロン</t>
    </rPh>
    <rPh sb="6" eb="8">
      <t>カカク</t>
    </rPh>
    <phoneticPr fontId="1"/>
  </si>
  <si>
    <t>P = 100 × df</t>
    <phoneticPr fontId="1"/>
  </si>
  <si>
    <t>無関係</t>
    <rPh sb="0" eb="3">
      <t>ムカンケイ</t>
    </rPh>
    <phoneticPr fontId="1"/>
  </si>
  <si>
    <t>利付債の理論価格を、キャッシュフローから求める</t>
    <rPh sb="0" eb="2">
      <t>リツキ</t>
    </rPh>
    <rPh sb="2" eb="3">
      <t>サイ</t>
    </rPh>
    <rPh sb="4" eb="6">
      <t>リロン</t>
    </rPh>
    <rPh sb="6" eb="8">
      <t>カカク</t>
    </rPh>
    <rPh sb="20" eb="21">
      <t>モト</t>
    </rPh>
    <phoneticPr fontId="1"/>
  </si>
  <si>
    <t>キャッシュフローのPV</t>
    <phoneticPr fontId="1"/>
  </si>
  <si>
    <t>利付債の理論価格</t>
    <rPh sb="0" eb="2">
      <t>リツキ</t>
    </rPh>
    <rPh sb="2" eb="3">
      <t>サイ</t>
    </rPh>
    <rPh sb="4" eb="6">
      <t>リロン</t>
    </rPh>
    <rPh sb="6" eb="8">
      <t>カカク</t>
    </rPh>
    <phoneticPr fontId="1"/>
  </si>
  <si>
    <t>PV=CF * df0.5</t>
    <phoneticPr fontId="1"/>
  </si>
  <si>
    <t>PV=CF * df1.0</t>
    <phoneticPr fontId="1"/>
  </si>
  <si>
    <t>PV=CF * df1.5</t>
    <phoneticPr fontId="1"/>
  </si>
  <si>
    <t>PV=CF * df2.0</t>
    <phoneticPr fontId="1"/>
  </si>
  <si>
    <t>=SUM(PV0.5+・・・+PV2.0)</t>
    <phoneticPr fontId="1"/>
  </si>
  <si>
    <t>P = (クーポン/年複利支払回数) * ( df0.5+・・・df2.0 ) + 100 * df2.0</t>
    <rPh sb="10" eb="11">
      <t>ネン</t>
    </rPh>
    <rPh sb="11" eb="13">
      <t>フクリ</t>
    </rPh>
    <rPh sb="13" eb="15">
      <t>シハライ</t>
    </rPh>
    <rPh sb="15" eb="17">
      <t>カイスウ</t>
    </rPh>
    <phoneticPr fontId="1"/>
  </si>
  <si>
    <t>年複利支払回数</t>
    <rPh sb="0" eb="1">
      <t>ネン</t>
    </rPh>
    <rPh sb="1" eb="3">
      <t>フクリ</t>
    </rPh>
    <rPh sb="3" eb="5">
      <t>シハライ</t>
    </rPh>
    <rPh sb="5" eb="7">
      <t>カイスウ</t>
    </rPh>
    <phoneticPr fontId="1"/>
  </si>
  <si>
    <t>利付債の理論価格を、公式から求める</t>
    <rPh sb="0" eb="2">
      <t>リツキ</t>
    </rPh>
    <rPh sb="2" eb="3">
      <t>サイ</t>
    </rPh>
    <rPh sb="4" eb="6">
      <t>リロン</t>
    </rPh>
    <rPh sb="6" eb="8">
      <t>カカク</t>
    </rPh>
    <rPh sb="10" eb="12">
      <t>コウシキ</t>
    </rPh>
    <rPh sb="14" eb="15">
      <t>モト</t>
    </rPh>
    <phoneticPr fontId="1"/>
  </si>
  <si>
    <t>②割引債の理論価格を求めよ　（利付債の理論価格がすべて分かっている場合）</t>
    <rPh sb="1" eb="3">
      <t>ワリビキ</t>
    </rPh>
    <rPh sb="3" eb="4">
      <t>サイ</t>
    </rPh>
    <rPh sb="5" eb="7">
      <t>リロン</t>
    </rPh>
    <rPh sb="7" eb="9">
      <t>カカク</t>
    </rPh>
    <rPh sb="10" eb="11">
      <t>モト</t>
    </rPh>
    <rPh sb="15" eb="17">
      <t>リツキ</t>
    </rPh>
    <rPh sb="17" eb="18">
      <t>サイ</t>
    </rPh>
    <rPh sb="19" eb="21">
      <t>リロン</t>
    </rPh>
    <rPh sb="21" eb="23">
      <t>カカク</t>
    </rPh>
    <rPh sb="27" eb="28">
      <t>ワ</t>
    </rPh>
    <rPh sb="33" eb="35">
      <t>バアイ</t>
    </rPh>
    <phoneticPr fontId="1"/>
  </si>
  <si>
    <t>債権の価格</t>
    <rPh sb="0" eb="2">
      <t>サイケン</t>
    </rPh>
    <rPh sb="3" eb="5">
      <t>カカク</t>
    </rPh>
    <phoneticPr fontId="1"/>
  </si>
  <si>
    <t>df</t>
    <phoneticPr fontId="1"/>
  </si>
  <si>
    <t>=(E189-(C189/D189)*SUM($F$185:F188)) / (100+C189/D189)</t>
    <phoneticPr fontId="1"/>
  </si>
  <si>
    <t>利付債の価格からdfを求めて、あとはその繰り返し。</t>
    <rPh sb="0" eb="2">
      <t>リツキ</t>
    </rPh>
    <rPh sb="2" eb="3">
      <t>サイ</t>
    </rPh>
    <rPh sb="4" eb="6">
      <t>カカク</t>
    </rPh>
    <rPh sb="11" eb="12">
      <t>モト</t>
    </rPh>
    <rPh sb="20" eb="21">
      <t>ク</t>
    </rPh>
    <rPh sb="22" eb="23">
      <t>カエ</t>
    </rPh>
    <phoneticPr fontId="1"/>
  </si>
  <si>
    <t>$の絶対値を使っているので、コピーしたば場合は</t>
    <rPh sb="2" eb="5">
      <t>ゼッタイチ</t>
    </rPh>
    <rPh sb="6" eb="7">
      <t>ツカ</t>
    </rPh>
    <rPh sb="20" eb="22">
      <t>バアイ</t>
    </rPh>
    <phoneticPr fontId="1"/>
  </si>
  <si>
    <t>dfの$箇所を修正しないとおかしくなる</t>
    <rPh sb="4" eb="6">
      <t>カショ</t>
    </rPh>
    <rPh sb="7" eb="9">
      <t>シュウセイ</t>
    </rPh>
    <phoneticPr fontId="1"/>
  </si>
  <si>
    <t>③割引債の価格（期間0.5年）から、ディスカウントファクターを求めて、最終的に利付債のクーポンを求める</t>
    <rPh sb="1" eb="4">
      <t>ワリビキサイ</t>
    </rPh>
    <rPh sb="5" eb="7">
      <t>カカク</t>
    </rPh>
    <rPh sb="8" eb="10">
      <t>キカン</t>
    </rPh>
    <rPh sb="13" eb="14">
      <t>ネン</t>
    </rPh>
    <rPh sb="31" eb="32">
      <t>モト</t>
    </rPh>
    <rPh sb="35" eb="38">
      <t>サイシュウテキ</t>
    </rPh>
    <rPh sb="39" eb="41">
      <t>リツキ</t>
    </rPh>
    <rPh sb="41" eb="42">
      <t>サイ</t>
    </rPh>
    <rPh sb="48" eb="49">
      <t>モト</t>
    </rPh>
    <phoneticPr fontId="1"/>
  </si>
  <si>
    <t>P = CF0.5*df0.5 + CF1.0*df1.0 + ・・・・(100＋CF2.0)＊ｄｆ2.0</t>
    <phoneticPr fontId="1"/>
  </si>
  <si>
    <t>ディスカウントファクターを求める式</t>
    <rPh sb="13" eb="14">
      <t>モト</t>
    </rPh>
    <rPh sb="16" eb="17">
      <t>シキ</t>
    </rPh>
    <phoneticPr fontId="1"/>
  </si>
  <si>
    <t>クーポンを求める式</t>
    <rPh sb="5" eb="6">
      <t>モト</t>
    </rPh>
    <rPh sb="8" eb="9">
      <t>シキ</t>
    </rPh>
    <phoneticPr fontId="1"/>
  </si>
  <si>
    <t>C/2*df0.5 + C/2*df1.0 + ・・・ + (100 + C/2)*df2.0 = 100</t>
    <phoneticPr fontId="1"/>
  </si>
  <si>
    <t>1日</t>
    <rPh sb="1" eb="2">
      <t>ヒ</t>
    </rPh>
    <phoneticPr fontId="1"/>
  </si>
  <si>
    <t>P = 100 / ( 1 + r /年支払回数) ^ (年支払回数 * t)</t>
    <rPh sb="19" eb="20">
      <t>ネン</t>
    </rPh>
    <rPh sb="20" eb="22">
      <t>シハライ</t>
    </rPh>
    <rPh sb="22" eb="24">
      <t>カイスウ</t>
    </rPh>
    <rPh sb="29" eb="30">
      <t>ネン</t>
    </rPh>
    <rPh sb="30" eb="32">
      <t>シハライ</t>
    </rPh>
    <rPh sb="32" eb="34">
      <t>カイスウ</t>
    </rPh>
    <phoneticPr fontId="1"/>
  </si>
  <si>
    <t>3か月複利とかの場合</t>
    <rPh sb="2" eb="3">
      <t>ゲツ</t>
    </rPh>
    <rPh sb="3" eb="5">
      <t>フクリ</t>
    </rPh>
    <rPh sb="8" eb="10">
      <t>バアイ</t>
    </rPh>
    <phoneticPr fontId="1"/>
  </si>
  <si>
    <t>( 1 + 1.5%/年複利回数 ) ^ (期間T1×年複利回数 )   *    ( 1 + X / 年複利回数 ) ^ (期間T×年複利回数)   =   ( 1 + 2% / 年複利回数 ) ^ (期間T2×年複利回数)</t>
    <rPh sb="11" eb="12">
      <t>ネン</t>
    </rPh>
    <rPh sb="12" eb="14">
      <t>フクリ</t>
    </rPh>
    <rPh sb="14" eb="16">
      <t>カイスウ</t>
    </rPh>
    <rPh sb="22" eb="24">
      <t>キカン</t>
    </rPh>
    <rPh sb="27" eb="28">
      <t>ネン</t>
    </rPh>
    <rPh sb="28" eb="30">
      <t>フクリ</t>
    </rPh>
    <rPh sb="30" eb="32">
      <t>カイスウ</t>
    </rPh>
    <phoneticPr fontId="1"/>
  </si>
  <si>
    <t>0.75 * df0.5 + ・・・ + 100.75*df1.5 = 100.4</t>
    <phoneticPr fontId="1"/>
  </si>
  <si>
    <t>100 * df0.5 = 99.6</t>
    <phoneticPr fontId="1"/>
  </si>
  <si>
    <t>0.4 * df0.5 + 100.4 * df1.0 = 99.785</t>
    <phoneticPr fontId="1"/>
  </si>
  <si>
    <t>0.6 * df0.5 + ・・・ + 100.6 * df2.0 = 99.8</t>
    <phoneticPr fontId="1"/>
  </si>
  <si>
    <t>LIBORT・SWAPレート体系</t>
    <rPh sb="14" eb="16">
      <t>タイケイ</t>
    </rPh>
    <phoneticPr fontId="1"/>
  </si>
  <si>
    <t>swap</t>
    <phoneticPr fontId="1"/>
  </si>
  <si>
    <t>金利スワップ（同一通貨）</t>
    <rPh sb="0" eb="2">
      <t>キンリ</t>
    </rPh>
    <rPh sb="7" eb="9">
      <t>ドウイツ</t>
    </rPh>
    <rPh sb="9" eb="11">
      <t>ツウカ</t>
    </rPh>
    <phoneticPr fontId="1"/>
  </si>
  <si>
    <t>クーポンスワップ（異通貨）</t>
    <rPh sb="9" eb="10">
      <t>コト</t>
    </rPh>
    <rPh sb="10" eb="12">
      <t>ツウカ</t>
    </rPh>
    <phoneticPr fontId="1"/>
  </si>
  <si>
    <t>通貨スワップ（異通貨）</t>
    <rPh sb="0" eb="2">
      <t>ツウカ</t>
    </rPh>
    <rPh sb="7" eb="8">
      <t>イ</t>
    </rPh>
    <rPh sb="8" eb="10">
      <t>ツウカ</t>
    </rPh>
    <phoneticPr fontId="1"/>
  </si>
  <si>
    <t>エクイティスワップ</t>
    <phoneticPr fontId="1"/>
  </si>
  <si>
    <t>コモディティスワップ</t>
    <phoneticPr fontId="1"/>
  </si>
  <si>
    <t>swapレート</t>
    <phoneticPr fontId="1"/>
  </si>
  <si>
    <t>プレーンバニラスワップ（LIBORと固定金利を交換するスワップ）の固定金利側の金利レートのこと。</t>
    <rPh sb="18" eb="20">
      <t>コテイ</t>
    </rPh>
    <rPh sb="20" eb="22">
      <t>キンリ</t>
    </rPh>
    <rPh sb="23" eb="25">
      <t>コウカン</t>
    </rPh>
    <rPh sb="33" eb="35">
      <t>コテイ</t>
    </rPh>
    <rPh sb="35" eb="37">
      <t>キンリ</t>
    </rPh>
    <rPh sb="37" eb="38">
      <t>ガワ</t>
    </rPh>
    <rPh sb="39" eb="41">
      <t>キンリ</t>
    </rPh>
    <phoneticPr fontId="1"/>
  </si>
  <si>
    <r>
      <t>つまり、</t>
    </r>
    <r>
      <rPr>
        <b/>
        <sz val="9"/>
        <color rgb="FFFF0000"/>
        <rFont val="ＭＳ Ｐゴシック"/>
        <family val="3"/>
        <charset val="128"/>
        <scheme val="minor"/>
      </rPr>
      <t>LIBOR（変動金利）と交換出来る固定金利</t>
    </r>
    <r>
      <rPr>
        <sz val="9"/>
        <color theme="1"/>
        <rFont val="ＭＳ Ｐゴシック"/>
        <family val="2"/>
        <charset val="128"/>
        <scheme val="minor"/>
      </rPr>
      <t>のこと。</t>
    </r>
    <rPh sb="10" eb="12">
      <t>ヘンドウ</t>
    </rPh>
    <rPh sb="12" eb="14">
      <t>キンリ</t>
    </rPh>
    <rPh sb="16" eb="18">
      <t>コウカン</t>
    </rPh>
    <rPh sb="18" eb="20">
      <t>デキ</t>
    </rPh>
    <rPh sb="21" eb="23">
      <t>コテイ</t>
    </rPh>
    <rPh sb="23" eb="25">
      <t>キンリ</t>
    </rPh>
    <phoneticPr fontId="1"/>
  </si>
  <si>
    <t>LIBORは、A/360ベース</t>
    <phoneticPr fontId="1"/>
  </si>
  <si>
    <t>A/365ベース</t>
    <phoneticPr fontId="1"/>
  </si>
  <si>
    <t>LIBOR金利（A/360）</t>
    <rPh sb="5" eb="7">
      <t>キンリ</t>
    </rPh>
    <phoneticPr fontId="1"/>
  </si>
  <si>
    <t xml:space="preserve">A/365 = LIBOR (A/360) % × (365/360) </t>
    <phoneticPr fontId="1"/>
  </si>
  <si>
    <t>swapプライシング</t>
    <phoneticPr fontId="1"/>
  </si>
  <si>
    <t>受取キャッシュフローの現在価値　-　支払キャッシュフローの現在価値</t>
    <rPh sb="0" eb="2">
      <t>ウケトリ</t>
    </rPh>
    <rPh sb="11" eb="13">
      <t>ゲンザイ</t>
    </rPh>
    <rPh sb="13" eb="15">
      <t>カチ</t>
    </rPh>
    <rPh sb="18" eb="20">
      <t>シハライ</t>
    </rPh>
    <rPh sb="29" eb="31">
      <t>ゲンザイ</t>
    </rPh>
    <rPh sb="31" eb="33">
      <t>カチ</t>
    </rPh>
    <phoneticPr fontId="1"/>
  </si>
  <si>
    <t>swapの約定</t>
    <rPh sb="5" eb="7">
      <t>ヤクジョウ</t>
    </rPh>
    <phoneticPr fontId="1"/>
  </si>
  <si>
    <t>時価評価額 = 時価評価損益</t>
    <rPh sb="0" eb="2">
      <t>ジカ</t>
    </rPh>
    <rPh sb="2" eb="5">
      <t>ヒョウカガク</t>
    </rPh>
    <rPh sb="8" eb="10">
      <t>ジカ</t>
    </rPh>
    <rPh sb="10" eb="12">
      <t>ヒョウカ</t>
    </rPh>
    <rPh sb="12" eb="14">
      <t>ソンエキ</t>
    </rPh>
    <phoneticPr fontId="1"/>
  </si>
  <si>
    <t>つまり、簿価は0となる。</t>
    <rPh sb="4" eb="6">
      <t>ボカ</t>
    </rPh>
    <phoneticPr fontId="1"/>
  </si>
  <si>
    <t>LIBOR=スワップレート体系</t>
    <rPh sb="13" eb="15">
      <t>タイケイ</t>
    </rPh>
    <phoneticPr fontId="1"/>
  </si>
  <si>
    <t>　(変動利付債の期間や、LIBOR期間などに関わらず、変動利付債は一律100円とする)</t>
    <rPh sb="2" eb="4">
      <t>ヘンドウ</t>
    </rPh>
    <rPh sb="4" eb="6">
      <t>リツキ</t>
    </rPh>
    <rPh sb="6" eb="7">
      <t>サイ</t>
    </rPh>
    <rPh sb="8" eb="10">
      <t>キカン</t>
    </rPh>
    <rPh sb="17" eb="19">
      <t>キカン</t>
    </rPh>
    <rPh sb="22" eb="23">
      <t>カカ</t>
    </rPh>
    <rPh sb="27" eb="29">
      <t>ヘンドウ</t>
    </rPh>
    <rPh sb="29" eb="31">
      <t>リツキ</t>
    </rPh>
    <rPh sb="31" eb="32">
      <t>サイ</t>
    </rPh>
    <rPh sb="33" eb="35">
      <t>イチリツ</t>
    </rPh>
    <rPh sb="38" eb="39">
      <t>エン</t>
    </rPh>
    <phoneticPr fontId="1"/>
  </si>
  <si>
    <t>②今、市場で約定されたプレーンバニラスワップ（LIBORと固定金利の交換）　===&gt;  常に現在価値は0円。</t>
    <rPh sb="1" eb="2">
      <t>イマ</t>
    </rPh>
    <rPh sb="3" eb="5">
      <t>シジョウ</t>
    </rPh>
    <rPh sb="6" eb="8">
      <t>ヤクジョウ</t>
    </rPh>
    <rPh sb="29" eb="31">
      <t>コテイ</t>
    </rPh>
    <rPh sb="31" eb="33">
      <t>キンリ</t>
    </rPh>
    <rPh sb="34" eb="36">
      <t>コウカン</t>
    </rPh>
    <rPh sb="44" eb="45">
      <t>ツネ</t>
    </rPh>
    <rPh sb="46" eb="48">
      <t>ゲンザイ</t>
    </rPh>
    <rPh sb="48" eb="50">
      <t>カチ</t>
    </rPh>
    <rPh sb="52" eb="53">
      <t>エン</t>
    </rPh>
    <phoneticPr fontId="1"/>
  </si>
  <si>
    <t>　(計算した結果0円ではなく、初めからプレーンバニラスワップの現在価値は0円とする)</t>
    <rPh sb="2" eb="4">
      <t>ケイサン</t>
    </rPh>
    <rPh sb="6" eb="8">
      <t>ケッカ</t>
    </rPh>
    <rPh sb="9" eb="10">
      <t>エン</t>
    </rPh>
    <rPh sb="15" eb="16">
      <t>ハジ</t>
    </rPh>
    <rPh sb="31" eb="33">
      <t>ゲンザイ</t>
    </rPh>
    <rPh sb="33" eb="35">
      <t>カチ</t>
    </rPh>
    <rPh sb="37" eb="38">
      <t>エン</t>
    </rPh>
    <phoneticPr fontId="1"/>
  </si>
  <si>
    <r>
      <t>③</t>
    </r>
    <r>
      <rPr>
        <b/>
        <sz val="10"/>
        <color rgb="FF0000FF"/>
        <rFont val="ＭＳ Ｐゴシック"/>
        <family val="3"/>
        <charset val="128"/>
        <scheme val="minor"/>
      </rPr>
      <t>スワップレートをクーポン</t>
    </r>
    <r>
      <rPr>
        <b/>
        <sz val="10"/>
        <color theme="1"/>
        <rFont val="ＭＳ Ｐゴシック"/>
        <family val="3"/>
        <charset val="128"/>
        <scheme val="minor"/>
      </rPr>
      <t>とする</t>
    </r>
    <r>
      <rPr>
        <b/>
        <sz val="10"/>
        <color rgb="FF0000FF"/>
        <rFont val="ＭＳ Ｐゴシック"/>
        <family val="3"/>
        <charset val="128"/>
        <scheme val="minor"/>
      </rPr>
      <t>固定利付債</t>
    </r>
    <r>
      <rPr>
        <b/>
        <sz val="10"/>
        <color theme="1"/>
        <rFont val="ＭＳ Ｐゴシック"/>
        <family val="3"/>
        <charset val="128"/>
        <scheme val="minor"/>
      </rPr>
      <t>　===&gt;  常に現在価値は</t>
    </r>
    <r>
      <rPr>
        <b/>
        <sz val="10"/>
        <color rgb="FF0000FF"/>
        <rFont val="ＭＳ Ｐゴシック"/>
        <family val="3"/>
        <charset val="128"/>
        <scheme val="minor"/>
      </rPr>
      <t>100円</t>
    </r>
    <r>
      <rPr>
        <b/>
        <sz val="10"/>
        <color theme="1"/>
        <rFont val="ＭＳ Ｐゴシック"/>
        <family val="3"/>
        <charset val="128"/>
        <scheme val="minor"/>
      </rPr>
      <t>。</t>
    </r>
    <rPh sb="16" eb="18">
      <t>コテイ</t>
    </rPh>
    <rPh sb="18" eb="20">
      <t>リツキ</t>
    </rPh>
    <rPh sb="20" eb="21">
      <t>サイ</t>
    </rPh>
    <rPh sb="28" eb="29">
      <t>ツネ</t>
    </rPh>
    <rPh sb="30" eb="32">
      <t>ゲンザイ</t>
    </rPh>
    <rPh sb="32" eb="34">
      <t>カチ</t>
    </rPh>
    <rPh sb="38" eb="39">
      <t>エン</t>
    </rPh>
    <phoneticPr fontId="1"/>
  </si>
  <si>
    <r>
      <t>①</t>
    </r>
    <r>
      <rPr>
        <b/>
        <sz val="10"/>
        <color rgb="FF0000FF"/>
        <rFont val="ＭＳ Ｐゴシック"/>
        <family val="3"/>
        <charset val="128"/>
        <scheme val="minor"/>
      </rPr>
      <t>クーポンがLIBORフラット</t>
    </r>
    <r>
      <rPr>
        <b/>
        <sz val="10"/>
        <color theme="1"/>
        <rFont val="ＭＳ Ｐゴシック"/>
        <family val="3"/>
        <charset val="128"/>
        <scheme val="minor"/>
      </rPr>
      <t xml:space="preserve">の場合、　===&gt;  </t>
    </r>
    <r>
      <rPr>
        <b/>
        <sz val="10"/>
        <color rgb="FF0000FF"/>
        <rFont val="ＭＳ Ｐゴシック"/>
        <family val="3"/>
        <charset val="128"/>
        <scheme val="minor"/>
      </rPr>
      <t>変動利付債</t>
    </r>
    <r>
      <rPr>
        <b/>
        <sz val="10"/>
        <color theme="1"/>
        <rFont val="ＭＳ Ｐゴシック"/>
        <family val="3"/>
        <charset val="128"/>
        <scheme val="minor"/>
      </rPr>
      <t>の価格は常に</t>
    </r>
    <r>
      <rPr>
        <b/>
        <sz val="10"/>
        <color rgb="FF0000FF"/>
        <rFont val="ＭＳ Ｐゴシック"/>
        <family val="3"/>
        <charset val="128"/>
        <scheme val="minor"/>
      </rPr>
      <t>100円</t>
    </r>
    <r>
      <rPr>
        <b/>
        <sz val="10"/>
        <color theme="1"/>
        <rFont val="ＭＳ Ｐゴシック"/>
        <family val="3"/>
        <charset val="128"/>
        <scheme val="minor"/>
      </rPr>
      <t>。</t>
    </r>
    <rPh sb="16" eb="18">
      <t>バアイ</t>
    </rPh>
    <rPh sb="26" eb="28">
      <t>ヘンドウ</t>
    </rPh>
    <rPh sb="28" eb="30">
      <t>リツキ</t>
    </rPh>
    <rPh sb="30" eb="31">
      <t>サイ</t>
    </rPh>
    <rPh sb="32" eb="34">
      <t>カカク</t>
    </rPh>
    <rPh sb="35" eb="36">
      <t>ツネ</t>
    </rPh>
    <rPh sb="40" eb="41">
      <t>エン</t>
    </rPh>
    <phoneticPr fontId="1"/>
  </si>
  <si>
    <t>12M</t>
    <phoneticPr fontId="1"/>
  </si>
  <si>
    <t>12M LIBOR</t>
    <phoneticPr fontId="1"/>
  </si>
  <si>
    <t>2Y SWAP(PA)</t>
    <phoneticPr fontId="1"/>
  </si>
  <si>
    <t>3Y SWAP(PA)</t>
    <phoneticPr fontId="1"/>
  </si>
  <si>
    <t>SWAPでBootStrap法（１年計算）</t>
    <rPh sb="14" eb="15">
      <t>ホウ</t>
    </rPh>
    <rPh sb="17" eb="18">
      <t>ネン</t>
    </rPh>
    <rPh sb="18" eb="20">
      <t>ケイサン</t>
    </rPh>
    <phoneticPr fontId="1"/>
  </si>
  <si>
    <t>DF</t>
  </si>
  <si>
    <t>=(100 - B43/1 * SUM($C$42:C42)) / ( 100 + B43/1)</t>
    <phoneticPr fontId="1"/>
  </si>
  <si>
    <t>=(100 - B44/1 * SUM($C$42:C43)) / ( 100 + B44/1)</t>
    <phoneticPr fontId="1"/>
  </si>
  <si>
    <t>期間3年、クーポン2.00%の固定利付債の現在価値</t>
    <rPh sb="0" eb="2">
      <t>キカン</t>
    </rPh>
    <rPh sb="3" eb="4">
      <t>ネン</t>
    </rPh>
    <rPh sb="15" eb="17">
      <t>コテイ</t>
    </rPh>
    <rPh sb="17" eb="19">
      <t>リツキ</t>
    </rPh>
    <rPh sb="19" eb="20">
      <t>サイ</t>
    </rPh>
    <rPh sb="21" eb="23">
      <t>ゲンザイ</t>
    </rPh>
    <rPh sb="23" eb="25">
      <t>カチ</t>
    </rPh>
    <phoneticPr fontId="1"/>
  </si>
  <si>
    <t>キャッシュフロー</t>
  </si>
  <si>
    <t>キャッシュフロー</t>
    <phoneticPr fontId="1"/>
  </si>
  <si>
    <t>現在価値</t>
    <rPh sb="0" eb="2">
      <t>ゲンザイ</t>
    </rPh>
    <rPh sb="2" eb="4">
      <t>カチ</t>
    </rPh>
    <phoneticPr fontId="1"/>
  </si>
  <si>
    <t>２Y</t>
    <phoneticPr fontId="1"/>
  </si>
  <si>
    <t>３Y</t>
    <phoneticPr fontId="1"/>
  </si>
  <si>
    <t>合計</t>
    <rPh sb="0" eb="2">
      <t>ゴウケイ</t>
    </rPh>
    <phoneticPr fontId="1"/>
  </si>
  <si>
    <t>期間２年</t>
    <rPh sb="0" eb="2">
      <t>キカン</t>
    </rPh>
    <rPh sb="3" eb="4">
      <t>ネン</t>
    </rPh>
    <phoneticPr fontId="1"/>
  </si>
  <si>
    <t>期間３年</t>
    <rPh sb="0" eb="2">
      <t>キカン</t>
    </rPh>
    <rPh sb="3" eb="4">
      <t>ネン</t>
    </rPh>
    <phoneticPr fontId="1"/>
  </si>
  <si>
    <t>=B48*C42</t>
    <phoneticPr fontId="1"/>
  </si>
  <si>
    <t>=B49*C43</t>
    <phoneticPr fontId="1"/>
  </si>
  <si>
    <t>=B50*C44</t>
    <phoneticPr fontId="1"/>
  </si>
  <si>
    <t>金利のRATE(数値）</t>
    <rPh sb="0" eb="2">
      <t>キンリ</t>
    </rPh>
    <rPh sb="8" eb="10">
      <t>スウチ</t>
    </rPh>
    <phoneticPr fontId="1"/>
  </si>
  <si>
    <t>=SUMPRODUCT(E48:E50,$C$42:$C$44)</t>
    <phoneticPr fontId="1"/>
  </si>
  <si>
    <t>=SUMPRODUCT(F48:F50,$C$42:$C$44)</t>
    <phoneticPr fontId="1"/>
  </si>
  <si>
    <t>クーポンレートと同じは、価格パー</t>
    <rPh sb="8" eb="9">
      <t>オナ</t>
    </rPh>
    <rPh sb="12" eb="14">
      <t>カカク</t>
    </rPh>
    <phoneticPr fontId="1"/>
  </si>
  <si>
    <t>ディスカウントファクターの式</t>
    <rPh sb="13" eb="14">
      <t>シキ</t>
    </rPh>
    <phoneticPr fontId="1"/>
  </si>
  <si>
    <t>100 / ( 100 + 100 * 1 * (365/360) )</t>
    <phoneticPr fontId="1"/>
  </si>
  <si>
    <t>2Y</t>
    <phoneticPr fontId="1"/>
  </si>
  <si>
    <t>( 100 - 1.50 * df0.5 ) / ( 100 + 1.50 )</t>
    <phoneticPr fontId="1"/>
  </si>
  <si>
    <t>3Y</t>
    <phoneticPr fontId="1"/>
  </si>
  <si>
    <t>( 100 - 2 * (df0.5+df1.0) ) / ( 100 + 2.0 )</t>
    <phoneticPr fontId="1"/>
  </si>
  <si>
    <t>固定利付債の価格</t>
    <rPh sb="0" eb="2">
      <t>コテイ</t>
    </rPh>
    <rPh sb="2" eb="4">
      <t>リツキ</t>
    </rPh>
    <rPh sb="4" eb="5">
      <t>サイ</t>
    </rPh>
    <rPh sb="6" eb="8">
      <t>カカク</t>
    </rPh>
    <phoneticPr fontId="1"/>
  </si>
  <si>
    <t>2 * df0.5 + 2 * df1.0 + 102 * df2.0</t>
    <phoneticPr fontId="1"/>
  </si>
  <si>
    <t>SWAPでBootStrap法（半年計算）</t>
    <rPh sb="14" eb="15">
      <t>ホウ</t>
    </rPh>
    <rPh sb="16" eb="18">
      <t>ハントシ</t>
    </rPh>
    <rPh sb="18" eb="20">
      <t>ケイサン</t>
    </rPh>
    <phoneticPr fontId="1"/>
  </si>
  <si>
    <t>LIBOR6M</t>
  </si>
  <si>
    <t>1Y SWAP(SA)</t>
  </si>
  <si>
    <t>1Y SWAP(SA)</t>
    <phoneticPr fontId="1"/>
  </si>
  <si>
    <t>1.5Y SWAP(SA)</t>
  </si>
  <si>
    <t>1.5Y SWAP(SA)</t>
    <phoneticPr fontId="1"/>
  </si>
  <si>
    <t>2Y SWAP(SA)</t>
  </si>
  <si>
    <t>2Y SWAP(SA)</t>
    <phoneticPr fontId="1"/>
  </si>
  <si>
    <t>2.5Y SWAP(SA)</t>
  </si>
  <si>
    <t>2.5Y SWAP(SA)</t>
    <phoneticPr fontId="1"/>
  </si>
  <si>
    <t>3Y SWAP(SA)</t>
  </si>
  <si>
    <t>3Y SWAP(SA)</t>
    <phoneticPr fontId="1"/>
  </si>
  <si>
    <t>ディスカウントファクターを求めて、　＝＝＝＞　固定利付債の現在価値を求める</t>
    <rPh sb="13" eb="14">
      <t>モト</t>
    </rPh>
    <rPh sb="23" eb="25">
      <t>コテイ</t>
    </rPh>
    <rPh sb="25" eb="27">
      <t>リツキ</t>
    </rPh>
    <rPh sb="27" eb="28">
      <t>サイ</t>
    </rPh>
    <rPh sb="29" eb="31">
      <t>ゲンザイ</t>
    </rPh>
    <rPh sb="31" eb="33">
      <t>カチ</t>
    </rPh>
    <rPh sb="34" eb="35">
      <t>モト</t>
    </rPh>
    <phoneticPr fontId="1"/>
  </si>
  <si>
    <t>=(100 - (B60/2) * SUM($C$59:C59) ) / ( 100 + B60/2 )</t>
  </si>
  <si>
    <t>=(100 - (B60/2) * SUM($C$59:C59) ) / ( 100 + B60/2 )</t>
    <phoneticPr fontId="1"/>
  </si>
  <si>
    <t>=(100 - (B61/2) * SUM($C$59:C60) ) / ( 100 + B61/2 )</t>
  </si>
  <si>
    <t>=(100 - (B61/2) * SUM($C$59:C60) ) / ( 100 + B61/2 )</t>
    <phoneticPr fontId="1"/>
  </si>
  <si>
    <t>=(100 - (B62/2) * SUM($C$59:C61) ) / ( 100 + B62/2 )</t>
  </si>
  <si>
    <t>=(100 - (B62/2) * SUM($C$59:C61) ) / ( 100 + B62/2 )</t>
    <phoneticPr fontId="1"/>
  </si>
  <si>
    <t>100 / (100 +  (0.50/100) * (182.5/360) )</t>
    <phoneticPr fontId="1"/>
  </si>
  <si>
    <t>(100 - (0.80/2) * df0.5 ) / ( 100 + 0.80/2 )</t>
    <phoneticPr fontId="1"/>
  </si>
  <si>
    <t>(100 - (1.20/2) * (df0.5+df1.0) ) / ( 100 + 1.20/2 )</t>
    <phoneticPr fontId="1"/>
  </si>
  <si>
    <t>◆Swapの固定利付債の現在価値</t>
    <rPh sb="6" eb="8">
      <t>コテイ</t>
    </rPh>
    <rPh sb="8" eb="10">
      <t>リツキ</t>
    </rPh>
    <rPh sb="10" eb="11">
      <t>サイ</t>
    </rPh>
    <rPh sb="12" eb="14">
      <t>ゲンザイ</t>
    </rPh>
    <rPh sb="14" eb="16">
      <t>カチ</t>
    </rPh>
    <phoneticPr fontId="1"/>
  </si>
  <si>
    <t>既存スワップの時価評価</t>
    <rPh sb="0" eb="2">
      <t>キゾン</t>
    </rPh>
    <rPh sb="7" eb="9">
      <t>ジカ</t>
    </rPh>
    <rPh sb="9" eb="11">
      <t>ヒョウカ</t>
    </rPh>
    <phoneticPr fontId="1"/>
  </si>
  <si>
    <t>想定元本　＝　100億円</t>
    <rPh sb="0" eb="2">
      <t>ソウテイ</t>
    </rPh>
    <rPh sb="2" eb="4">
      <t>ガンポン</t>
    </rPh>
    <rPh sb="10" eb="12">
      <t>オクエン</t>
    </rPh>
    <phoneticPr fontId="1"/>
  </si>
  <si>
    <t>Y銀行受取金利 = 2.60% (SA)</t>
    <rPh sb="1" eb="3">
      <t>ギンコウ</t>
    </rPh>
    <rPh sb="3" eb="5">
      <t>ウケトリ</t>
    </rPh>
    <rPh sb="5" eb="7">
      <t>キンリ</t>
    </rPh>
    <phoneticPr fontId="1"/>
  </si>
  <si>
    <t xml:space="preserve">Y銀行支払金利 = LIBOR6M  </t>
    <rPh sb="1" eb="3">
      <t>ギンコウ</t>
    </rPh>
    <rPh sb="3" eb="5">
      <t>シハライ</t>
    </rPh>
    <rPh sb="5" eb="7">
      <t>キンリ</t>
    </rPh>
    <phoneticPr fontId="1"/>
  </si>
  <si>
    <t>→　３YSWAPレート = 2.00%</t>
  </si>
  <si>
    <t>→　３YSWAPレート = 2.00%</t>
    <phoneticPr fontId="1"/>
  </si>
  <si>
    <t>受取キャッシュフロー - 支払キャッシュフロー　= 2.60% - 2.00% = + 0.60%　（年の支払）</t>
    <rPh sb="0" eb="2">
      <t>ウケトリ</t>
    </rPh>
    <rPh sb="13" eb="15">
      <t>シハライ</t>
    </rPh>
    <rPh sb="51" eb="52">
      <t>ネン</t>
    </rPh>
    <rPh sb="53" eb="55">
      <t>シハライ</t>
    </rPh>
    <phoneticPr fontId="1"/>
  </si>
  <si>
    <t>=100 / (100 + B42*365/360)</t>
    <phoneticPr fontId="1"/>
  </si>
  <si>
    <t>=100 / (100 +  B59 * (182.5/360) )</t>
  </si>
  <si>
    <t>=100 / (100 +  B59 * (182.5/360) )</t>
    <phoneticPr fontId="1"/>
  </si>
  <si>
    <t>10000000000 * (0.6%/2) * ( df0.5 + df1.0 + ・・・　+ df3.0)</t>
    <phoneticPr fontId="1"/>
  </si>
  <si>
    <t>想定元本　＝　10億円</t>
    <rPh sb="0" eb="2">
      <t>ソウテイ</t>
    </rPh>
    <rPh sb="2" eb="4">
      <t>ガンポン</t>
    </rPh>
    <rPh sb="9" eb="11">
      <t>オクエン</t>
    </rPh>
    <phoneticPr fontId="1"/>
  </si>
  <si>
    <t>期間　＝　３年</t>
    <rPh sb="0" eb="2">
      <t>キカン</t>
    </rPh>
    <rPh sb="6" eb="7">
      <t>ネン</t>
    </rPh>
    <phoneticPr fontId="1"/>
  </si>
  <si>
    <t>Y銀行受取金利 = LIBOR6M</t>
    <rPh sb="1" eb="3">
      <t>ギンコウ</t>
    </rPh>
    <rPh sb="3" eb="5">
      <t>ウケトリ</t>
    </rPh>
    <rPh sb="5" eb="7">
      <t>キンリ</t>
    </rPh>
    <phoneticPr fontId="1"/>
  </si>
  <si>
    <t>Y銀行支払金利 = 1.8%(SA)</t>
    <rPh sb="1" eb="3">
      <t>ギンコウ</t>
    </rPh>
    <rPh sb="3" eb="5">
      <t>シハライ</t>
    </rPh>
    <rPh sb="5" eb="7">
      <t>キンリ</t>
    </rPh>
    <phoneticPr fontId="1"/>
  </si>
  <si>
    <r>
      <t>受取キャッシュフロー - 支払キャッシュフロー　= 2.00% - 1.80% = + 0.20%　</t>
    </r>
    <r>
      <rPr>
        <b/>
        <sz val="9"/>
        <color rgb="FF0000FF"/>
        <rFont val="ＭＳ Ｐゴシック"/>
        <family val="3"/>
        <charset val="128"/>
        <scheme val="minor"/>
      </rPr>
      <t>（年の支払）</t>
    </r>
    <rPh sb="0" eb="2">
      <t>ウケトリ</t>
    </rPh>
    <rPh sb="13" eb="15">
      <t>シハライ</t>
    </rPh>
    <rPh sb="51" eb="52">
      <t>ネン</t>
    </rPh>
    <rPh sb="53" eb="55">
      <t>シハライ</t>
    </rPh>
    <phoneticPr fontId="1"/>
  </si>
  <si>
    <t>1000000000 * (0.2%/2) * ( df0.5 + df1.0 + ・・・　+ df3.0)</t>
    <phoneticPr fontId="1"/>
  </si>
  <si>
    <t>練習問題２</t>
    <rPh sb="0" eb="2">
      <t>レンシュウ</t>
    </rPh>
    <rPh sb="2" eb="4">
      <t>モンダイ</t>
    </rPh>
    <phoneticPr fontId="1"/>
  </si>
  <si>
    <t>[1]既存スワップの時価評価</t>
    <phoneticPr fontId="1"/>
  </si>
  <si>
    <t>[2-1]一年毎のディスカウントファクター</t>
    <rPh sb="5" eb="7">
      <t>イチネン</t>
    </rPh>
    <rPh sb="7" eb="8">
      <t>ゴト</t>
    </rPh>
    <phoneticPr fontId="1"/>
  </si>
  <si>
    <t>４Y SWAP(PA)</t>
    <phoneticPr fontId="1"/>
  </si>
  <si>
    <t>５Y SWAP(PA)</t>
    <phoneticPr fontId="1"/>
  </si>
  <si>
    <t>=100 / (100 + B45*365/360)</t>
    <phoneticPr fontId="1"/>
  </si>
  <si>
    <t>=(100 - B46/1 * SUM($C$45:C45)) / ( 100 + B46/1)</t>
    <phoneticPr fontId="1"/>
  </si>
  <si>
    <t>=(100 - B47/1 * SUM($C$45:C46)) / ( 100 + B47/1)</t>
    <phoneticPr fontId="1"/>
  </si>
  <si>
    <t>４Y</t>
    <phoneticPr fontId="1"/>
  </si>
  <si>
    <t>５Y</t>
    <phoneticPr fontId="1"/>
  </si>
  <si>
    <r>
      <t>期間　＝　当初５年、</t>
    </r>
    <r>
      <rPr>
        <b/>
        <sz val="9"/>
        <color rgb="FF0000FF"/>
        <rFont val="ＭＳ Ｐゴシック"/>
        <family val="3"/>
        <charset val="128"/>
        <scheme val="minor"/>
      </rPr>
      <t>残存期間３年</t>
    </r>
    <rPh sb="0" eb="2">
      <t>キカン</t>
    </rPh>
    <rPh sb="5" eb="7">
      <t>トウショ</t>
    </rPh>
    <rPh sb="8" eb="9">
      <t>ネン</t>
    </rPh>
    <rPh sb="10" eb="12">
      <t>ザンゾン</t>
    </rPh>
    <rPh sb="12" eb="14">
      <t>キカン</t>
    </rPh>
    <rPh sb="15" eb="16">
      <t>ネン</t>
    </rPh>
    <phoneticPr fontId="1"/>
  </si>
  <si>
    <t>[2-2]半年毎のディスカウントファクター</t>
    <rPh sb="5" eb="7">
      <t>ハントシ</t>
    </rPh>
    <rPh sb="7" eb="8">
      <t>ゴト</t>
    </rPh>
    <phoneticPr fontId="1"/>
  </si>
  <si>
    <t>=100 / (100 +  B68 * (182.5/360) )</t>
    <phoneticPr fontId="1"/>
  </si>
  <si>
    <t>=(100 - (B69/2) * SUM($C$68:C68) ) / ( 100 + B69/2 )</t>
    <phoneticPr fontId="1"/>
  </si>
  <si>
    <t>期間3年、クーポン1.36%の固定利付債の現在価値</t>
    <rPh sb="0" eb="2">
      <t>キカン</t>
    </rPh>
    <rPh sb="3" eb="4">
      <t>ネン</t>
    </rPh>
    <rPh sb="15" eb="17">
      <t>コテイ</t>
    </rPh>
    <rPh sb="17" eb="19">
      <t>リツキ</t>
    </rPh>
    <rPh sb="19" eb="20">
      <t>サイ</t>
    </rPh>
    <rPh sb="21" eb="23">
      <t>ゲンザイ</t>
    </rPh>
    <rPh sb="23" eb="25">
      <t>カチ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</si>
</sst>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76" formatCode="#,##0_ "/>
    <numFmt numFmtId="177" formatCode="#,##0.000_ "/>
    <numFmt numFmtId="178" formatCode="0.000%"/>
    <numFmt numFmtId="179" formatCode="0.0000%"/>
    <numFmt numFmtId="180" formatCode="0.00000%"/>
    <numFmt numFmtId="181" formatCode="0.0000000%"/>
    <numFmt numFmtId="182" formatCode="0.00000"/>
    <numFmt numFmtId="183" formatCode="0.0000"/>
    <numFmt numFmtId="184" formatCode="0.0"/>
    <numFmt numFmtId="185" formatCode="0.000000%"/>
    <numFmt numFmtId="186" formatCode="#,##0.000000_ "/>
    <numFmt numFmtId="187" formatCode="0.00_ "/>
    <numFmt numFmtId="188" formatCode="0.00000000%"/>
    <numFmt numFmtId="189" formatCode="0.0000000"/>
    <numFmt numFmtId="191" formatCode="0.000000000"/>
    <numFmt numFmtId="192" formatCode="0.00000000"/>
    <numFmt numFmtId="193" formatCode="0.000000"/>
  </numFmts>
  <fonts count="4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11"/>
      <color theme="3" tint="-0.499984740745262"/>
      <name val="ＭＳ Ｐゴシック"/>
      <family val="2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2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0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u/>
      <sz val="9"/>
      <color rgb="FF0000FF"/>
      <name val="ＭＳ 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8"/>
      <color theme="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8"/>
      <color theme="1"/>
      <name val="ＭＳ Ｐゴシック"/>
      <family val="2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rgb="FF0000FF"/>
      <name val="ＭＳ Ｐゴシック"/>
      <family val="3"/>
      <charset val="128"/>
      <scheme val="minor"/>
    </font>
    <font>
      <b/>
      <sz val="10"/>
      <color rgb="FF0000FF"/>
      <name val="ＭＳ Ｐゴシック"/>
      <family val="3"/>
      <charset val="128"/>
      <scheme val="minor"/>
    </font>
    <font>
      <sz val="9"/>
      <color theme="1" tint="4.9989318521683403E-2"/>
      <name val="ＭＳ Ｐゴシック"/>
      <family val="2"/>
      <charset val="128"/>
      <scheme val="minor"/>
    </font>
    <font>
      <sz val="16"/>
      <color rgb="FF0000FF"/>
      <name val="ＭＳ Ｐゴシック"/>
      <family val="2"/>
      <charset val="128"/>
      <scheme val="minor"/>
    </font>
    <font>
      <sz val="14"/>
      <color rgb="FF0000FF"/>
      <name val="ＭＳ Ｐゴシック"/>
      <family val="2"/>
      <charset val="128"/>
      <scheme val="minor"/>
    </font>
    <font>
      <sz val="20"/>
      <color rgb="FF0000FF"/>
      <name val="ＭＳ Ｐゴシック"/>
      <family val="2"/>
      <charset val="128"/>
      <scheme val="minor"/>
    </font>
    <font>
      <b/>
      <sz val="9"/>
      <color rgb="FF0000FF"/>
      <name val="ＭＳ Ｐゴシック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2">
    <xf numFmtId="0" fontId="0" fillId="0" borderId="0" xfId="0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80" fontId="0" fillId="0" borderId="10" xfId="0" applyNumberFormat="1" applyBorder="1">
      <alignment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0" fillId="10" borderId="1" xfId="0" applyFill="1" applyBorder="1" applyAlignment="1">
      <alignment horizontal="center" vertical="center"/>
    </xf>
    <xf numFmtId="177" fontId="5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7" fontId="5" fillId="8" borderId="0" xfId="0" applyNumberFormat="1" applyFont="1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6" fillId="0" borderId="0" xfId="0" applyFont="1">
      <alignment vertical="center"/>
    </xf>
    <xf numFmtId="0" fontId="0" fillId="2" borderId="1" xfId="0" applyFill="1" applyBorder="1">
      <alignment vertical="center"/>
    </xf>
    <xf numFmtId="0" fontId="7" fillId="0" borderId="0" xfId="0" applyFont="1">
      <alignment vertical="center"/>
    </xf>
    <xf numFmtId="180" fontId="0" fillId="0" borderId="1" xfId="0" applyNumberFormat="1" applyBorder="1">
      <alignment vertical="center"/>
    </xf>
    <xf numFmtId="180" fontId="0" fillId="11" borderId="1" xfId="0" applyNumberFormat="1" applyFill="1" applyBorder="1">
      <alignment vertical="center"/>
    </xf>
    <xf numFmtId="181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>
      <alignment vertical="center"/>
    </xf>
    <xf numFmtId="0" fontId="0" fillId="14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0" fillId="8" borderId="0" xfId="0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183" fontId="0" fillId="0" borderId="0" xfId="0" applyNumberForma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12" borderId="0" xfId="0" applyFill="1">
      <alignment vertical="center"/>
    </xf>
    <xf numFmtId="0" fontId="0" fillId="15" borderId="11" xfId="0" applyFill="1" applyBorder="1">
      <alignment vertical="center"/>
    </xf>
    <xf numFmtId="0" fontId="0" fillId="15" borderId="12" xfId="0" applyFill="1" applyBorder="1">
      <alignment vertical="center"/>
    </xf>
    <xf numFmtId="0" fontId="0" fillId="15" borderId="13" xfId="0" applyFill="1" applyBorder="1">
      <alignment vertical="center"/>
    </xf>
    <xf numFmtId="0" fontId="9" fillId="13" borderId="0" xfId="0" applyFont="1" applyFill="1">
      <alignment vertical="center"/>
    </xf>
    <xf numFmtId="0" fontId="11" fillId="0" borderId="0" xfId="0" applyFont="1">
      <alignment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5" borderId="1" xfId="0" applyFill="1" applyBorder="1">
      <alignment vertical="center"/>
    </xf>
    <xf numFmtId="0" fontId="0" fillId="11" borderId="6" xfId="0" applyFill="1" applyBorder="1" applyAlignment="1">
      <alignment horizontal="center" vertical="center"/>
    </xf>
    <xf numFmtId="183" fontId="0" fillId="5" borderId="1" xfId="0" applyNumberFormat="1" applyFill="1" applyBorder="1">
      <alignment vertical="center"/>
    </xf>
    <xf numFmtId="182" fontId="0" fillId="5" borderId="1" xfId="0" applyNumberFormat="1" applyFill="1" applyBorder="1">
      <alignment vertical="center"/>
    </xf>
    <xf numFmtId="0" fontId="2" fillId="0" borderId="0" xfId="0" applyFont="1">
      <alignment vertical="center"/>
    </xf>
    <xf numFmtId="0" fontId="12" fillId="0" borderId="0" xfId="0" applyFont="1">
      <alignment vertical="center"/>
    </xf>
    <xf numFmtId="10" fontId="0" fillId="0" borderId="0" xfId="0" applyNumberFormat="1">
      <alignment vertical="center"/>
    </xf>
    <xf numFmtId="180" fontId="0" fillId="0" borderId="0" xfId="0" applyNumberFormat="1">
      <alignment vertical="center"/>
    </xf>
    <xf numFmtId="185" fontId="0" fillId="0" borderId="0" xfId="0" quotePrefix="1" applyNumberFormat="1">
      <alignment vertical="center"/>
    </xf>
    <xf numFmtId="0" fontId="0" fillId="2" borderId="0" xfId="0" quotePrefix="1" applyFill="1">
      <alignment vertical="center"/>
    </xf>
    <xf numFmtId="0" fontId="0" fillId="2" borderId="0" xfId="0" applyFill="1">
      <alignment vertical="center"/>
    </xf>
    <xf numFmtId="184" fontId="0" fillId="2" borderId="1" xfId="0" applyNumberFormat="1" applyFill="1" applyBorder="1">
      <alignment vertical="center"/>
    </xf>
    <xf numFmtId="0" fontId="13" fillId="0" borderId="0" xfId="0" applyFont="1">
      <alignment vertical="center"/>
    </xf>
    <xf numFmtId="10" fontId="0" fillId="0" borderId="0" xfId="0" applyNumberFormat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14" borderId="1" xfId="0" applyFill="1" applyBorder="1">
      <alignment vertical="center"/>
    </xf>
    <xf numFmtId="184" fontId="0" fillId="8" borderId="0" xfId="0" applyNumberFormat="1" applyFill="1" applyBorder="1">
      <alignment vertical="center"/>
    </xf>
    <xf numFmtId="186" fontId="2" fillId="9" borderId="1" xfId="0" applyNumberFormat="1" applyFont="1" applyFill="1" applyBorder="1" applyAlignment="1">
      <alignment horizontal="center" vertical="center"/>
    </xf>
    <xf numFmtId="179" fontId="0" fillId="0" borderId="10" xfId="0" applyNumberForma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0" fontId="19" fillId="4" borderId="2" xfId="0" applyFont="1" applyFill="1" applyBorder="1">
      <alignment vertical="center"/>
    </xf>
    <xf numFmtId="0" fontId="19" fillId="4" borderId="3" xfId="0" applyFont="1" applyFill="1" applyBorder="1">
      <alignment vertical="center"/>
    </xf>
    <xf numFmtId="0" fontId="19" fillId="4" borderId="4" xfId="0" applyFont="1" applyFill="1" applyBorder="1">
      <alignment vertical="center"/>
    </xf>
    <xf numFmtId="0" fontId="19" fillId="4" borderId="7" xfId="0" applyFont="1" applyFill="1" applyBorder="1">
      <alignment vertical="center"/>
    </xf>
    <xf numFmtId="0" fontId="19" fillId="4" borderId="8" xfId="0" applyFont="1" applyFill="1" applyBorder="1">
      <alignment vertical="center"/>
    </xf>
    <xf numFmtId="0" fontId="19" fillId="4" borderId="9" xfId="0" applyFont="1" applyFill="1" applyBorder="1">
      <alignment vertical="center"/>
    </xf>
    <xf numFmtId="0" fontId="19" fillId="8" borderId="0" xfId="0" applyFont="1" applyFill="1" applyBorder="1">
      <alignment vertical="center"/>
    </xf>
    <xf numFmtId="0" fontId="16" fillId="0" borderId="0" xfId="0" quotePrefix="1" applyFont="1" applyBorder="1" applyAlignment="1">
      <alignment horizontal="left" vertical="center"/>
    </xf>
    <xf numFmtId="183" fontId="16" fillId="0" borderId="1" xfId="0" quotePrefix="1" applyNumberFormat="1" applyFont="1" applyBorder="1" applyAlignment="1">
      <alignment horizontal="center" vertical="center"/>
    </xf>
    <xf numFmtId="183" fontId="16" fillId="0" borderId="0" xfId="0" quotePrefix="1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180" fontId="14" fillId="0" borderId="10" xfId="0" applyNumberFormat="1" applyFont="1" applyBorder="1">
      <alignment vertical="center"/>
    </xf>
    <xf numFmtId="176" fontId="20" fillId="9" borderId="1" xfId="0" applyNumberFormat="1" applyFont="1" applyFill="1" applyBorder="1" applyAlignment="1">
      <alignment horizontal="center" vertical="center"/>
    </xf>
    <xf numFmtId="176" fontId="21" fillId="8" borderId="1" xfId="0" applyNumberFormat="1" applyFont="1" applyFill="1" applyBorder="1" applyAlignment="1">
      <alignment horizontal="center" vertical="center"/>
    </xf>
    <xf numFmtId="0" fontId="14" fillId="0" borderId="0" xfId="0" quotePrefix="1" applyFont="1">
      <alignment vertical="center"/>
    </xf>
    <xf numFmtId="0" fontId="14" fillId="0" borderId="0" xfId="0" applyFont="1" applyBorder="1">
      <alignment vertical="center"/>
    </xf>
    <xf numFmtId="10" fontId="22" fillId="0" borderId="1" xfId="0" applyNumberFormat="1" applyFont="1" applyBorder="1" applyAlignment="1">
      <alignment horizontal="center" vertical="center"/>
    </xf>
    <xf numFmtId="178" fontId="22" fillId="4" borderId="1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8" fontId="14" fillId="0" borderId="1" xfId="0" quotePrefix="1" applyNumberFormat="1" applyFont="1" applyBorder="1" applyAlignment="1">
      <alignment horizontal="center" vertical="center"/>
    </xf>
    <xf numFmtId="178" fontId="14" fillId="0" borderId="0" xfId="0" quotePrefix="1" applyNumberFormat="1" applyFont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0" borderId="0" xfId="0" quotePrefix="1" applyFont="1">
      <alignment vertical="center"/>
    </xf>
    <xf numFmtId="180" fontId="24" fillId="0" borderId="10" xfId="0" applyNumberFormat="1" applyFont="1" applyBorder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16" fillId="4" borderId="3" xfId="0" applyFont="1" applyFill="1" applyBorder="1">
      <alignment vertical="center"/>
    </xf>
    <xf numFmtId="0" fontId="16" fillId="4" borderId="4" xfId="0" applyFont="1" applyFill="1" applyBorder="1">
      <alignment vertical="center"/>
    </xf>
    <xf numFmtId="0" fontId="16" fillId="4" borderId="7" xfId="0" applyFont="1" applyFill="1" applyBorder="1">
      <alignment vertical="center"/>
    </xf>
    <xf numFmtId="0" fontId="16" fillId="4" borderId="8" xfId="0" applyFont="1" applyFill="1" applyBorder="1">
      <alignment vertical="center"/>
    </xf>
    <xf numFmtId="0" fontId="16" fillId="4" borderId="9" xfId="0" applyFont="1" applyFill="1" applyBorder="1">
      <alignment vertical="center"/>
    </xf>
    <xf numFmtId="179" fontId="0" fillId="0" borderId="1" xfId="0" quotePrefix="1" applyNumberFormat="1" applyBorder="1" applyAlignment="1">
      <alignment horizontal="center" vertical="center"/>
    </xf>
    <xf numFmtId="179" fontId="3" fillId="0" borderId="0" xfId="0" quotePrefix="1" applyNumberFormat="1" applyFont="1" applyBorder="1" applyAlignment="1">
      <alignment horizontal="left" vertical="center"/>
    </xf>
    <xf numFmtId="0" fontId="16" fillId="0" borderId="0" xfId="0" applyFont="1" applyBorder="1">
      <alignment vertical="center"/>
    </xf>
    <xf numFmtId="0" fontId="3" fillId="0" borderId="0" xfId="0" quotePrefix="1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77" fontId="5" fillId="8" borderId="1" xfId="0" quotePrefix="1" applyNumberFormat="1" applyFont="1" applyFill="1" applyBorder="1" applyAlignment="1">
      <alignment horizontal="center" vertical="center"/>
    </xf>
    <xf numFmtId="177" fontId="30" fillId="8" borderId="0" xfId="0" quotePrefix="1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9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9" fontId="16" fillId="0" borderId="1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178" fontId="16" fillId="0" borderId="1" xfId="0" quotePrefix="1" applyNumberFormat="1" applyFont="1" applyBorder="1" applyAlignment="1">
      <alignment horizontal="center" vertical="center"/>
    </xf>
    <xf numFmtId="178" fontId="16" fillId="0" borderId="0" xfId="0" quotePrefix="1" applyNumberFormat="1" applyFont="1" applyBorder="1" applyAlignment="1">
      <alignment horizontal="left" vertical="center"/>
    </xf>
    <xf numFmtId="0" fontId="16" fillId="13" borderId="0" xfId="0" applyFont="1" applyFill="1">
      <alignment vertical="center"/>
    </xf>
    <xf numFmtId="0" fontId="16" fillId="0" borderId="0" xfId="0" quotePrefix="1" applyFont="1">
      <alignment vertical="center"/>
    </xf>
    <xf numFmtId="0" fontId="16" fillId="0" borderId="0" xfId="0" applyFont="1" applyAlignment="1">
      <alignment horizontal="right" vertical="center"/>
    </xf>
    <xf numFmtId="0" fontId="25" fillId="8" borderId="0" xfId="0" applyFont="1" applyFill="1">
      <alignment vertical="center"/>
    </xf>
    <xf numFmtId="0" fontId="16" fillId="0" borderId="1" xfId="0" applyFont="1" applyBorder="1">
      <alignment vertical="center"/>
    </xf>
    <xf numFmtId="0" fontId="16" fillId="16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6" fillId="0" borderId="1" xfId="0" quotePrefix="1" applyFont="1" applyBorder="1">
      <alignment vertical="center"/>
    </xf>
    <xf numFmtId="0" fontId="16" fillId="5" borderId="1" xfId="0" applyFont="1" applyFill="1" applyBorder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2" fontId="16" fillId="16" borderId="1" xfId="0" applyNumberFormat="1" applyFont="1" applyFill="1" applyBorder="1" applyAlignment="1">
      <alignment horizontal="center" vertical="center"/>
    </xf>
    <xf numFmtId="0" fontId="16" fillId="0" borderId="0" xfId="0" quotePrefix="1" applyFont="1" applyBorder="1">
      <alignment vertical="center"/>
    </xf>
    <xf numFmtId="0" fontId="22" fillId="8" borderId="0" xfId="0" applyFont="1" applyFill="1" applyBorder="1" applyAlignment="1">
      <alignment horizontal="center" vertical="center"/>
    </xf>
    <xf numFmtId="0" fontId="29" fillId="4" borderId="2" xfId="0" applyFont="1" applyFill="1" applyBorder="1">
      <alignment vertical="center"/>
    </xf>
    <xf numFmtId="187" fontId="16" fillId="0" borderId="1" xfId="0" applyNumberFormat="1" applyFont="1" applyBorder="1" applyAlignment="1">
      <alignment horizontal="center" vertical="center"/>
    </xf>
    <xf numFmtId="0" fontId="16" fillId="8" borderId="0" xfId="0" applyFont="1" applyFill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32" fillId="0" borderId="1" xfId="0" applyFont="1" applyBorder="1">
      <alignment vertical="center"/>
    </xf>
    <xf numFmtId="0" fontId="32" fillId="0" borderId="1" xfId="0" quotePrefix="1" applyFont="1" applyBorder="1">
      <alignment vertical="center"/>
    </xf>
    <xf numFmtId="0" fontId="16" fillId="18" borderId="1" xfId="0" applyFont="1" applyFill="1" applyBorder="1">
      <alignment vertical="center"/>
    </xf>
    <xf numFmtId="0" fontId="16" fillId="8" borderId="0" xfId="0" applyFont="1" applyFill="1" applyBorder="1" applyAlignment="1">
      <alignment horizontal="center" vertical="center"/>
    </xf>
    <xf numFmtId="0" fontId="16" fillId="8" borderId="0" xfId="0" applyFont="1" applyFill="1" applyBorder="1">
      <alignment vertical="center"/>
    </xf>
    <xf numFmtId="0" fontId="32" fillId="8" borderId="0" xfId="0" applyFont="1" applyFill="1" applyBorder="1">
      <alignment vertical="center"/>
    </xf>
    <xf numFmtId="0" fontId="16" fillId="4" borderId="2" xfId="0" applyFont="1" applyFill="1" applyBorder="1">
      <alignment vertical="center"/>
    </xf>
    <xf numFmtId="0" fontId="16" fillId="4" borderId="5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16" fillId="4" borderId="6" xfId="0" applyFont="1" applyFill="1" applyBorder="1">
      <alignment vertical="center"/>
    </xf>
    <xf numFmtId="1" fontId="16" fillId="0" borderId="1" xfId="0" quotePrefix="1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1" xfId="0" quotePrefix="1" applyNumberFormat="1" applyBorder="1" applyAlignment="1">
      <alignment horizontal="center" vertical="center"/>
    </xf>
    <xf numFmtId="177" fontId="5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179" fontId="16" fillId="0" borderId="1" xfId="0" applyNumberFormat="1" applyFont="1" applyBorder="1" applyAlignment="1">
      <alignment horizontal="center" vertical="center"/>
    </xf>
    <xf numFmtId="188" fontId="16" fillId="0" borderId="1" xfId="0" applyNumberFormat="1" applyFont="1" applyBorder="1" applyAlignment="1">
      <alignment horizontal="center" vertical="center"/>
    </xf>
    <xf numFmtId="177" fontId="5" fillId="16" borderId="1" xfId="0" applyNumberFormat="1" applyFont="1" applyFill="1" applyBorder="1" applyAlignment="1">
      <alignment horizontal="center" vertical="center"/>
    </xf>
    <xf numFmtId="180" fontId="0" fillId="16" borderId="1" xfId="0" applyNumberFormat="1" applyFill="1" applyBorder="1" applyAlignment="1">
      <alignment horizontal="center" vertical="center"/>
    </xf>
    <xf numFmtId="0" fontId="3" fillId="4" borderId="14" xfId="0" applyFont="1" applyFill="1" applyBorder="1">
      <alignment vertical="center"/>
    </xf>
    <xf numFmtId="0" fontId="14" fillId="4" borderId="15" xfId="0" applyFont="1" applyFill="1" applyBorder="1">
      <alignment vertical="center"/>
    </xf>
    <xf numFmtId="0" fontId="16" fillId="0" borderId="10" xfId="0" applyFont="1" applyBorder="1">
      <alignment vertical="center"/>
    </xf>
    <xf numFmtId="0" fontId="16" fillId="4" borderId="10" xfId="0" applyFont="1" applyFill="1" applyBorder="1">
      <alignment vertical="center"/>
    </xf>
    <xf numFmtId="0" fontId="16" fillId="0" borderId="15" xfId="0" applyFont="1" applyBorder="1">
      <alignment vertical="center"/>
    </xf>
    <xf numFmtId="189" fontId="0" fillId="0" borderId="0" xfId="0" applyNumberFormat="1">
      <alignment vertical="center"/>
    </xf>
    <xf numFmtId="0" fontId="33" fillId="0" borderId="0" xfId="0" applyFont="1">
      <alignment vertical="center"/>
    </xf>
    <xf numFmtId="0" fontId="3" fillId="0" borderId="1" xfId="0" applyFont="1" applyBorder="1">
      <alignment vertical="center"/>
    </xf>
    <xf numFmtId="0" fontId="34" fillId="0" borderId="0" xfId="0" applyFont="1">
      <alignment vertical="center"/>
    </xf>
    <xf numFmtId="0" fontId="3" fillId="5" borderId="1" xfId="0" applyFont="1" applyFill="1" applyBorder="1">
      <alignment vertical="center"/>
    </xf>
    <xf numFmtId="180" fontId="3" fillId="0" borderId="1" xfId="0" applyNumberFormat="1" applyFont="1" applyBorder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3" fillId="4" borderId="2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34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4" fillId="4" borderId="5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34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8" fillId="1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left" vertical="center"/>
    </xf>
    <xf numFmtId="191" fontId="3" fillId="0" borderId="1" xfId="0" quotePrefix="1" applyNumberFormat="1" applyFont="1" applyBorder="1" applyAlignment="1">
      <alignment horizontal="center" vertical="center"/>
    </xf>
    <xf numFmtId="192" fontId="3" fillId="0" borderId="1" xfId="0" quotePrefix="1" applyNumberFormat="1" applyFont="1" applyBorder="1" applyAlignment="1">
      <alignment horizontal="center" vertical="center"/>
    </xf>
    <xf numFmtId="183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>
      <alignment vertical="center"/>
    </xf>
    <xf numFmtId="187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9" fillId="4" borderId="2" xfId="0" applyFont="1" applyFill="1" applyBorder="1">
      <alignment vertical="center"/>
    </xf>
    <xf numFmtId="0" fontId="3" fillId="0" borderId="8" xfId="0" applyFont="1" applyBorder="1">
      <alignment vertical="center"/>
    </xf>
    <xf numFmtId="0" fontId="40" fillId="4" borderId="2" xfId="0" applyFont="1" applyFill="1" applyBorder="1">
      <alignment vertical="center"/>
    </xf>
    <xf numFmtId="189" fontId="3" fillId="0" borderId="1" xfId="0" applyNumberFormat="1" applyFont="1" applyBorder="1">
      <alignment vertical="center"/>
    </xf>
    <xf numFmtId="183" fontId="3" fillId="0" borderId="0" xfId="0" quotePrefix="1" applyNumberFormat="1" applyFont="1" applyBorder="1" applyAlignment="1">
      <alignment vertical="center"/>
    </xf>
    <xf numFmtId="193" fontId="3" fillId="0" borderId="0" xfId="0" quotePrefix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14" borderId="1" xfId="0" quotePrefix="1" applyFont="1" applyFill="1" applyBorder="1">
      <alignment vertical="center"/>
    </xf>
    <xf numFmtId="0" fontId="41" fillId="0" borderId="0" xfId="0" applyFont="1">
      <alignment vertical="center"/>
    </xf>
    <xf numFmtId="176" fontId="3" fillId="5" borderId="0" xfId="0" applyNumberFormat="1" applyFont="1" applyFill="1">
      <alignment vertical="center"/>
    </xf>
    <xf numFmtId="0" fontId="3" fillId="0" borderId="0" xfId="0" applyFont="1" applyAlignment="1">
      <alignment horizontal="left" vertical="center"/>
    </xf>
    <xf numFmtId="0" fontId="34" fillId="0" borderId="3" xfId="0" applyFont="1" applyBorder="1">
      <alignment vertical="center"/>
    </xf>
    <xf numFmtId="176" fontId="3" fillId="5" borderId="0" xfId="0" applyNumberFormat="1" applyFont="1" applyFill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189" fontId="3" fillId="7" borderId="1" xfId="0" applyNumberFormat="1" applyFont="1" applyFill="1" applyBorder="1">
      <alignment vertical="center"/>
    </xf>
    <xf numFmtId="189" fontId="3" fillId="14" borderId="1" xfId="0" quotePrefix="1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FFFF"/>
      <color rgb="FF0000FF"/>
      <color rgb="FF66FFFF"/>
      <color rgb="FFFFFF99"/>
      <color rgb="FFFFFFFF"/>
      <color rgb="FFFFCC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141</xdr:row>
      <xdr:rowOff>76200</xdr:rowOff>
    </xdr:from>
    <xdr:to>
      <xdr:col>1</xdr:col>
      <xdr:colOff>723900</xdr:colOff>
      <xdr:row>146</xdr:row>
      <xdr:rowOff>38100</xdr:rowOff>
    </xdr:to>
    <xdr:sp macro="" textlink="">
      <xdr:nvSpPr>
        <xdr:cNvPr id="2" name="角丸四角形 1"/>
        <xdr:cNvSpPr/>
      </xdr:nvSpPr>
      <xdr:spPr>
        <a:xfrm>
          <a:off x="619125" y="22964775"/>
          <a:ext cx="1295400" cy="6762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割引債</a:t>
          </a:r>
          <a:endParaRPr kumimoji="1" lang="en-US" altLang="ja-JP" sz="1100"/>
        </a:p>
        <a:p>
          <a:pPr algn="ctr"/>
          <a:r>
            <a:rPr kumimoji="1" lang="ja-JP" altLang="en-US" sz="1100"/>
            <a:t>理論価格</a:t>
          </a:r>
        </a:p>
      </xdr:txBody>
    </xdr:sp>
    <xdr:clientData/>
  </xdr:twoCellAnchor>
  <xdr:twoCellAnchor>
    <xdr:from>
      <xdr:col>2</xdr:col>
      <xdr:colOff>800100</xdr:colOff>
      <xdr:row>141</xdr:row>
      <xdr:rowOff>76200</xdr:rowOff>
    </xdr:from>
    <xdr:to>
      <xdr:col>3</xdr:col>
      <xdr:colOff>904875</xdr:colOff>
      <xdr:row>146</xdr:row>
      <xdr:rowOff>38100</xdr:rowOff>
    </xdr:to>
    <xdr:sp macro="" textlink="">
      <xdr:nvSpPr>
        <xdr:cNvPr id="3" name="角丸四角形 2"/>
        <xdr:cNvSpPr/>
      </xdr:nvSpPr>
      <xdr:spPr>
        <a:xfrm>
          <a:off x="3181350" y="22964775"/>
          <a:ext cx="1295400" cy="6762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対象期間</a:t>
          </a:r>
          <a:endParaRPr kumimoji="1" lang="en-US" altLang="ja-JP" sz="1100"/>
        </a:p>
        <a:p>
          <a:pPr algn="ctr"/>
          <a:r>
            <a:rPr kumimoji="1" lang="en-US" altLang="ja-JP" sz="1100"/>
            <a:t>DF</a:t>
          </a:r>
        </a:p>
      </xdr:txBody>
    </xdr:sp>
    <xdr:clientData/>
  </xdr:twoCellAnchor>
  <xdr:twoCellAnchor>
    <xdr:from>
      <xdr:col>1</xdr:col>
      <xdr:colOff>723900</xdr:colOff>
      <xdr:row>143</xdr:row>
      <xdr:rowOff>128588</xdr:rowOff>
    </xdr:from>
    <xdr:to>
      <xdr:col>2</xdr:col>
      <xdr:colOff>800100</xdr:colOff>
      <xdr:row>143</xdr:row>
      <xdr:rowOff>128588</xdr:rowOff>
    </xdr:to>
    <xdr:cxnSp macro="">
      <xdr:nvCxnSpPr>
        <xdr:cNvPr id="6" name="直線矢印コネクタ 5"/>
        <xdr:cNvCxnSpPr>
          <a:stCxn id="2" idx="3"/>
          <a:endCxn id="3" idx="1"/>
        </xdr:cNvCxnSpPr>
      </xdr:nvCxnSpPr>
      <xdr:spPr>
        <a:xfrm>
          <a:off x="1914525" y="23302913"/>
          <a:ext cx="1266825" cy="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676275</xdr:colOff>
      <xdr:row>148</xdr:row>
      <xdr:rowOff>95250</xdr:rowOff>
    </xdr:from>
    <xdr:to>
      <xdr:col>1</xdr:col>
      <xdr:colOff>781050</xdr:colOff>
      <xdr:row>153</xdr:row>
      <xdr:rowOff>57150</xdr:rowOff>
    </xdr:to>
    <xdr:sp macro="" textlink="">
      <xdr:nvSpPr>
        <xdr:cNvPr id="8" name="角丸四角形 7"/>
        <xdr:cNvSpPr/>
      </xdr:nvSpPr>
      <xdr:spPr>
        <a:xfrm>
          <a:off x="676275" y="23841075"/>
          <a:ext cx="1295400" cy="6762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利付債</a:t>
          </a:r>
          <a:endParaRPr kumimoji="1" lang="en-US" altLang="ja-JP" sz="1100"/>
        </a:p>
        <a:p>
          <a:pPr algn="ctr"/>
          <a:r>
            <a:rPr kumimoji="1" lang="ja-JP" altLang="en-US" sz="1100"/>
            <a:t>理論価格</a:t>
          </a:r>
        </a:p>
      </xdr:txBody>
    </xdr:sp>
    <xdr:clientData/>
  </xdr:twoCellAnchor>
  <xdr:twoCellAnchor>
    <xdr:from>
      <xdr:col>2</xdr:col>
      <xdr:colOff>771525</xdr:colOff>
      <xdr:row>148</xdr:row>
      <xdr:rowOff>95250</xdr:rowOff>
    </xdr:from>
    <xdr:to>
      <xdr:col>3</xdr:col>
      <xdr:colOff>876300</xdr:colOff>
      <xdr:row>153</xdr:row>
      <xdr:rowOff>57150</xdr:rowOff>
    </xdr:to>
    <xdr:sp macro="" textlink="">
      <xdr:nvSpPr>
        <xdr:cNvPr id="9" name="角丸四角形 8"/>
        <xdr:cNvSpPr/>
      </xdr:nvSpPr>
      <xdr:spPr>
        <a:xfrm>
          <a:off x="3152775" y="23841075"/>
          <a:ext cx="1295400" cy="6762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割引債</a:t>
          </a:r>
          <a:endParaRPr kumimoji="1" lang="en-US" altLang="ja-JP" sz="1100"/>
        </a:p>
        <a:p>
          <a:pPr algn="ctr"/>
          <a:r>
            <a:rPr kumimoji="1" lang="ja-JP" altLang="en-US" sz="1100"/>
            <a:t>理論価格</a:t>
          </a:r>
        </a:p>
      </xdr:txBody>
    </xdr:sp>
    <xdr:clientData/>
  </xdr:twoCellAnchor>
  <xdr:twoCellAnchor>
    <xdr:from>
      <xdr:col>4</xdr:col>
      <xdr:colOff>28575</xdr:colOff>
      <xdr:row>148</xdr:row>
      <xdr:rowOff>76200</xdr:rowOff>
    </xdr:from>
    <xdr:to>
      <xdr:col>4</xdr:col>
      <xdr:colOff>1323975</xdr:colOff>
      <xdr:row>153</xdr:row>
      <xdr:rowOff>38100</xdr:rowOff>
    </xdr:to>
    <xdr:sp macro="" textlink="">
      <xdr:nvSpPr>
        <xdr:cNvPr id="10" name="角丸四角形 9"/>
        <xdr:cNvSpPr/>
      </xdr:nvSpPr>
      <xdr:spPr>
        <a:xfrm>
          <a:off x="4791075" y="23822025"/>
          <a:ext cx="1295400" cy="6762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割引債</a:t>
          </a:r>
          <a:endParaRPr kumimoji="1" lang="en-US" altLang="ja-JP" sz="1100"/>
        </a:p>
        <a:p>
          <a:pPr algn="ctr"/>
          <a:r>
            <a:rPr kumimoji="1" lang="ja-JP" altLang="en-US" sz="1100"/>
            <a:t>理論価格</a:t>
          </a:r>
        </a:p>
      </xdr:txBody>
    </xdr:sp>
    <xdr:clientData/>
  </xdr:twoCellAnchor>
  <xdr:twoCellAnchor>
    <xdr:from>
      <xdr:col>5</xdr:col>
      <xdr:colOff>285750</xdr:colOff>
      <xdr:row>148</xdr:row>
      <xdr:rowOff>47625</xdr:rowOff>
    </xdr:from>
    <xdr:to>
      <xdr:col>6</xdr:col>
      <xdr:colOff>276225</xdr:colOff>
      <xdr:row>153</xdr:row>
      <xdr:rowOff>9525</xdr:rowOff>
    </xdr:to>
    <xdr:sp macro="" textlink="">
      <xdr:nvSpPr>
        <xdr:cNvPr id="11" name="角丸四角形 10"/>
        <xdr:cNvSpPr/>
      </xdr:nvSpPr>
      <xdr:spPr>
        <a:xfrm>
          <a:off x="6429375" y="23793450"/>
          <a:ext cx="1295400" cy="6762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割引債</a:t>
          </a:r>
          <a:endParaRPr kumimoji="1" lang="en-US" altLang="ja-JP" sz="1100"/>
        </a:p>
        <a:p>
          <a:pPr algn="ctr"/>
          <a:r>
            <a:rPr kumimoji="1" lang="ja-JP" altLang="en-US" sz="1100"/>
            <a:t>理論価格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09"/>
  <sheetViews>
    <sheetView showGridLines="0" topLeftCell="A161" zoomScaleNormal="100" workbookViewId="0">
      <selection activeCell="G192" sqref="G192"/>
    </sheetView>
  </sheetViews>
  <sheetFormatPr defaultRowHeight="11.25"/>
  <cols>
    <col min="1" max="4" width="15.625" style="99" customWidth="1"/>
    <col min="5" max="5" width="18.125" style="99" customWidth="1"/>
    <col min="6" max="6" width="17.125" style="99" customWidth="1"/>
    <col min="7" max="50" width="15.625" style="99" customWidth="1"/>
    <col min="51" max="16384" width="9" style="99"/>
  </cols>
  <sheetData>
    <row r="1" spans="1:9" ht="24">
      <c r="A1" s="98" t="s">
        <v>208</v>
      </c>
    </row>
    <row r="4" spans="1:9" ht="18.75">
      <c r="A4" s="134" t="s">
        <v>224</v>
      </c>
      <c r="G4" s="103" t="s">
        <v>0</v>
      </c>
      <c r="H4" s="104"/>
      <c r="I4" s="104"/>
    </row>
    <row r="5" spans="1:9" ht="13.5">
      <c r="A5" s="101" t="s">
        <v>215</v>
      </c>
      <c r="B5" s="101" t="s">
        <v>213</v>
      </c>
      <c r="C5" s="101" t="s">
        <v>209</v>
      </c>
      <c r="D5" s="101" t="s">
        <v>211</v>
      </c>
      <c r="E5" s="102" t="s">
        <v>212</v>
      </c>
      <c r="G5" s="108" t="s">
        <v>1</v>
      </c>
      <c r="H5" s="109"/>
      <c r="I5" s="110"/>
    </row>
    <row r="6" spans="1:9" ht="13.5">
      <c r="A6" s="105">
        <v>100000000</v>
      </c>
      <c r="B6" s="106">
        <v>5</v>
      </c>
      <c r="C6" s="107">
        <v>1.4999999999999999E-2</v>
      </c>
      <c r="D6" s="106">
        <v>2</v>
      </c>
      <c r="E6" s="116">
        <f>A6 * ( (1+C6/D6)^(B6*D6) )</f>
        <v>107758254.54707402</v>
      </c>
      <c r="F6" s="99" t="s">
        <v>8</v>
      </c>
      <c r="G6" s="111"/>
      <c r="H6" s="112"/>
      <c r="I6" s="113"/>
    </row>
    <row r="7" spans="1:9">
      <c r="A7" s="105">
        <v>100000000</v>
      </c>
      <c r="B7" s="106">
        <v>1.5</v>
      </c>
      <c r="C7" s="107">
        <v>5.4999999999999997E-3</v>
      </c>
      <c r="D7" s="106">
        <v>4</v>
      </c>
      <c r="E7" s="116">
        <f>A7 * ( (1+C7/D7)^(B7*D7) )</f>
        <v>100827841.1420833</v>
      </c>
      <c r="F7" s="99" t="s">
        <v>12</v>
      </c>
    </row>
    <row r="8" spans="1:9" ht="13.5">
      <c r="A8" s="105">
        <v>100000000</v>
      </c>
      <c r="B8" s="106">
        <v>2</v>
      </c>
      <c r="C8" s="107">
        <v>1.7999999999999999E-2</v>
      </c>
      <c r="D8" s="106">
        <f>3600 * 24 * 365</f>
        <v>31536000</v>
      </c>
      <c r="E8" s="116">
        <f>A8 * ( (1+C8/D8)^(B8*D8) )</f>
        <v>103665585.01412231</v>
      </c>
      <c r="F8" s="99" t="s">
        <v>10</v>
      </c>
      <c r="G8" s="114"/>
      <c r="H8" s="114"/>
      <c r="I8" s="114"/>
    </row>
    <row r="9" spans="1:9" ht="13.5">
      <c r="A9" s="105"/>
      <c r="B9" s="106"/>
      <c r="C9" s="107"/>
      <c r="D9" s="106"/>
      <c r="E9" s="116" t="e">
        <f>A9 * ( (1+C9/D9)^(B9*D9) )</f>
        <v>#DIV/0!</v>
      </c>
      <c r="G9" s="114"/>
      <c r="H9" s="114"/>
      <c r="I9" s="114"/>
    </row>
    <row r="10" spans="1:9">
      <c r="E10" s="115" t="s">
        <v>214</v>
      </c>
    </row>
    <row r="14" spans="1:9" ht="18.75">
      <c r="A14" s="134" t="s">
        <v>225</v>
      </c>
      <c r="G14" s="10" t="s">
        <v>16</v>
      </c>
      <c r="H14"/>
      <c r="I14"/>
    </row>
    <row r="15" spans="1:9" ht="13.5">
      <c r="A15" s="101" t="s">
        <v>215</v>
      </c>
      <c r="B15" s="101" t="s">
        <v>213</v>
      </c>
      <c r="C15" s="101" t="s">
        <v>209</v>
      </c>
      <c r="D15" s="102" t="s">
        <v>212</v>
      </c>
      <c r="G15" s="1" t="s">
        <v>17</v>
      </c>
      <c r="H15" s="2"/>
      <c r="I15" s="3"/>
    </row>
    <row r="16" spans="1:9" ht="13.5">
      <c r="A16" s="105">
        <v>100000000</v>
      </c>
      <c r="B16" s="106">
        <v>5</v>
      </c>
      <c r="C16" s="107">
        <v>1.4999999999999999E-2</v>
      </c>
      <c r="D16" s="116">
        <f>A16 * EXP(B16*C16)</f>
        <v>107788415.08846316</v>
      </c>
      <c r="E16" s="99" t="s">
        <v>16</v>
      </c>
      <c r="G16" s="4" t="s">
        <v>18</v>
      </c>
      <c r="H16" s="5"/>
      <c r="I16" s="6"/>
    </row>
    <row r="17" spans="1:13">
      <c r="A17" s="105"/>
      <c r="B17" s="106"/>
      <c r="C17" s="107"/>
      <c r="D17" s="116">
        <f>A17 * EXP(B17*C17)</f>
        <v>0</v>
      </c>
    </row>
    <row r="18" spans="1:13">
      <c r="D18" s="117" t="s">
        <v>216</v>
      </c>
    </row>
    <row r="22" spans="1:13" ht="18.75">
      <c r="A22" s="134" t="s">
        <v>223</v>
      </c>
      <c r="J22" s="10" t="s">
        <v>223</v>
      </c>
      <c r="K22"/>
      <c r="L22"/>
      <c r="M22"/>
    </row>
    <row r="23" spans="1:13" ht="13.5">
      <c r="A23" s="100" t="s">
        <v>226</v>
      </c>
      <c r="J23" s="1" t="s">
        <v>24</v>
      </c>
      <c r="K23" s="2"/>
      <c r="L23" s="2"/>
      <c r="M23" s="3"/>
    </row>
    <row r="24" spans="1:13" ht="13.5">
      <c r="A24" s="99" t="s">
        <v>220</v>
      </c>
      <c r="J24" s="21" t="s">
        <v>25</v>
      </c>
      <c r="K24" s="22"/>
      <c r="L24" s="22"/>
      <c r="M24" s="23"/>
    </row>
    <row r="25" spans="1:13" ht="13.5">
      <c r="A25" s="25" t="s">
        <v>27</v>
      </c>
      <c r="B25" s="25" t="s">
        <v>28</v>
      </c>
      <c r="C25" s="25" t="s">
        <v>4</v>
      </c>
      <c r="D25" s="93" t="s">
        <v>30</v>
      </c>
      <c r="E25" s="25" t="s">
        <v>221</v>
      </c>
      <c r="F25" s="92"/>
      <c r="G25" s="25" t="s">
        <v>31</v>
      </c>
      <c r="H25" s="94" t="s">
        <v>6</v>
      </c>
      <c r="I25" s="92"/>
      <c r="J25" s="21"/>
      <c r="K25" s="22"/>
      <c r="L25" s="22"/>
      <c r="M25" s="23"/>
    </row>
    <row r="26" spans="1:13" ht="13.5">
      <c r="A26" s="95">
        <v>98</v>
      </c>
      <c r="B26" s="97">
        <v>1.4500000000000001E-2</v>
      </c>
      <c r="C26" s="96">
        <v>2</v>
      </c>
      <c r="D26" s="96">
        <v>1</v>
      </c>
      <c r="E26" s="118">
        <f>B26/D26</f>
        <v>1.4500000000000001E-2</v>
      </c>
      <c r="F26" s="92"/>
      <c r="G26" s="119">
        <f>A26*(-1)</f>
        <v>-98</v>
      </c>
      <c r="H26" s="120">
        <f>IRR(G26:G28) * D26</f>
        <v>1.0152544552210596E-2</v>
      </c>
      <c r="I26" s="92"/>
      <c r="J26" s="21" t="s">
        <v>26</v>
      </c>
      <c r="K26" s="22"/>
      <c r="L26" s="22"/>
      <c r="M26" s="23"/>
    </row>
    <row r="27" spans="1:13" ht="13.5">
      <c r="A27" s="92"/>
      <c r="B27" s="92"/>
      <c r="C27" s="92"/>
      <c r="D27" s="92"/>
      <c r="E27" s="92"/>
      <c r="F27" s="92"/>
      <c r="G27" s="119">
        <f>100*$F$56</f>
        <v>0</v>
      </c>
      <c r="H27" s="92"/>
      <c r="I27" s="92"/>
      <c r="J27" s="21" t="s">
        <v>25</v>
      </c>
      <c r="K27" s="22"/>
      <c r="L27" s="22"/>
      <c r="M27" s="23"/>
    </row>
    <row r="28" spans="1:13" ht="13.5">
      <c r="A28" s="92"/>
      <c r="B28" s="92"/>
      <c r="C28" s="92"/>
      <c r="D28" s="92"/>
      <c r="E28" s="92"/>
      <c r="F28" s="92"/>
      <c r="G28" s="119">
        <f>100*$F$56 + 100</f>
        <v>100</v>
      </c>
      <c r="H28" s="92"/>
      <c r="I28" s="92"/>
      <c r="J28" s="4"/>
      <c r="K28" s="5"/>
      <c r="L28" s="5"/>
      <c r="M28" s="6"/>
    </row>
    <row r="29" spans="1:13">
      <c r="A29" s="127" t="s">
        <v>218</v>
      </c>
      <c r="B29" s="92"/>
      <c r="C29" s="92"/>
      <c r="D29" s="92"/>
      <c r="E29" s="92"/>
      <c r="F29" s="92"/>
      <c r="G29" s="92"/>
      <c r="H29" s="92"/>
      <c r="I29" s="92"/>
    </row>
    <row r="30" spans="1:13">
      <c r="A30" s="25" t="s">
        <v>27</v>
      </c>
      <c r="B30" s="25" t="s">
        <v>28</v>
      </c>
      <c r="C30" s="25" t="s">
        <v>4</v>
      </c>
      <c r="D30" s="93" t="s">
        <v>30</v>
      </c>
      <c r="E30" s="25" t="s">
        <v>221</v>
      </c>
      <c r="F30" s="92"/>
      <c r="G30" s="25" t="s">
        <v>31</v>
      </c>
      <c r="H30" s="94" t="s">
        <v>6</v>
      </c>
      <c r="I30" s="92"/>
    </row>
    <row r="31" spans="1:13">
      <c r="A31" s="121">
        <v>100</v>
      </c>
      <c r="B31" s="125">
        <v>2.5000000000000001E-2</v>
      </c>
      <c r="C31" s="96">
        <v>2</v>
      </c>
      <c r="D31" s="96">
        <v>1</v>
      </c>
      <c r="E31" s="126">
        <f>B31/D31</f>
        <v>2.5000000000000001E-2</v>
      </c>
      <c r="F31" s="92"/>
      <c r="G31" s="119">
        <f>A31*(-1)</f>
        <v>-100</v>
      </c>
      <c r="H31" s="120">
        <f>IRR(G31:G33) * D31</f>
        <v>2.5000000000000133E-2</v>
      </c>
      <c r="I31" s="92"/>
      <c r="J31" s="92"/>
    </row>
    <row r="32" spans="1:13">
      <c r="A32" s="92"/>
      <c r="B32" s="92"/>
      <c r="C32" s="92"/>
      <c r="D32" s="92"/>
      <c r="E32" s="92"/>
      <c r="F32" s="92"/>
      <c r="G32" s="119">
        <f>100*E31</f>
        <v>2.5</v>
      </c>
      <c r="H32" s="92"/>
      <c r="I32" s="92"/>
      <c r="J32" s="92"/>
    </row>
    <row r="33" spans="1:10">
      <c r="A33" s="92" t="s">
        <v>32</v>
      </c>
      <c r="B33" s="92"/>
      <c r="C33" s="92"/>
      <c r="D33" s="92"/>
      <c r="E33" s="92"/>
      <c r="F33" s="92"/>
      <c r="G33" s="119">
        <f>100*E31 + 100</f>
        <v>102.5</v>
      </c>
      <c r="H33" s="92"/>
      <c r="I33" s="92"/>
      <c r="J33" s="92"/>
    </row>
    <row r="34" spans="1:10">
      <c r="A34" s="92" t="s">
        <v>33</v>
      </c>
      <c r="B34" s="92"/>
      <c r="C34" s="92"/>
      <c r="D34" s="92"/>
      <c r="E34" s="92"/>
      <c r="F34" s="92"/>
      <c r="G34" s="92"/>
      <c r="H34" s="92"/>
      <c r="I34" s="92"/>
      <c r="J34" s="92"/>
    </row>
    <row r="35" spans="1:10">
      <c r="F35" s="92"/>
      <c r="G35" s="92"/>
      <c r="H35" s="92"/>
      <c r="I35" s="92"/>
      <c r="J35" s="92"/>
    </row>
    <row r="36" spans="1:10">
      <c r="A36" s="92"/>
      <c r="B36" s="92"/>
      <c r="C36" s="92"/>
      <c r="D36" s="92"/>
      <c r="E36" s="92"/>
      <c r="F36" s="92"/>
      <c r="G36" s="92"/>
      <c r="H36" s="92"/>
      <c r="I36" s="92"/>
      <c r="J36" s="92"/>
    </row>
    <row r="37" spans="1:10">
      <c r="A37" s="92" t="s">
        <v>219</v>
      </c>
      <c r="B37" s="92"/>
      <c r="C37" s="92"/>
      <c r="D37" s="92"/>
      <c r="E37" s="92"/>
      <c r="F37" s="92"/>
      <c r="G37" s="92"/>
      <c r="H37" s="92"/>
      <c r="I37" s="92"/>
      <c r="J37" s="92"/>
    </row>
    <row r="38" spans="1:10">
      <c r="A38" s="25" t="s">
        <v>27</v>
      </c>
      <c r="B38" s="25" t="s">
        <v>28</v>
      </c>
      <c r="C38" s="25" t="s">
        <v>4</v>
      </c>
      <c r="D38" s="93" t="s">
        <v>30</v>
      </c>
      <c r="E38" s="25" t="s">
        <v>221</v>
      </c>
      <c r="F38" s="92"/>
      <c r="G38" s="25" t="s">
        <v>31</v>
      </c>
      <c r="H38" s="94" t="s">
        <v>6</v>
      </c>
      <c r="I38" s="92"/>
      <c r="J38" s="92"/>
    </row>
    <row r="39" spans="1:10" ht="12">
      <c r="A39" s="122">
        <v>95</v>
      </c>
      <c r="B39" s="97">
        <v>0.03</v>
      </c>
      <c r="C39" s="96">
        <v>2</v>
      </c>
      <c r="D39" s="130">
        <v>2</v>
      </c>
      <c r="E39" s="128">
        <f>B39/D39</f>
        <v>1.4999999999999999E-2</v>
      </c>
      <c r="F39" s="131" t="s">
        <v>217</v>
      </c>
      <c r="G39" s="119">
        <f>A39*(-1)</f>
        <v>-95</v>
      </c>
      <c r="H39" s="133">
        <f>IRR(G39:G43) * D39</f>
        <v>5.679984316637432E-2</v>
      </c>
      <c r="I39" s="92"/>
      <c r="J39" s="92"/>
    </row>
    <row r="40" spans="1:10">
      <c r="A40" s="92"/>
      <c r="B40" s="92"/>
      <c r="C40" s="92"/>
      <c r="D40" s="92"/>
      <c r="E40" s="129" t="s">
        <v>222</v>
      </c>
      <c r="F40" s="92"/>
      <c r="G40" s="119">
        <f>100*E39</f>
        <v>1.5</v>
      </c>
      <c r="H40" s="92"/>
      <c r="I40" s="92"/>
      <c r="J40" s="92"/>
    </row>
    <row r="41" spans="1:10">
      <c r="A41" s="92"/>
      <c r="B41" s="92"/>
      <c r="C41" s="92"/>
      <c r="D41" s="92"/>
      <c r="E41" s="123" t="s">
        <v>35</v>
      </c>
      <c r="F41" s="92"/>
      <c r="G41" s="119">
        <f>100*E39</f>
        <v>1.5</v>
      </c>
      <c r="H41" s="92"/>
      <c r="I41" s="92"/>
      <c r="J41" s="92"/>
    </row>
    <row r="42" spans="1:10">
      <c r="A42" s="92"/>
      <c r="B42" s="92"/>
      <c r="C42" s="92"/>
      <c r="D42" s="92"/>
      <c r="F42" s="92"/>
      <c r="G42" s="119">
        <f>100*E39</f>
        <v>1.5</v>
      </c>
      <c r="H42" s="92"/>
      <c r="I42" s="92"/>
      <c r="J42" s="92"/>
    </row>
    <row r="43" spans="1:10">
      <c r="A43" s="92"/>
      <c r="B43" s="92"/>
      <c r="C43" s="92"/>
      <c r="D43" s="92"/>
      <c r="E43" s="92"/>
      <c r="F43" s="92"/>
      <c r="G43" s="119">
        <f>100*E39 + 100</f>
        <v>101.5</v>
      </c>
      <c r="H43" s="92"/>
      <c r="I43" s="92"/>
      <c r="J43" s="92"/>
    </row>
    <row r="44" spans="1:10">
      <c r="A44" s="92"/>
      <c r="B44" s="92"/>
      <c r="C44" s="92"/>
      <c r="D44" s="92"/>
      <c r="E44" s="92"/>
      <c r="F44" s="92"/>
      <c r="G44" s="132" t="s">
        <v>36</v>
      </c>
      <c r="H44" s="92"/>
      <c r="I44" s="92"/>
      <c r="J44" s="92"/>
    </row>
    <row r="45" spans="1:10">
      <c r="A45" s="92"/>
      <c r="B45" s="92"/>
      <c r="C45" s="92"/>
      <c r="D45" s="92"/>
      <c r="E45" s="92"/>
      <c r="F45" s="92"/>
      <c r="H45" s="131"/>
      <c r="I45" s="92"/>
      <c r="J45" s="92"/>
    </row>
    <row r="46" spans="1:10">
      <c r="A46" s="92"/>
      <c r="B46" s="92"/>
      <c r="C46" s="92"/>
      <c r="D46" s="92"/>
      <c r="E46" s="92"/>
      <c r="F46" s="92"/>
      <c r="G46" s="124"/>
      <c r="H46" s="92"/>
      <c r="I46" s="92"/>
      <c r="J46" s="92"/>
    </row>
    <row r="48" spans="1:10" ht="17.25">
      <c r="A48" s="10" t="s">
        <v>46</v>
      </c>
      <c r="B48"/>
      <c r="C48"/>
    </row>
    <row r="49" spans="1:12" ht="13.5">
      <c r="A49" s="33" t="s">
        <v>37</v>
      </c>
      <c r="B49" s="33" t="s">
        <v>38</v>
      </c>
      <c r="C49" s="33" t="s">
        <v>39</v>
      </c>
    </row>
    <row r="50" spans="1:12" ht="13.5">
      <c r="A50" s="8" t="s">
        <v>42</v>
      </c>
      <c r="B50" s="8" t="s">
        <v>41</v>
      </c>
      <c r="C50" s="8" t="s">
        <v>40</v>
      </c>
    </row>
    <row r="51" spans="1:12" ht="13.5">
      <c r="A51" s="8" t="s">
        <v>45</v>
      </c>
      <c r="B51" s="8" t="s">
        <v>44</v>
      </c>
      <c r="C51" s="8" t="s">
        <v>43</v>
      </c>
    </row>
    <row r="53" spans="1:12">
      <c r="A53" s="135" t="s">
        <v>229</v>
      </c>
      <c r="C53" s="135" t="s">
        <v>227</v>
      </c>
    </row>
    <row r="54" spans="1:12">
      <c r="A54" s="99" t="s">
        <v>230</v>
      </c>
      <c r="C54" s="135" t="s">
        <v>228</v>
      </c>
    </row>
    <row r="60" spans="1:12" ht="17.25">
      <c r="A60" s="10" t="s">
        <v>231</v>
      </c>
      <c r="G60" s="10" t="s">
        <v>47</v>
      </c>
    </row>
    <row r="61" spans="1:12">
      <c r="A61" s="100" t="s">
        <v>232</v>
      </c>
    </row>
    <row r="62" spans="1:12" ht="13.5">
      <c r="A62" s="145" t="s">
        <v>27</v>
      </c>
      <c r="B62" s="9" t="s">
        <v>4</v>
      </c>
      <c r="C62" s="25" t="s">
        <v>30</v>
      </c>
      <c r="D62" s="13" t="s">
        <v>47</v>
      </c>
      <c r="G62" t="s">
        <v>48</v>
      </c>
      <c r="H62"/>
      <c r="I62"/>
      <c r="J62"/>
      <c r="L62"/>
    </row>
    <row r="63" spans="1:12" ht="13.5">
      <c r="A63" s="34">
        <v>98.38</v>
      </c>
      <c r="B63" s="8">
        <v>2</v>
      </c>
      <c r="C63" s="8">
        <v>1</v>
      </c>
      <c r="D63" s="35">
        <f t="shared" ref="D63:D68" si="0">( (100/A63) ^ ( 1/(C63*B63) )  - 1 ) * C63</f>
        <v>8.1997627141645602E-3</v>
      </c>
      <c r="E63" s="99" t="s">
        <v>235</v>
      </c>
      <c r="G63" s="1" t="s">
        <v>50</v>
      </c>
      <c r="H63" s="2"/>
      <c r="I63" s="3"/>
      <c r="L63"/>
    </row>
    <row r="64" spans="1:12" ht="13.5">
      <c r="A64" s="34">
        <v>98.38</v>
      </c>
      <c r="B64" s="8">
        <v>2</v>
      </c>
      <c r="C64" s="8">
        <v>2</v>
      </c>
      <c r="D64" s="141">
        <f t="shared" si="0"/>
        <v>8.1830222508751937E-3</v>
      </c>
      <c r="E64" s="99" t="s">
        <v>236</v>
      </c>
      <c r="G64" s="4" t="s">
        <v>296</v>
      </c>
      <c r="H64" s="5"/>
      <c r="I64" s="6"/>
      <c r="J64" t="s">
        <v>297</v>
      </c>
      <c r="L64"/>
    </row>
    <row r="65" spans="1:10" ht="13.5">
      <c r="A65" s="34">
        <v>98.38</v>
      </c>
      <c r="B65" s="8">
        <v>2</v>
      </c>
      <c r="C65" s="8">
        <v>4</v>
      </c>
      <c r="D65" s="141">
        <f t="shared" si="0"/>
        <v>8.1746690990156523E-3</v>
      </c>
      <c r="E65" s="99" t="s">
        <v>237</v>
      </c>
    </row>
    <row r="66" spans="1:10" ht="13.5">
      <c r="A66" s="34">
        <v>98.38</v>
      </c>
      <c r="B66" s="8">
        <v>2</v>
      </c>
      <c r="C66" s="8">
        <v>365</v>
      </c>
      <c r="D66" s="141">
        <f t="shared" si="0"/>
        <v>8.1664186658025884E-3</v>
      </c>
      <c r="E66" s="143" t="s">
        <v>238</v>
      </c>
      <c r="G66" s="99" t="s">
        <v>233</v>
      </c>
    </row>
    <row r="67" spans="1:10" ht="13.5">
      <c r="A67" s="34">
        <v>98.38</v>
      </c>
      <c r="B67" s="8">
        <v>2</v>
      </c>
      <c r="C67" s="8">
        <f>3600*24*365</f>
        <v>31536000</v>
      </c>
      <c r="D67" s="141">
        <f t="shared" si="0"/>
        <v>8.1663303639345486E-3</v>
      </c>
      <c r="E67" s="124" t="s">
        <v>239</v>
      </c>
      <c r="F67" s="92"/>
      <c r="G67" s="1" t="s">
        <v>54</v>
      </c>
      <c r="H67" s="136"/>
      <c r="I67" s="136"/>
      <c r="J67" s="137"/>
    </row>
    <row r="68" spans="1:10" ht="13.5">
      <c r="A68" s="34"/>
      <c r="B68" s="8"/>
      <c r="C68" s="8"/>
      <c r="D68" s="141" t="e">
        <f t="shared" si="0"/>
        <v>#DIV/0!</v>
      </c>
      <c r="G68" s="138"/>
      <c r="H68" s="139"/>
      <c r="I68" s="139"/>
      <c r="J68" s="140"/>
    </row>
    <row r="70" spans="1:10">
      <c r="D70" s="142" t="s">
        <v>234</v>
      </c>
    </row>
    <row r="71" spans="1:10">
      <c r="D71" s="144" t="s">
        <v>52</v>
      </c>
    </row>
    <row r="73" spans="1:10" ht="17.25">
      <c r="A73" s="10" t="s">
        <v>252</v>
      </c>
    </row>
    <row r="74" spans="1:10">
      <c r="A74" s="100" t="s">
        <v>241</v>
      </c>
    </row>
    <row r="75" spans="1:10" ht="13.5">
      <c r="A75" s="13" t="s">
        <v>27</v>
      </c>
      <c r="B75" s="9" t="s">
        <v>4</v>
      </c>
      <c r="C75" s="25" t="s">
        <v>30</v>
      </c>
      <c r="D75" s="145" t="s">
        <v>47</v>
      </c>
    </row>
    <row r="76" spans="1:10" ht="13.5">
      <c r="A76" s="34">
        <f>100 / ( ( 1 + D76/C76 )^(B76*C76) )</f>
        <v>98.38000000000001</v>
      </c>
      <c r="B76" s="8">
        <v>2</v>
      </c>
      <c r="C76" s="8">
        <v>1</v>
      </c>
      <c r="D76" s="35">
        <v>8.1997627141645602E-3</v>
      </c>
      <c r="E76" s="99" t="s">
        <v>235</v>
      </c>
    </row>
    <row r="77" spans="1:10" ht="13.5">
      <c r="A77" s="34">
        <f t="shared" ref="A77:A79" si="1">100 / ( ( 1 + D77/C77 )^(B77*C77) )</f>
        <v>98.379999999999967</v>
      </c>
      <c r="B77" s="8">
        <v>2</v>
      </c>
      <c r="C77" s="8">
        <v>2</v>
      </c>
      <c r="D77" s="141">
        <v>8.1830222508751937E-3</v>
      </c>
      <c r="E77" s="99" t="s">
        <v>236</v>
      </c>
    </row>
    <row r="78" spans="1:10" ht="13.5">
      <c r="A78" s="34">
        <f t="shared" si="1"/>
        <v>98.379999999999882</v>
      </c>
      <c r="B78" s="8">
        <v>2</v>
      </c>
      <c r="C78" s="8">
        <v>4</v>
      </c>
      <c r="D78" s="141">
        <v>8.1746690990156523E-3</v>
      </c>
      <c r="E78" s="99" t="s">
        <v>237</v>
      </c>
    </row>
    <row r="79" spans="1:10" ht="13.5">
      <c r="A79" s="34">
        <f t="shared" si="1"/>
        <v>98.379999999995633</v>
      </c>
      <c r="B79" s="8">
        <v>2</v>
      </c>
      <c r="C79" s="8">
        <v>365</v>
      </c>
      <c r="D79" s="141">
        <v>8.1664186658025884E-3</v>
      </c>
      <c r="E79" s="143" t="s">
        <v>238</v>
      </c>
    </row>
    <row r="80" spans="1:10" ht="13.5">
      <c r="A80" s="147">
        <f>100 / ( ( 1 + D80/C80 )^(B80*C80) )</f>
        <v>98.379999413995449</v>
      </c>
      <c r="B80" s="8">
        <v>2</v>
      </c>
      <c r="C80" s="8">
        <f>3600*24*365</f>
        <v>31536000</v>
      </c>
      <c r="D80" s="141">
        <v>8.1663303639345486E-3</v>
      </c>
      <c r="E80" s="124" t="s">
        <v>239</v>
      </c>
      <c r="F80" s="92"/>
    </row>
    <row r="81" spans="1:9" ht="13.5">
      <c r="A81" s="34"/>
      <c r="B81" s="8"/>
      <c r="C81" s="8"/>
      <c r="D81" s="141"/>
    </row>
    <row r="83" spans="1:9">
      <c r="A83" s="148" t="s">
        <v>242</v>
      </c>
      <c r="D83" s="142"/>
    </row>
    <row r="84" spans="1:9">
      <c r="A84" s="149" t="s">
        <v>243</v>
      </c>
      <c r="D84" s="144"/>
    </row>
    <row r="88" spans="1:9" ht="17.25">
      <c r="A88" s="10" t="s">
        <v>55</v>
      </c>
    </row>
    <row r="89" spans="1:9">
      <c r="A89" s="100" t="s">
        <v>244</v>
      </c>
    </row>
    <row r="90" spans="1:9" ht="13.5">
      <c r="A90" s="145" t="s">
        <v>27</v>
      </c>
      <c r="B90" s="9" t="s">
        <v>4</v>
      </c>
      <c r="C90" s="13" t="s">
        <v>47</v>
      </c>
      <c r="D90"/>
    </row>
    <row r="91" spans="1:9" ht="17.25">
      <c r="A91" s="34">
        <v>99.42</v>
      </c>
      <c r="B91" s="8">
        <v>1</v>
      </c>
      <c r="C91" s="35">
        <f>(1/B91)*LN(100/A91)</f>
        <v>5.816885321564832E-3</v>
      </c>
      <c r="D91" s="87" t="s">
        <v>16</v>
      </c>
      <c r="E91" s="10" t="s">
        <v>55</v>
      </c>
      <c r="F91"/>
      <c r="G91"/>
      <c r="H91"/>
      <c r="I91"/>
    </row>
    <row r="92" spans="1:9" ht="13.5">
      <c r="A92" s="34">
        <v>97.56</v>
      </c>
      <c r="B92" s="8">
        <v>3</v>
      </c>
      <c r="C92" s="35">
        <f>(1/B92)*LN(100/A92)</f>
        <v>8.2342042134572399E-3</v>
      </c>
      <c r="D92" s="92" t="s">
        <v>16</v>
      </c>
      <c r="E92" s="1" t="s">
        <v>56</v>
      </c>
      <c r="F92" s="2"/>
      <c r="G92" s="3"/>
      <c r="I92"/>
    </row>
    <row r="93" spans="1:9" ht="13.5">
      <c r="A93" s="34">
        <v>95.4</v>
      </c>
      <c r="B93" s="8">
        <v>3</v>
      </c>
      <c r="C93" s="141">
        <f>(1/B93)*LN(100/A93)</f>
        <v>1.5697202511283457E-2</v>
      </c>
      <c r="D93" s="92" t="s">
        <v>16</v>
      </c>
      <c r="E93" s="4" t="s">
        <v>246</v>
      </c>
      <c r="F93" s="5"/>
      <c r="G93" s="6"/>
      <c r="H93"/>
      <c r="I93"/>
    </row>
    <row r="94" spans="1:9" ht="13.5">
      <c r="A94" s="34"/>
      <c r="B94" s="8"/>
      <c r="C94" s="35" t="e">
        <f>(1/B94)*LN(100/A94)</f>
        <v>#DIV/0!</v>
      </c>
      <c r="D94"/>
      <c r="E94" t="s">
        <v>60</v>
      </c>
      <c r="F94"/>
      <c r="G94"/>
      <c r="H94"/>
      <c r="I94"/>
    </row>
    <row r="95" spans="1:9" ht="13.5">
      <c r="E95" t="s">
        <v>61</v>
      </c>
      <c r="F95"/>
      <c r="G95"/>
      <c r="H95"/>
      <c r="I95"/>
    </row>
    <row r="96" spans="1:9">
      <c r="C96" s="142" t="s">
        <v>247</v>
      </c>
    </row>
    <row r="97" spans="1:7">
      <c r="C97" s="99" t="s">
        <v>248</v>
      </c>
    </row>
    <row r="98" spans="1:7">
      <c r="E98" s="99" t="s">
        <v>245</v>
      </c>
    </row>
    <row r="99" spans="1:7" ht="13.5">
      <c r="E99" s="1" t="s">
        <v>59</v>
      </c>
      <c r="F99" s="136"/>
      <c r="G99" s="137"/>
    </row>
    <row r="100" spans="1:7" ht="17.25">
      <c r="A100" s="10" t="s">
        <v>253</v>
      </c>
      <c r="E100" s="138"/>
      <c r="F100" s="139"/>
      <c r="G100" s="140"/>
    </row>
    <row r="101" spans="1:7">
      <c r="A101" s="100" t="s">
        <v>249</v>
      </c>
    </row>
    <row r="102" spans="1:7" ht="13.5">
      <c r="A102" s="13" t="s">
        <v>27</v>
      </c>
      <c r="B102" s="9" t="s">
        <v>4</v>
      </c>
      <c r="C102" s="145" t="s">
        <v>47</v>
      </c>
    </row>
    <row r="103" spans="1:7" ht="13.5">
      <c r="A103" s="34">
        <f>100/(EXP(C103*B103))</f>
        <v>99.42</v>
      </c>
      <c r="B103" s="8">
        <v>1</v>
      </c>
      <c r="C103" s="35">
        <v>5.816885321564832E-3</v>
      </c>
      <c r="D103" s="87" t="s">
        <v>16</v>
      </c>
    </row>
    <row r="104" spans="1:7" ht="13.5">
      <c r="A104" s="34">
        <f>100/(EXP(C104*B104))</f>
        <v>97.560000000000016</v>
      </c>
      <c r="B104" s="8">
        <v>3</v>
      </c>
      <c r="C104" s="35">
        <v>8.2342042134572399E-3</v>
      </c>
      <c r="D104" s="92" t="s">
        <v>16</v>
      </c>
    </row>
    <row r="105" spans="1:7" ht="13.5">
      <c r="A105" s="147">
        <f>100/(EXP(C105*B105))</f>
        <v>95.40000000000002</v>
      </c>
      <c r="B105" s="8">
        <v>3</v>
      </c>
      <c r="C105" s="141">
        <v>1.5697202511283457E-2</v>
      </c>
      <c r="D105" s="92" t="s">
        <v>16</v>
      </c>
    </row>
    <row r="106" spans="1:7" ht="13.5">
      <c r="A106" s="34"/>
      <c r="B106" s="8"/>
      <c r="C106" s="35"/>
    </row>
    <row r="108" spans="1:7">
      <c r="A108" s="148" t="s">
        <v>251</v>
      </c>
    </row>
    <row r="109" spans="1:7">
      <c r="A109" s="99" t="s">
        <v>250</v>
      </c>
    </row>
    <row r="114" spans="1:14" ht="17.25">
      <c r="A114" s="10" t="s">
        <v>66</v>
      </c>
      <c r="B114"/>
      <c r="C114"/>
      <c r="H114" s="10" t="s">
        <v>66</v>
      </c>
    </row>
    <row r="115" spans="1:14" ht="13.5">
      <c r="A115" s="101" t="s">
        <v>255</v>
      </c>
      <c r="B115" s="101" t="s">
        <v>67</v>
      </c>
      <c r="C115" s="101" t="s">
        <v>256</v>
      </c>
      <c r="D115" s="101" t="s">
        <v>257</v>
      </c>
      <c r="E115" s="155" t="s">
        <v>258</v>
      </c>
      <c r="F115" s="154" t="s">
        <v>254</v>
      </c>
      <c r="H115" s="1" t="s">
        <v>79</v>
      </c>
      <c r="I115" s="2"/>
      <c r="J115" s="3"/>
    </row>
    <row r="116" spans="1:14" ht="12">
      <c r="A116" s="106">
        <v>1</v>
      </c>
      <c r="B116" s="107">
        <v>1.4999999999999999E-2</v>
      </c>
      <c r="C116" s="106">
        <v>1.5</v>
      </c>
      <c r="D116" s="152">
        <v>0.02</v>
      </c>
      <c r="E116" s="106">
        <v>2</v>
      </c>
      <c r="F116" s="153">
        <f>((((1+((D116)/E116))^(E116*C116))/((1+((B116)/E116))^(E116*A116)))^(1/((C116-A116)*E116))-1)*E116</f>
        <v>3.0037251630143036E-2</v>
      </c>
      <c r="G116" s="150" t="s">
        <v>8</v>
      </c>
      <c r="H116" s="200" t="s">
        <v>298</v>
      </c>
      <c r="I116" s="201"/>
      <c r="J116" s="201"/>
      <c r="K116" s="203"/>
      <c r="L116" s="204"/>
      <c r="M116" s="204"/>
      <c r="N116" s="202"/>
    </row>
    <row r="117" spans="1:14" ht="12">
      <c r="A117" s="106">
        <v>2</v>
      </c>
      <c r="B117" s="107">
        <v>8.9999999999999993E-3</v>
      </c>
      <c r="C117" s="106">
        <v>2.5</v>
      </c>
      <c r="D117" s="152">
        <v>1.0999999999999999E-2</v>
      </c>
      <c r="E117" s="106">
        <v>2</v>
      </c>
      <c r="F117" s="156">
        <f>((((1+((D117)/E117))^(E117*C117))/((1+((B117)/E117))^(E117*A117)))^(1/((C117-A117)*E117))-1)*E117</f>
        <v>1.9019930234263072E-2</v>
      </c>
      <c r="G117" s="150" t="s">
        <v>8</v>
      </c>
    </row>
    <row r="119" spans="1:14">
      <c r="F119" s="157" t="s">
        <v>259</v>
      </c>
    </row>
    <row r="122" spans="1:14" ht="17.25">
      <c r="A122" s="10" t="s">
        <v>74</v>
      </c>
      <c r="B122"/>
      <c r="C122"/>
      <c r="H122" s="10" t="s">
        <v>74</v>
      </c>
    </row>
    <row r="123" spans="1:14" ht="13.5">
      <c r="A123" s="101" t="s">
        <v>255</v>
      </c>
      <c r="B123" s="101" t="s">
        <v>67</v>
      </c>
      <c r="C123" s="101" t="s">
        <v>256</v>
      </c>
      <c r="D123" s="101" t="s">
        <v>257</v>
      </c>
      <c r="E123" s="155" t="s">
        <v>258</v>
      </c>
      <c r="F123" s="154" t="s">
        <v>254</v>
      </c>
      <c r="H123" s="1" t="s">
        <v>75</v>
      </c>
      <c r="I123" s="2"/>
      <c r="J123" s="3"/>
    </row>
    <row r="124" spans="1:14" ht="13.5">
      <c r="A124" s="106">
        <v>1</v>
      </c>
      <c r="B124" s="107">
        <v>1.4999999999999999E-2</v>
      </c>
      <c r="C124" s="106">
        <v>1.5</v>
      </c>
      <c r="D124" s="152">
        <v>0.02</v>
      </c>
      <c r="E124" s="106" t="s">
        <v>260</v>
      </c>
      <c r="F124" s="153">
        <f>( (C124*D124) - (A124*B124) ) / ( C124-A124)</f>
        <v>0.03</v>
      </c>
      <c r="G124" s="99" t="s">
        <v>16</v>
      </c>
      <c r="H124" s="4" t="s">
        <v>76</v>
      </c>
      <c r="I124" s="5"/>
      <c r="J124" s="6"/>
    </row>
    <row r="125" spans="1:14">
      <c r="A125" s="106"/>
      <c r="B125" s="107"/>
      <c r="C125" s="106"/>
      <c r="D125" s="152"/>
      <c r="E125" s="106" t="s">
        <v>260</v>
      </c>
      <c r="F125" s="156" t="e">
        <f>( (C125*D125) - (A125*B125) ) / ( C125-A125)</f>
        <v>#DIV/0!</v>
      </c>
    </row>
    <row r="127" spans="1:14">
      <c r="F127" s="157" t="s">
        <v>261</v>
      </c>
    </row>
    <row r="133" spans="1:3" s="158" customFormat="1"/>
    <row r="136" spans="1:3" ht="28.5">
      <c r="A136" s="47" t="s">
        <v>135</v>
      </c>
    </row>
    <row r="138" spans="1:3" ht="12" thickBot="1"/>
    <row r="139" spans="1:3" ht="14.25" thickBot="1">
      <c r="A139" s="58" t="s">
        <v>136</v>
      </c>
      <c r="B139" s="59"/>
      <c r="C139" s="60"/>
    </row>
    <row r="151" spans="1:6">
      <c r="C151" s="159" t="s">
        <v>262</v>
      </c>
    </row>
    <row r="155" spans="1:6">
      <c r="D155" s="99" t="s">
        <v>263</v>
      </c>
      <c r="E155" s="151" t="s">
        <v>264</v>
      </c>
      <c r="F155" s="160" t="s">
        <v>265</v>
      </c>
    </row>
    <row r="160" spans="1:6" ht="12">
      <c r="A160" s="161" t="s">
        <v>266</v>
      </c>
    </row>
    <row r="161" spans="1:8">
      <c r="A161" s="135" t="s">
        <v>108</v>
      </c>
    </row>
    <row r="162" spans="1:8" ht="17.25">
      <c r="A162" s="163" t="s">
        <v>83</v>
      </c>
      <c r="B162" s="101" t="s">
        <v>27</v>
      </c>
      <c r="C162" s="168" t="s">
        <v>110</v>
      </c>
      <c r="F162" s="10" t="s">
        <v>267</v>
      </c>
    </row>
    <row r="163" spans="1:8" ht="13.5">
      <c r="A163" s="170">
        <v>0.5</v>
      </c>
      <c r="B163" s="177">
        <v>99</v>
      </c>
      <c r="C163" s="106">
        <f>B163/100</f>
        <v>0.99</v>
      </c>
      <c r="F163" s="1" t="s">
        <v>268</v>
      </c>
      <c r="G163" s="2"/>
      <c r="H163" s="3"/>
    </row>
    <row r="164" spans="1:8" ht="13.5">
      <c r="A164" s="170">
        <v>1</v>
      </c>
      <c r="B164" s="177">
        <v>98</v>
      </c>
      <c r="C164" s="106">
        <f>B164/100</f>
        <v>0.98</v>
      </c>
      <c r="F164" s="4"/>
      <c r="G164" s="5"/>
      <c r="H164" s="6"/>
    </row>
    <row r="165" spans="1:8">
      <c r="A165" s="170">
        <v>1.5</v>
      </c>
      <c r="B165" s="177">
        <v>97</v>
      </c>
      <c r="C165" s="106">
        <f>B165/100</f>
        <v>0.97</v>
      </c>
    </row>
    <row r="166" spans="1:8" ht="17.25">
      <c r="A166" s="170">
        <v>2</v>
      </c>
      <c r="B166" s="177">
        <v>96</v>
      </c>
      <c r="C166" s="106">
        <f>B166/100</f>
        <v>0.96</v>
      </c>
      <c r="F166" s="10" t="s">
        <v>269</v>
      </c>
    </row>
    <row r="167" spans="1:8" ht="13.5">
      <c r="A167" s="151" t="s">
        <v>271</v>
      </c>
      <c r="F167" s="1" t="s">
        <v>270</v>
      </c>
      <c r="G167" s="2"/>
      <c r="H167" s="3"/>
    </row>
    <row r="168" spans="1:8" ht="13.5">
      <c r="F168" s="4"/>
      <c r="G168" s="5"/>
      <c r="H168" s="6"/>
    </row>
    <row r="169" spans="1:8">
      <c r="A169" s="99" t="s">
        <v>272</v>
      </c>
    </row>
    <row r="170" spans="1:8">
      <c r="A170" s="89" t="s">
        <v>83</v>
      </c>
      <c r="B170" s="93" t="s">
        <v>121</v>
      </c>
      <c r="C170" s="169" t="s">
        <v>273</v>
      </c>
      <c r="D170" s="172"/>
    </row>
    <row r="171" spans="1:8" ht="17.25">
      <c r="A171" s="170">
        <v>0.5</v>
      </c>
      <c r="B171" s="96">
        <v>1</v>
      </c>
      <c r="C171" s="96">
        <f>B171*C163</f>
        <v>0.99</v>
      </c>
      <c r="D171" s="164" t="s">
        <v>275</v>
      </c>
      <c r="F171" s="10" t="s">
        <v>274</v>
      </c>
    </row>
    <row r="172" spans="1:8" ht="13.5">
      <c r="A172" s="170">
        <v>1</v>
      </c>
      <c r="B172" s="96">
        <v>1</v>
      </c>
      <c r="C172" s="96">
        <f t="shared" ref="C172:C174" si="2">B172*C164</f>
        <v>0.98</v>
      </c>
      <c r="D172" s="164" t="s">
        <v>276</v>
      </c>
      <c r="F172" s="1" t="s">
        <v>291</v>
      </c>
      <c r="G172" s="2"/>
      <c r="H172" s="3"/>
    </row>
    <row r="173" spans="1:8" ht="13.5">
      <c r="A173" s="170">
        <v>1.5</v>
      </c>
      <c r="B173" s="96">
        <v>1</v>
      </c>
      <c r="C173" s="96">
        <f t="shared" si="2"/>
        <v>0.97</v>
      </c>
      <c r="D173" s="164" t="s">
        <v>277</v>
      </c>
      <c r="F173" s="4"/>
      <c r="G173" s="5"/>
      <c r="H173" s="6"/>
    </row>
    <row r="174" spans="1:8">
      <c r="A174" s="170">
        <v>2</v>
      </c>
      <c r="B174" s="96">
        <v>101</v>
      </c>
      <c r="C174" s="96">
        <f t="shared" si="2"/>
        <v>96.96</v>
      </c>
      <c r="D174" s="164" t="s">
        <v>278</v>
      </c>
    </row>
    <row r="175" spans="1:8">
      <c r="A175" s="151" t="s">
        <v>271</v>
      </c>
      <c r="B175" s="166" t="s">
        <v>274</v>
      </c>
      <c r="C175" s="165">
        <f>SUM(C171:C174)</f>
        <v>99.899999999999991</v>
      </c>
      <c r="D175" s="159" t="s">
        <v>279</v>
      </c>
    </row>
    <row r="176" spans="1:8" ht="13.5">
      <c r="E176" s="100"/>
      <c r="F176" s="173" t="s">
        <v>280</v>
      </c>
      <c r="G176" s="2"/>
      <c r="H176" s="3"/>
    </row>
    <row r="177" spans="1:11" ht="13.5">
      <c r="A177" s="99" t="s">
        <v>282</v>
      </c>
      <c r="C177" s="171"/>
      <c r="F177" s="4"/>
      <c r="G177" s="5"/>
      <c r="H177" s="6"/>
    </row>
    <row r="178" spans="1:11" ht="13.5">
      <c r="A178" s="101" t="s">
        <v>28</v>
      </c>
      <c r="B178" s="101" t="s">
        <v>281</v>
      </c>
      <c r="C178" s="166" t="s">
        <v>274</v>
      </c>
      <c r="F178" s="53"/>
      <c r="G178" s="53"/>
      <c r="H178" s="53"/>
      <c r="I178" s="175"/>
    </row>
    <row r="179" spans="1:11">
      <c r="A179" s="174">
        <v>2</v>
      </c>
      <c r="B179" s="106">
        <v>2</v>
      </c>
      <c r="C179" s="165">
        <f>(A179/B179) * SUM(C163:C166) + 100 * C166</f>
        <v>99.9</v>
      </c>
      <c r="D179" s="99" t="s">
        <v>8</v>
      </c>
    </row>
    <row r="183" spans="1:11" ht="12">
      <c r="A183" s="161" t="s">
        <v>283</v>
      </c>
      <c r="F183" s="179" t="s">
        <v>288</v>
      </c>
      <c r="G183" s="179"/>
      <c r="H183" s="179"/>
    </row>
    <row r="184" spans="1:11">
      <c r="A184" s="99" t="s">
        <v>287</v>
      </c>
      <c r="F184" s="179" t="s">
        <v>289</v>
      </c>
      <c r="G184" s="179"/>
      <c r="H184" s="179"/>
    </row>
    <row r="185" spans="1:11">
      <c r="A185" s="101" t="s">
        <v>138</v>
      </c>
      <c r="B185" s="101" t="s">
        <v>83</v>
      </c>
      <c r="C185" s="101" t="s">
        <v>139</v>
      </c>
      <c r="D185" s="101" t="s">
        <v>210</v>
      </c>
      <c r="E185" s="178" t="s">
        <v>284</v>
      </c>
      <c r="F185" s="168" t="s">
        <v>285</v>
      </c>
      <c r="G185" s="102" t="s">
        <v>240</v>
      </c>
      <c r="I185" s="99" t="s">
        <v>292</v>
      </c>
    </row>
    <row r="186" spans="1:11">
      <c r="A186" s="162" t="s">
        <v>108</v>
      </c>
      <c r="B186" s="176">
        <v>0.5</v>
      </c>
      <c r="C186" s="162"/>
      <c r="D186" s="162"/>
      <c r="E186" s="177">
        <v>99.6</v>
      </c>
      <c r="F186" s="162">
        <f>E186/100</f>
        <v>0.996</v>
      </c>
      <c r="G186" s="162">
        <f>100*F186</f>
        <v>99.6</v>
      </c>
      <c r="I186" s="186" t="s">
        <v>300</v>
      </c>
      <c r="J186" s="136"/>
      <c r="K186" s="137"/>
    </row>
    <row r="187" spans="1:11">
      <c r="A187" s="162" t="s">
        <v>141</v>
      </c>
      <c r="B187" s="176">
        <v>1</v>
      </c>
      <c r="C187" s="106">
        <v>0.8</v>
      </c>
      <c r="D187" s="162">
        <v>2</v>
      </c>
      <c r="E187" s="177">
        <v>99.784999999999997</v>
      </c>
      <c r="F187" s="180">
        <f>(E187-(C187/D187)*SUM($F$185:F186)) / (100+C187/D187)</f>
        <v>0.98990637450199204</v>
      </c>
      <c r="G187" s="162">
        <f>100*F187</f>
        <v>98.990637450199202</v>
      </c>
      <c r="I187" s="187" t="s">
        <v>301</v>
      </c>
      <c r="J187" s="188"/>
      <c r="K187" s="189"/>
    </row>
    <row r="188" spans="1:11">
      <c r="A188" s="162" t="s">
        <v>141</v>
      </c>
      <c r="B188" s="176">
        <v>1.5</v>
      </c>
      <c r="C188" s="106">
        <v>1.5</v>
      </c>
      <c r="D188" s="162">
        <v>2</v>
      </c>
      <c r="E188" s="177">
        <v>100.4</v>
      </c>
      <c r="F188" s="180">
        <f>(E188-(C188/D188)*SUM($F$185:F187)) / (100+C188/D188)</f>
        <v>0.98174263244787607</v>
      </c>
      <c r="G188" s="162">
        <f>100*F188</f>
        <v>98.17426324478761</v>
      </c>
      <c r="I188" s="187" t="s">
        <v>299</v>
      </c>
      <c r="J188" s="188"/>
      <c r="K188" s="189"/>
    </row>
    <row r="189" spans="1:11">
      <c r="A189" s="162" t="s">
        <v>141</v>
      </c>
      <c r="B189" s="176">
        <v>2</v>
      </c>
      <c r="C189" s="106">
        <v>1.2</v>
      </c>
      <c r="D189" s="162">
        <v>2</v>
      </c>
      <c r="E189" s="177">
        <v>99.8</v>
      </c>
      <c r="F189" s="181">
        <f>(E189-(C189/D189)*SUM($F$185:F188)) / (100+C189/D189)</f>
        <v>0.97434801785119374</v>
      </c>
      <c r="G189" s="162">
        <f>100*F189</f>
        <v>97.434801785119376</v>
      </c>
      <c r="I189" s="138" t="s">
        <v>302</v>
      </c>
      <c r="J189" s="139"/>
      <c r="K189" s="140"/>
    </row>
    <row r="190" spans="1:11">
      <c r="F190" s="171" t="s">
        <v>286</v>
      </c>
    </row>
    <row r="194" spans="1:13" ht="12">
      <c r="A194" s="161" t="s">
        <v>290</v>
      </c>
      <c r="F194" s="179"/>
      <c r="G194" s="179"/>
      <c r="H194" s="179"/>
    </row>
    <row r="195" spans="1:13">
      <c r="F195" s="179" t="s">
        <v>288</v>
      </c>
    </row>
    <row r="196" spans="1:13">
      <c r="F196" s="179" t="s">
        <v>289</v>
      </c>
    </row>
    <row r="197" spans="1:13">
      <c r="A197" s="101" t="s">
        <v>138</v>
      </c>
      <c r="B197" s="101" t="s">
        <v>83</v>
      </c>
      <c r="C197" s="101" t="s">
        <v>139</v>
      </c>
      <c r="D197" s="101" t="s">
        <v>210</v>
      </c>
      <c r="E197" s="178" t="s">
        <v>284</v>
      </c>
      <c r="F197" s="168" t="s">
        <v>285</v>
      </c>
      <c r="G197" s="183"/>
      <c r="I197" s="99" t="s">
        <v>206</v>
      </c>
      <c r="L197" s="99" t="s">
        <v>206</v>
      </c>
    </row>
    <row r="198" spans="1:13">
      <c r="A198" s="162" t="s">
        <v>108</v>
      </c>
      <c r="B198" s="176">
        <v>0.5</v>
      </c>
      <c r="C198" s="162"/>
      <c r="D198" s="162"/>
      <c r="E198" s="177">
        <v>99.7</v>
      </c>
      <c r="F198" s="162">
        <f>E198/100</f>
        <v>0.997</v>
      </c>
      <c r="G198" s="184"/>
      <c r="I198" s="167" t="s">
        <v>121</v>
      </c>
      <c r="J198" s="167" t="s">
        <v>111</v>
      </c>
      <c r="L198" s="167" t="s">
        <v>121</v>
      </c>
      <c r="M198" s="167" t="s">
        <v>111</v>
      </c>
    </row>
    <row r="199" spans="1:13">
      <c r="A199" s="162" t="s">
        <v>141</v>
      </c>
      <c r="B199" s="176">
        <v>1</v>
      </c>
      <c r="C199" s="106">
        <v>0.8</v>
      </c>
      <c r="D199" s="162">
        <v>2</v>
      </c>
      <c r="E199" s="177">
        <v>100</v>
      </c>
      <c r="F199" s="180">
        <f>(E199-(C199/D199)*SUM($F$197:F198)) / (100+C199/D199)</f>
        <v>0.99204382470119523</v>
      </c>
      <c r="G199" s="184"/>
      <c r="I199" s="162">
        <v>0.75</v>
      </c>
      <c r="J199" s="162">
        <f>I199*F198</f>
        <v>0.74775000000000003</v>
      </c>
      <c r="L199" s="162">
        <v>0.7</v>
      </c>
      <c r="M199" s="162">
        <f>L199*F198</f>
        <v>0.69789999999999996</v>
      </c>
    </row>
    <row r="200" spans="1:13">
      <c r="A200" s="162" t="s">
        <v>141</v>
      </c>
      <c r="B200" s="176">
        <v>1.5</v>
      </c>
      <c r="C200" s="106">
        <v>1.4</v>
      </c>
      <c r="D200" s="162">
        <v>2</v>
      </c>
      <c r="E200" s="177">
        <v>100.6</v>
      </c>
      <c r="F200" s="180">
        <f>(E200-(C200/D200)*SUM($F$197:F199)) / (100+C200/D200)</f>
        <v>0.98518043021558244</v>
      </c>
      <c r="G200" s="184"/>
      <c r="I200" s="162">
        <v>0.75</v>
      </c>
      <c r="J200" s="162">
        <f>I200*F199</f>
        <v>0.74403286852589645</v>
      </c>
      <c r="L200" s="162">
        <v>0.7</v>
      </c>
      <c r="M200" s="162">
        <f>L200*F199</f>
        <v>0.69443067729083663</v>
      </c>
    </row>
    <row r="201" spans="1:13">
      <c r="A201" s="162" t="s">
        <v>141</v>
      </c>
      <c r="B201" s="176">
        <v>2</v>
      </c>
      <c r="C201" s="106">
        <v>1.5</v>
      </c>
      <c r="D201" s="162">
        <v>2</v>
      </c>
      <c r="E201" s="177">
        <v>100.5</v>
      </c>
      <c r="F201" s="180">
        <f>(E201-(C201/D201)*SUM($F$197:F200)) / (100+C201/D201)</f>
        <v>0.97537798321401892</v>
      </c>
      <c r="G201" s="184"/>
      <c r="I201" s="162">
        <v>0.75</v>
      </c>
      <c r="J201" s="162">
        <f>I201*F200</f>
        <v>0.73888532266168683</v>
      </c>
      <c r="L201" s="162">
        <v>100.7</v>
      </c>
      <c r="M201" s="162">
        <f>L201*F200</f>
        <v>99.207669322709151</v>
      </c>
    </row>
    <row r="202" spans="1:13">
      <c r="I202" s="162">
        <v>100.75</v>
      </c>
      <c r="J202" s="162">
        <f>I202*F201</f>
        <v>98.26933180881241</v>
      </c>
      <c r="M202" s="182">
        <f>SUM(M199:M201)</f>
        <v>100.6</v>
      </c>
    </row>
    <row r="203" spans="1:13">
      <c r="A203" s="101" t="s">
        <v>138</v>
      </c>
      <c r="B203" s="101" t="s">
        <v>83</v>
      </c>
      <c r="C203" s="102" t="s">
        <v>139</v>
      </c>
      <c r="D203" s="101" t="s">
        <v>210</v>
      </c>
      <c r="E203" s="178" t="s">
        <v>284</v>
      </c>
      <c r="F203" s="183"/>
      <c r="G203" s="183"/>
      <c r="J203" s="182">
        <f>SUM(J199:J202)</f>
        <v>100.5</v>
      </c>
    </row>
    <row r="204" spans="1:13">
      <c r="A204" s="162" t="s">
        <v>141</v>
      </c>
      <c r="B204" s="176">
        <v>2</v>
      </c>
      <c r="C204" s="106">
        <f xml:space="preserve"> ( D204*E204*(1 - F201) ) / SUM(F198:F201)</f>
        <v>1.2468099470003231</v>
      </c>
      <c r="D204" s="162">
        <v>2</v>
      </c>
      <c r="E204" s="177">
        <v>100</v>
      </c>
      <c r="F204" s="185"/>
      <c r="G204" s="184"/>
    </row>
    <row r="207" spans="1:13">
      <c r="B207" s="99" t="s">
        <v>293</v>
      </c>
    </row>
    <row r="208" spans="1:13">
      <c r="B208" s="186" t="s">
        <v>294</v>
      </c>
      <c r="C208" s="136"/>
      <c r="D208" s="137"/>
    </row>
    <row r="209" spans="2:4">
      <c r="B209" s="138"/>
      <c r="C209" s="139"/>
      <c r="D209" s="14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93"/>
  <sheetViews>
    <sheetView showGridLines="0" topLeftCell="A44" workbookViewId="0">
      <selection activeCell="A57" sqref="A57:J76"/>
    </sheetView>
  </sheetViews>
  <sheetFormatPr defaultRowHeight="11.25"/>
  <cols>
    <col min="1" max="67" width="15.625" style="87" customWidth="1"/>
    <col min="68" max="16384" width="9" style="87"/>
  </cols>
  <sheetData>
    <row r="1" spans="1:5" ht="24">
      <c r="A1" s="40" t="s">
        <v>303</v>
      </c>
    </row>
    <row r="3" spans="1:5" ht="13.5">
      <c r="A3" s="79" t="s">
        <v>304</v>
      </c>
    </row>
    <row r="4" spans="1:5">
      <c r="A4" s="88">
        <v>1</v>
      </c>
      <c r="B4" s="207" t="s">
        <v>305</v>
      </c>
    </row>
    <row r="5" spans="1:5">
      <c r="A5" s="88">
        <v>2</v>
      </c>
      <c r="B5" s="207" t="s">
        <v>306</v>
      </c>
    </row>
    <row r="6" spans="1:5">
      <c r="A6" s="88">
        <v>3</v>
      </c>
      <c r="B6" s="207" t="s">
        <v>307</v>
      </c>
    </row>
    <row r="7" spans="1:5">
      <c r="A7" s="88">
        <v>4</v>
      </c>
      <c r="B7" s="207" t="s">
        <v>308</v>
      </c>
    </row>
    <row r="8" spans="1:5">
      <c r="A8" s="88">
        <v>5</v>
      </c>
      <c r="B8" s="207" t="s">
        <v>309</v>
      </c>
    </row>
    <row r="10" spans="1:5" ht="12">
      <c r="A10" s="208" t="s">
        <v>310</v>
      </c>
    </row>
    <row r="11" spans="1:5">
      <c r="A11" s="87" t="s">
        <v>311</v>
      </c>
    </row>
    <row r="12" spans="1:5">
      <c r="A12" s="87" t="s">
        <v>312</v>
      </c>
    </row>
    <row r="15" spans="1:5" ht="17.25">
      <c r="A15" s="212" t="s">
        <v>313</v>
      </c>
    </row>
    <row r="16" spans="1:5">
      <c r="A16" s="213" t="s">
        <v>315</v>
      </c>
      <c r="B16" s="209" t="s">
        <v>314</v>
      </c>
      <c r="D16" s="220" t="s">
        <v>316</v>
      </c>
      <c r="E16" s="221"/>
    </row>
    <row r="17" spans="1:6">
      <c r="A17" s="210">
        <v>3.1250000000000002E-3</v>
      </c>
      <c r="B17" s="210">
        <f>A17*365/360</f>
        <v>3.1684027777777778E-3</v>
      </c>
      <c r="D17" s="224"/>
      <c r="E17" s="225"/>
    </row>
    <row r="18" spans="1:6">
      <c r="A18" s="210">
        <v>3.0000000000000001E-3</v>
      </c>
      <c r="B18" s="210">
        <f>A18*365/360</f>
        <v>3.0416666666666665E-3</v>
      </c>
    </row>
    <row r="20" spans="1:6" ht="12">
      <c r="A20" s="208" t="s">
        <v>317</v>
      </c>
    </row>
    <row r="21" spans="1:6">
      <c r="A21" s="87" t="s">
        <v>318</v>
      </c>
    </row>
    <row r="23" spans="1:6">
      <c r="A23" s="211" t="s">
        <v>319</v>
      </c>
    </row>
    <row r="24" spans="1:6">
      <c r="A24" s="87" t="s">
        <v>320</v>
      </c>
    </row>
    <row r="25" spans="1:6">
      <c r="A25" s="87" t="s">
        <v>321</v>
      </c>
    </row>
    <row r="28" spans="1:6" ht="17.25">
      <c r="A28" s="212" t="s">
        <v>322</v>
      </c>
    </row>
    <row r="29" spans="1:6" ht="12">
      <c r="A29" s="226" t="s">
        <v>327</v>
      </c>
      <c r="B29" s="227"/>
      <c r="C29" s="227"/>
      <c r="D29" s="227"/>
      <c r="E29" s="227"/>
      <c r="F29" s="221"/>
    </row>
    <row r="30" spans="1:6" ht="12">
      <c r="A30" s="228" t="s">
        <v>323</v>
      </c>
      <c r="B30" s="229"/>
      <c r="C30" s="229"/>
      <c r="D30" s="229"/>
      <c r="E30" s="229"/>
      <c r="F30" s="223"/>
    </row>
    <row r="31" spans="1:6">
      <c r="A31" s="222"/>
      <c r="B31" s="229"/>
      <c r="C31" s="229"/>
      <c r="D31" s="229"/>
      <c r="E31" s="229"/>
      <c r="F31" s="223"/>
    </row>
    <row r="32" spans="1:6" ht="12">
      <c r="A32" s="228" t="s">
        <v>324</v>
      </c>
      <c r="B32" s="229"/>
      <c r="C32" s="229"/>
      <c r="D32" s="229"/>
      <c r="E32" s="229"/>
      <c r="F32" s="223"/>
    </row>
    <row r="33" spans="1:10" ht="12">
      <c r="A33" s="228" t="s">
        <v>325</v>
      </c>
      <c r="B33" s="229"/>
      <c r="C33" s="229"/>
      <c r="D33" s="229"/>
      <c r="E33" s="229"/>
      <c r="F33" s="223"/>
    </row>
    <row r="34" spans="1:10">
      <c r="A34" s="222"/>
      <c r="B34" s="229"/>
      <c r="C34" s="229"/>
      <c r="D34" s="229"/>
      <c r="E34" s="229"/>
      <c r="F34" s="223"/>
    </row>
    <row r="35" spans="1:10" ht="12">
      <c r="A35" s="230" t="s">
        <v>326</v>
      </c>
      <c r="B35" s="231"/>
      <c r="C35" s="231"/>
      <c r="D35" s="231"/>
      <c r="E35" s="231"/>
      <c r="F35" s="225"/>
    </row>
    <row r="38" spans="1:10" s="232" customFormat="1"/>
    <row r="39" spans="1:10" ht="24">
      <c r="A39" s="253" t="s">
        <v>382</v>
      </c>
    </row>
    <row r="41" spans="1:10" ht="21">
      <c r="A41" s="206" t="s">
        <v>332</v>
      </c>
      <c r="D41" s="87" t="s">
        <v>372</v>
      </c>
    </row>
    <row r="42" spans="1:10">
      <c r="A42" s="25" t="s">
        <v>83</v>
      </c>
      <c r="B42" s="25" t="s">
        <v>348</v>
      </c>
      <c r="C42" s="234" t="s">
        <v>110</v>
      </c>
    </row>
    <row r="43" spans="1:10">
      <c r="A43" s="88" t="s">
        <v>329</v>
      </c>
      <c r="B43" s="240">
        <v>1</v>
      </c>
      <c r="C43" s="238">
        <f>100 / (100 +  B43 * (365/360) )</f>
        <v>0.98996287639213532</v>
      </c>
      <c r="D43" s="235" t="s">
        <v>390</v>
      </c>
    </row>
    <row r="44" spans="1:10">
      <c r="A44" s="88" t="s">
        <v>330</v>
      </c>
      <c r="B44" s="240">
        <v>1.5</v>
      </c>
      <c r="C44" s="238">
        <f>(100 - (B44/1) * SUM($C$43:C43) ) / ( 100 + B44/1)</f>
        <v>0.97059168162967291</v>
      </c>
      <c r="D44" s="235" t="s">
        <v>334</v>
      </c>
    </row>
    <row r="45" spans="1:10">
      <c r="A45" s="88" t="s">
        <v>331</v>
      </c>
      <c r="B45" s="240">
        <v>2</v>
      </c>
      <c r="C45" s="238">
        <f>(100 - B45/1 * SUM($C$43:C44)) / ( 100 + B45/1)</f>
        <v>0.94194991062702338</v>
      </c>
      <c r="D45" s="235" t="s">
        <v>335</v>
      </c>
    </row>
    <row r="47" spans="1:10" ht="18.75">
      <c r="A47" s="87" t="s">
        <v>336</v>
      </c>
      <c r="H47" s="245" t="s">
        <v>352</v>
      </c>
      <c r="I47" s="227"/>
      <c r="J47" s="221"/>
    </row>
    <row r="48" spans="1:10">
      <c r="A48" s="207"/>
      <c r="B48" s="207" t="s">
        <v>338</v>
      </c>
      <c r="C48" s="241" t="s">
        <v>339</v>
      </c>
      <c r="E48" s="241" t="s">
        <v>343</v>
      </c>
      <c r="F48" s="241" t="s">
        <v>344</v>
      </c>
      <c r="H48" s="243" t="s">
        <v>328</v>
      </c>
      <c r="I48" s="244" t="s">
        <v>353</v>
      </c>
      <c r="J48" s="244"/>
    </row>
    <row r="49" spans="1:10">
      <c r="A49" s="207" t="s">
        <v>328</v>
      </c>
      <c r="B49" s="207">
        <v>2</v>
      </c>
      <c r="C49" s="239">
        <f>B49*C43</f>
        <v>1.9799257527842706</v>
      </c>
      <c r="D49" s="144" t="s">
        <v>345</v>
      </c>
      <c r="E49" s="207">
        <v>1.5</v>
      </c>
      <c r="F49" s="207">
        <v>2</v>
      </c>
      <c r="H49" s="243" t="s">
        <v>354</v>
      </c>
      <c r="I49" s="244" t="s">
        <v>355</v>
      </c>
      <c r="J49" s="244"/>
    </row>
    <row r="50" spans="1:10">
      <c r="A50" s="207" t="s">
        <v>340</v>
      </c>
      <c r="B50" s="207">
        <v>2</v>
      </c>
      <c r="C50" s="239">
        <f>B50*C44</f>
        <v>1.9411833632593458</v>
      </c>
      <c r="D50" s="144" t="s">
        <v>346</v>
      </c>
      <c r="E50" s="207">
        <v>101.5</v>
      </c>
      <c r="F50" s="207">
        <v>2</v>
      </c>
      <c r="H50" s="243" t="s">
        <v>356</v>
      </c>
      <c r="I50" s="244" t="s">
        <v>357</v>
      </c>
      <c r="J50" s="244"/>
    </row>
    <row r="51" spans="1:10">
      <c r="A51" s="207" t="s">
        <v>341</v>
      </c>
      <c r="B51" s="207">
        <v>102</v>
      </c>
      <c r="C51" s="239">
        <f>B51*C45</f>
        <v>96.07889088395639</v>
      </c>
      <c r="D51" s="144" t="s">
        <v>347</v>
      </c>
      <c r="E51" s="207"/>
      <c r="F51" s="207">
        <v>102</v>
      </c>
      <c r="H51" s="224"/>
      <c r="I51" s="231"/>
      <c r="J51" s="225"/>
    </row>
    <row r="52" spans="1:10">
      <c r="B52" s="209" t="s">
        <v>342</v>
      </c>
      <c r="C52" s="248">
        <f>SUM(C49:C51)</f>
        <v>100</v>
      </c>
      <c r="E52" s="252">
        <f>SUMPRODUCT(E49:E51,$C$43:$C$45)</f>
        <v>100</v>
      </c>
      <c r="F52" s="252">
        <f>SUMPRODUCT(F49:F51,$C$43:$C$45)</f>
        <v>100</v>
      </c>
      <c r="G52" s="144"/>
    </row>
    <row r="53" spans="1:10" ht="17.25">
      <c r="C53" s="87" t="s">
        <v>351</v>
      </c>
      <c r="E53" s="144" t="s">
        <v>349</v>
      </c>
      <c r="F53" s="242"/>
      <c r="H53" s="247" t="s">
        <v>358</v>
      </c>
      <c r="I53" s="227"/>
      <c r="J53" s="221"/>
    </row>
    <row r="54" spans="1:10">
      <c r="E54" s="242"/>
      <c r="F54" s="144" t="s">
        <v>350</v>
      </c>
      <c r="H54" s="222" t="s">
        <v>359</v>
      </c>
      <c r="I54" s="229"/>
      <c r="J54" s="223"/>
    </row>
    <row r="55" spans="1:10">
      <c r="H55" s="224"/>
      <c r="I55" s="231"/>
      <c r="J55" s="225"/>
    </row>
    <row r="57" spans="1:10" ht="21">
      <c r="A57" s="206" t="s">
        <v>360</v>
      </c>
      <c r="D57" s="87" t="s">
        <v>372</v>
      </c>
      <c r="H57" s="245" t="s">
        <v>352</v>
      </c>
      <c r="I57" s="227"/>
      <c r="J57" s="221"/>
    </row>
    <row r="58" spans="1:10">
      <c r="A58" s="25" t="s">
        <v>83</v>
      </c>
      <c r="B58" s="25" t="s">
        <v>348</v>
      </c>
      <c r="C58" s="234" t="s">
        <v>110</v>
      </c>
      <c r="H58" s="243" t="s">
        <v>190</v>
      </c>
      <c r="I58" s="229" t="s">
        <v>379</v>
      </c>
      <c r="J58" s="223"/>
    </row>
    <row r="59" spans="1:10">
      <c r="A59" s="88" t="s">
        <v>190</v>
      </c>
      <c r="B59" s="240">
        <v>0.5</v>
      </c>
      <c r="C59" s="236">
        <f>100 / (100 +  B59 * (182.5/360) )</f>
        <v>0.99747168635056971</v>
      </c>
      <c r="D59" s="249" t="s">
        <v>392</v>
      </c>
      <c r="H59" s="243" t="s">
        <v>363</v>
      </c>
      <c r="I59" s="229" t="s">
        <v>380</v>
      </c>
      <c r="J59" s="223"/>
    </row>
    <row r="60" spans="1:10">
      <c r="A60" s="88" t="s">
        <v>363</v>
      </c>
      <c r="B60" s="240">
        <v>0.8</v>
      </c>
      <c r="C60" s="236">
        <f>(100 - (B60/2) * SUM($C$59:C59) ) / ( 100 + B60/2 )</f>
        <v>0.99204194547270674</v>
      </c>
      <c r="D60" s="250" t="s">
        <v>374</v>
      </c>
      <c r="H60" s="243" t="s">
        <v>365</v>
      </c>
      <c r="I60" s="229" t="s">
        <v>381</v>
      </c>
      <c r="J60" s="223"/>
    </row>
    <row r="61" spans="1:10">
      <c r="A61" s="88" t="s">
        <v>365</v>
      </c>
      <c r="B61" s="240">
        <v>1.2</v>
      </c>
      <c r="C61" s="236">
        <f>(100 - (B61/2) * SUM($C$59:C60) ) / ( 100 + B61/2 )</f>
        <v>0.98216989881616346</v>
      </c>
      <c r="D61" s="250" t="s">
        <v>376</v>
      </c>
      <c r="H61" s="243" t="s">
        <v>367</v>
      </c>
      <c r="I61" s="229"/>
      <c r="J61" s="223"/>
    </row>
    <row r="62" spans="1:10">
      <c r="A62" s="88" t="s">
        <v>367</v>
      </c>
      <c r="B62" s="240">
        <v>1.5</v>
      </c>
      <c r="C62" s="236">
        <f>(100 - (B62/2) * SUM($C$59:C61) ) / ( 100 + B62/2 )</f>
        <v>0.97043411763791976</v>
      </c>
      <c r="D62" s="250" t="s">
        <v>378</v>
      </c>
      <c r="H62" s="243" t="s">
        <v>369</v>
      </c>
      <c r="I62" s="229"/>
      <c r="J62" s="223"/>
    </row>
    <row r="63" spans="1:10">
      <c r="A63" s="88" t="s">
        <v>369</v>
      </c>
      <c r="B63" s="240">
        <f>(B62+B64)/2</f>
        <v>1.75</v>
      </c>
      <c r="C63" s="236">
        <f>(100 - (B63/2) * SUM($C$59:C62) ) / ( 100 + B63/2 )</f>
        <v>0.95713156934579746</v>
      </c>
      <c r="D63" s="251"/>
      <c r="H63" s="243" t="s">
        <v>371</v>
      </c>
      <c r="I63" s="231"/>
      <c r="J63" s="225"/>
    </row>
    <row r="64" spans="1:10">
      <c r="A64" s="88" t="s">
        <v>371</v>
      </c>
      <c r="B64" s="240">
        <v>2</v>
      </c>
      <c r="C64" s="236">
        <f>(100 - (B64/2) * SUM($C$59:C63) ) / ( 100 + B64/2 )</f>
        <v>0.9415915919047213</v>
      </c>
    </row>
    <row r="67" spans="1:6">
      <c r="A67" s="87" t="s">
        <v>336</v>
      </c>
    </row>
    <row r="68" spans="1:6">
      <c r="A68" s="207"/>
      <c r="B68" s="207" t="s">
        <v>338</v>
      </c>
      <c r="C68" s="241" t="s">
        <v>339</v>
      </c>
      <c r="E68" s="241" t="s">
        <v>343</v>
      </c>
      <c r="F68" s="241" t="s">
        <v>344</v>
      </c>
    </row>
    <row r="69" spans="1:6">
      <c r="A69" s="88" t="s">
        <v>190</v>
      </c>
      <c r="B69" s="207">
        <v>1</v>
      </c>
      <c r="C69" s="207">
        <f>B69*C59</f>
        <v>0.99747168635056971</v>
      </c>
      <c r="E69" s="207">
        <v>0.75</v>
      </c>
      <c r="F69" s="207">
        <v>1</v>
      </c>
    </row>
    <row r="70" spans="1:6">
      <c r="A70" s="88" t="s">
        <v>363</v>
      </c>
      <c r="B70" s="207">
        <v>1</v>
      </c>
      <c r="C70" s="207">
        <f t="shared" ref="C70:C74" si="0">B70*C60</f>
        <v>0.99204194547270674</v>
      </c>
      <c r="E70" s="207">
        <v>0.75</v>
      </c>
      <c r="F70" s="207">
        <v>1</v>
      </c>
    </row>
    <row r="71" spans="1:6">
      <c r="A71" s="88" t="s">
        <v>365</v>
      </c>
      <c r="B71" s="207">
        <v>1</v>
      </c>
      <c r="C71" s="207">
        <f t="shared" si="0"/>
        <v>0.98216989881616346</v>
      </c>
      <c r="E71" s="207">
        <v>0.75</v>
      </c>
      <c r="F71" s="207">
        <v>1</v>
      </c>
    </row>
    <row r="72" spans="1:6">
      <c r="A72" s="88" t="s">
        <v>367</v>
      </c>
      <c r="B72" s="207">
        <v>1</v>
      </c>
      <c r="C72" s="207">
        <f t="shared" si="0"/>
        <v>0.97043411763791976</v>
      </c>
      <c r="E72" s="207">
        <v>100.75</v>
      </c>
      <c r="F72" s="207">
        <v>1</v>
      </c>
    </row>
    <row r="73" spans="1:6">
      <c r="A73" s="88" t="s">
        <v>369</v>
      </c>
      <c r="B73" s="207">
        <v>1</v>
      </c>
      <c r="C73" s="207">
        <f t="shared" si="0"/>
        <v>0.95713156934579746</v>
      </c>
      <c r="E73" s="207"/>
      <c r="F73" s="207">
        <v>1</v>
      </c>
    </row>
    <row r="74" spans="1:6">
      <c r="A74" s="88" t="s">
        <v>371</v>
      </c>
      <c r="B74" s="207">
        <v>101</v>
      </c>
      <c r="C74" s="207">
        <f t="shared" si="0"/>
        <v>95.100750782376849</v>
      </c>
      <c r="E74" s="207"/>
      <c r="F74" s="207">
        <v>101</v>
      </c>
    </row>
    <row r="75" spans="1:6">
      <c r="B75" s="209" t="s">
        <v>342</v>
      </c>
      <c r="C75" s="248">
        <f>SUM(C69:C74)</f>
        <v>100</v>
      </c>
      <c r="E75" s="252">
        <f>SUMPRODUCT(E69:E74,$C59:$C$64)</f>
        <v>100</v>
      </c>
      <c r="F75" s="252">
        <f>SUMPRODUCT(F69:F74,$C59:$C$64)</f>
        <v>100</v>
      </c>
    </row>
    <row r="76" spans="1:6">
      <c r="C76" s="87" t="s">
        <v>351</v>
      </c>
    </row>
    <row r="80" spans="1:6" ht="12">
      <c r="A80" s="214" t="s">
        <v>58</v>
      </c>
      <c r="B80" s="256" t="s">
        <v>383</v>
      </c>
      <c r="C80" s="215"/>
    </row>
    <row r="81" spans="1:3">
      <c r="A81" s="216"/>
      <c r="B81" s="242"/>
      <c r="C81" s="217"/>
    </row>
    <row r="82" spans="1:3">
      <c r="A82" s="216" t="s">
        <v>384</v>
      </c>
      <c r="B82" s="242"/>
      <c r="C82" s="217"/>
    </row>
    <row r="83" spans="1:3">
      <c r="A83" s="216" t="s">
        <v>410</v>
      </c>
      <c r="B83" s="242"/>
      <c r="C83" s="217"/>
    </row>
    <row r="84" spans="1:3">
      <c r="A84" s="216" t="s">
        <v>385</v>
      </c>
      <c r="B84" s="242"/>
      <c r="C84" s="217"/>
    </row>
    <row r="85" spans="1:3">
      <c r="A85" s="216" t="s">
        <v>386</v>
      </c>
      <c r="B85" s="242"/>
      <c r="C85" s="217"/>
    </row>
    <row r="86" spans="1:3">
      <c r="A86" s="218"/>
      <c r="B86" s="246"/>
      <c r="C86" s="219"/>
    </row>
    <row r="88" spans="1:3">
      <c r="A88" s="87" t="s">
        <v>388</v>
      </c>
    </row>
    <row r="89" spans="1:3">
      <c r="A89" s="87" t="s">
        <v>389</v>
      </c>
    </row>
    <row r="91" spans="1:3">
      <c r="A91" s="87" t="s">
        <v>6</v>
      </c>
    </row>
    <row r="92" spans="1:3">
      <c r="A92" s="87" t="s">
        <v>393</v>
      </c>
    </row>
    <row r="93" spans="1:3">
      <c r="A93" s="254">
        <f>10000000000*(0.6%/2)*SUM(C59:C64)</f>
        <v>175225224.28583637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84"/>
  <sheetViews>
    <sheetView showGridLines="0" topLeftCell="A61" workbookViewId="0">
      <selection activeCell="B12" sqref="B12:E14"/>
    </sheetView>
  </sheetViews>
  <sheetFormatPr defaultRowHeight="13.5"/>
  <cols>
    <col min="1" max="24" width="14.625" customWidth="1"/>
  </cols>
  <sheetData>
    <row r="1" spans="1:5" ht="28.5">
      <c r="A1" s="47" t="s">
        <v>135</v>
      </c>
    </row>
    <row r="2" spans="1:5" ht="16.5" customHeight="1" thickBot="1">
      <c r="A2" s="47"/>
    </row>
    <row r="3" spans="1:5" ht="16.5" customHeight="1" thickBot="1">
      <c r="A3" s="47"/>
      <c r="B3" s="58" t="s">
        <v>136</v>
      </c>
      <c r="C3" s="59"/>
      <c r="D3" s="60"/>
    </row>
    <row r="4" spans="1:5" ht="16.5" customHeight="1">
      <c r="A4" s="47"/>
    </row>
    <row r="5" spans="1:5">
      <c r="B5" s="50" t="s">
        <v>118</v>
      </c>
    </row>
    <row r="6" spans="1:5">
      <c r="B6" t="s">
        <v>109</v>
      </c>
    </row>
    <row r="7" spans="1:5">
      <c r="B7" s="9" t="s">
        <v>83</v>
      </c>
      <c r="C7" s="9" t="s">
        <v>27</v>
      </c>
      <c r="D7" s="51" t="s">
        <v>110</v>
      </c>
    </row>
    <row r="8" spans="1:5">
      <c r="B8" s="8">
        <v>1</v>
      </c>
      <c r="C8" s="8">
        <v>99</v>
      </c>
      <c r="D8" s="51">
        <f>C8/100</f>
        <v>0.99</v>
      </c>
    </row>
    <row r="9" spans="1:5">
      <c r="B9" s="8">
        <v>2</v>
      </c>
      <c r="C9" s="8">
        <v>98</v>
      </c>
      <c r="D9" s="51">
        <f>C9/100</f>
        <v>0.98</v>
      </c>
    </row>
    <row r="11" spans="1:5">
      <c r="B11" t="s">
        <v>116</v>
      </c>
    </row>
    <row r="12" spans="1:5">
      <c r="B12" s="9" t="s">
        <v>83</v>
      </c>
      <c r="C12" s="9" t="s">
        <v>121</v>
      </c>
      <c r="D12" s="9" t="s">
        <v>111</v>
      </c>
      <c r="E12" s="13" t="s">
        <v>115</v>
      </c>
    </row>
    <row r="13" spans="1:5">
      <c r="B13" s="8">
        <v>1</v>
      </c>
      <c r="C13" s="8">
        <v>2</v>
      </c>
      <c r="D13" s="8">
        <f>C13*D8</f>
        <v>1.98</v>
      </c>
      <c r="E13" s="48" t="s">
        <v>112</v>
      </c>
    </row>
    <row r="14" spans="1:5">
      <c r="B14" s="8">
        <v>2</v>
      </c>
      <c r="C14" s="8">
        <v>102</v>
      </c>
      <c r="D14" s="8">
        <f>C14*D9</f>
        <v>99.96</v>
      </c>
      <c r="E14" s="48" t="s">
        <v>113</v>
      </c>
    </row>
    <row r="16" spans="1:5">
      <c r="B16" t="s">
        <v>117</v>
      </c>
    </row>
    <row r="17" spans="1:6">
      <c r="B17" t="s">
        <v>114</v>
      </c>
      <c r="C17" s="49">
        <f>SUM(D13:D14)</f>
        <v>101.94</v>
      </c>
    </row>
    <row r="20" spans="1:6">
      <c r="B20" s="50" t="s">
        <v>119</v>
      </c>
    </row>
    <row r="21" spans="1:6">
      <c r="B21" t="s">
        <v>109</v>
      </c>
    </row>
    <row r="22" spans="1:6">
      <c r="B22" s="9" t="s">
        <v>83</v>
      </c>
      <c r="C22" s="9" t="s">
        <v>27</v>
      </c>
      <c r="D22" s="16" t="s">
        <v>110</v>
      </c>
    </row>
    <row r="23" spans="1:6">
      <c r="B23" s="8">
        <v>1</v>
      </c>
      <c r="C23" s="8">
        <v>99</v>
      </c>
      <c r="D23" s="16">
        <f>C23/100</f>
        <v>0.99</v>
      </c>
    </row>
    <row r="25" spans="1:6" s="53" customFormat="1">
      <c r="B25" s="53" t="s">
        <v>123</v>
      </c>
    </row>
    <row r="26" spans="1:6" s="53" customFormat="1">
      <c r="B26" s="9" t="s">
        <v>83</v>
      </c>
      <c r="C26" s="9" t="s">
        <v>121</v>
      </c>
      <c r="D26" s="9" t="s">
        <v>122</v>
      </c>
      <c r="E26" s="54"/>
    </row>
    <row r="27" spans="1:6" s="53" customFormat="1">
      <c r="A27" s="54"/>
      <c r="B27" s="8">
        <v>1</v>
      </c>
      <c r="C27" s="8">
        <v>2.2000000000000002</v>
      </c>
      <c r="D27" s="8">
        <f>C27*D23</f>
        <v>2.1779999999999999</v>
      </c>
      <c r="E27" s="52"/>
    </row>
    <row r="28" spans="1:6" s="53" customFormat="1">
      <c r="A28" s="54"/>
      <c r="B28" s="54"/>
      <c r="C28" s="54"/>
      <c r="D28" s="54"/>
      <c r="E28" s="52"/>
    </row>
    <row r="29" spans="1:6" s="53" customFormat="1">
      <c r="B29" s="9" t="s">
        <v>83</v>
      </c>
      <c r="C29" s="9" t="s">
        <v>121</v>
      </c>
      <c r="D29" s="9" t="s">
        <v>128</v>
      </c>
      <c r="E29" s="16" t="s">
        <v>110</v>
      </c>
    </row>
    <row r="30" spans="1:6" s="53" customFormat="1">
      <c r="B30" s="8">
        <v>2</v>
      </c>
      <c r="C30" s="8">
        <v>102.2</v>
      </c>
      <c r="D30" s="17">
        <v>101.8</v>
      </c>
      <c r="E30" s="16">
        <f xml:space="preserve"> ( D30 - D27 ) / C30</f>
        <v>0.97477495107632095</v>
      </c>
      <c r="F30" s="53" t="s">
        <v>124</v>
      </c>
    </row>
    <row r="32" spans="1:6">
      <c r="B32" t="s">
        <v>120</v>
      </c>
    </row>
    <row r="33" spans="2:6">
      <c r="B33" t="s">
        <v>125</v>
      </c>
      <c r="C33" s="55">
        <f>100 * E30</f>
        <v>97.477495107632095</v>
      </c>
    </row>
    <row r="36" spans="2:6">
      <c r="B36" s="50" t="s">
        <v>126</v>
      </c>
    </row>
    <row r="37" spans="2:6">
      <c r="B37" t="s">
        <v>109</v>
      </c>
    </row>
    <row r="38" spans="2:6">
      <c r="B38" s="9" t="s">
        <v>83</v>
      </c>
      <c r="C38" s="9" t="s">
        <v>27</v>
      </c>
      <c r="D38" s="16" t="s">
        <v>110</v>
      </c>
    </row>
    <row r="39" spans="2:6">
      <c r="B39" s="8">
        <v>0.5</v>
      </c>
      <c r="C39" s="8">
        <v>99</v>
      </c>
      <c r="D39" s="16">
        <f>C39/100</f>
        <v>0.99</v>
      </c>
    </row>
    <row r="41" spans="2:6">
      <c r="B41" s="53" t="s">
        <v>127</v>
      </c>
      <c r="C41" s="53"/>
      <c r="D41" s="53"/>
    </row>
    <row r="42" spans="2:6">
      <c r="B42" s="9" t="s">
        <v>83</v>
      </c>
      <c r="C42" s="9" t="s">
        <v>121</v>
      </c>
      <c r="D42" s="9" t="s">
        <v>122</v>
      </c>
    </row>
    <row r="43" spans="2:6">
      <c r="B43" s="8">
        <v>0.5</v>
      </c>
      <c r="C43" s="8">
        <v>2</v>
      </c>
      <c r="D43" s="8">
        <f>C43*D39</f>
        <v>1.98</v>
      </c>
    </row>
    <row r="45" spans="2:6">
      <c r="B45" s="9" t="s">
        <v>83</v>
      </c>
      <c r="C45" s="9" t="s">
        <v>121</v>
      </c>
      <c r="D45" s="9" t="s">
        <v>128</v>
      </c>
      <c r="E45" s="16" t="s">
        <v>110</v>
      </c>
    </row>
    <row r="46" spans="2:6">
      <c r="B46" s="8">
        <v>1</v>
      </c>
      <c r="C46" s="8">
        <v>102</v>
      </c>
      <c r="D46" s="17">
        <v>102.45</v>
      </c>
      <c r="E46" s="16">
        <f xml:space="preserve"> ( D46 - D43 ) / C46</f>
        <v>0.98499999999999999</v>
      </c>
      <c r="F46" s="53" t="s">
        <v>129</v>
      </c>
    </row>
    <row r="48" spans="2:6">
      <c r="B48" s="53" t="s">
        <v>130</v>
      </c>
      <c r="C48" s="53"/>
    </row>
    <row r="49" spans="2:6">
      <c r="B49" s="9" t="s">
        <v>83</v>
      </c>
      <c r="C49" s="9" t="s">
        <v>121</v>
      </c>
      <c r="D49" s="9" t="s">
        <v>122</v>
      </c>
    </row>
    <row r="50" spans="2:6">
      <c r="B50" s="8">
        <v>0.5</v>
      </c>
      <c r="C50" s="8">
        <v>1.5</v>
      </c>
      <c r="D50" s="8">
        <f>C50*D39</f>
        <v>1.4849999999999999</v>
      </c>
    </row>
    <row r="52" spans="2:6">
      <c r="B52" s="9" t="s">
        <v>83</v>
      </c>
      <c r="C52" s="9" t="s">
        <v>121</v>
      </c>
      <c r="D52" s="9" t="s">
        <v>122</v>
      </c>
    </row>
    <row r="53" spans="2:6">
      <c r="B53" s="8">
        <v>1</v>
      </c>
      <c r="C53" s="8">
        <v>1.5</v>
      </c>
      <c r="D53" s="8">
        <f>C53*E46</f>
        <v>1.4775</v>
      </c>
    </row>
    <row r="55" spans="2:6">
      <c r="B55" s="9" t="s">
        <v>83</v>
      </c>
      <c r="C55" s="9" t="s">
        <v>121</v>
      </c>
      <c r="D55" s="9" t="s">
        <v>128</v>
      </c>
      <c r="E55" s="16" t="s">
        <v>110</v>
      </c>
    </row>
    <row r="56" spans="2:6">
      <c r="B56" s="8">
        <v>1.5</v>
      </c>
      <c r="C56" s="8">
        <v>101.5</v>
      </c>
      <c r="D56" s="17">
        <v>102.23</v>
      </c>
      <c r="E56" s="16">
        <f>(D56 - 1.5 * (D39 + E46 ) ) / C56</f>
        <v>0.97800492610837442</v>
      </c>
      <c r="F56" t="s">
        <v>131</v>
      </c>
    </row>
    <row r="58" spans="2:6">
      <c r="B58" s="13" t="s">
        <v>132</v>
      </c>
      <c r="C58" s="56">
        <f>100 * D39</f>
        <v>99</v>
      </c>
    </row>
    <row r="59" spans="2:6">
      <c r="B59" s="13" t="s">
        <v>134</v>
      </c>
      <c r="C59" s="56">
        <f>100*E46</f>
        <v>98.5</v>
      </c>
    </row>
    <row r="60" spans="2:6">
      <c r="B60" s="13" t="s">
        <v>133</v>
      </c>
      <c r="C60" s="56">
        <f>100*E56</f>
        <v>97.800492610837438</v>
      </c>
    </row>
    <row r="63" spans="2:6" s="61" customFormat="1" ht="9" customHeight="1"/>
    <row r="65" spans="1:9" ht="28.5">
      <c r="A65" s="47" t="s">
        <v>137</v>
      </c>
    </row>
    <row r="67" spans="1:9">
      <c r="B67" s="63" t="s">
        <v>138</v>
      </c>
      <c r="C67" s="63" t="s">
        <v>83</v>
      </c>
      <c r="D67" s="63" t="s">
        <v>139</v>
      </c>
      <c r="E67" s="63" t="s">
        <v>140</v>
      </c>
      <c r="F67" s="68" t="s">
        <v>144</v>
      </c>
    </row>
    <row r="68" spans="1:9">
      <c r="B68" s="8" t="s">
        <v>108</v>
      </c>
      <c r="C68" s="8">
        <v>0.5</v>
      </c>
      <c r="D68" s="8"/>
      <c r="E68" s="8">
        <v>99.7</v>
      </c>
    </row>
    <row r="69" spans="1:9">
      <c r="B69" s="8" t="s">
        <v>141</v>
      </c>
      <c r="C69" s="8">
        <v>1</v>
      </c>
      <c r="D69" s="8">
        <v>0.8</v>
      </c>
      <c r="E69" s="8">
        <v>100</v>
      </c>
    </row>
    <row r="70" spans="1:9">
      <c r="B70" s="8" t="s">
        <v>141</v>
      </c>
      <c r="C70" s="8">
        <v>1.5</v>
      </c>
      <c r="D70" s="8">
        <v>1.4</v>
      </c>
      <c r="E70" s="8">
        <v>100.6</v>
      </c>
    </row>
    <row r="71" spans="1:9">
      <c r="B71" s="8" t="s">
        <v>141</v>
      </c>
      <c r="C71" s="8">
        <v>2</v>
      </c>
      <c r="D71" s="8">
        <v>1.5</v>
      </c>
      <c r="E71" s="8">
        <v>100.5</v>
      </c>
    </row>
    <row r="73" spans="1:9">
      <c r="B73" s="65" t="s">
        <v>142</v>
      </c>
      <c r="G73" t="s">
        <v>159</v>
      </c>
    </row>
    <row r="74" spans="1:9">
      <c r="B74" t="s">
        <v>143</v>
      </c>
      <c r="C74" s="66"/>
      <c r="E74" s="70">
        <f>99.7/100</f>
        <v>0.997</v>
      </c>
      <c r="G74" s="7">
        <v>0.75</v>
      </c>
      <c r="H74" s="7">
        <f>G74*E74</f>
        <v>0.74775000000000003</v>
      </c>
    </row>
    <row r="75" spans="1:9">
      <c r="B75" t="s">
        <v>145</v>
      </c>
      <c r="E75" s="70">
        <f>(100 - 0.4*E74 ) / 100.4</f>
        <v>0.99204382470119523</v>
      </c>
      <c r="G75" s="7">
        <v>0.75</v>
      </c>
      <c r="H75" s="7">
        <f t="shared" ref="H75:H77" si="0">G75*E75</f>
        <v>0.74403286852589645</v>
      </c>
    </row>
    <row r="76" spans="1:9">
      <c r="B76" t="s">
        <v>146</v>
      </c>
      <c r="E76" s="70">
        <f>(100.6 - 0.7*(E74+E75) ) / 100.7</f>
        <v>0.98518043021558244</v>
      </c>
      <c r="G76" s="7">
        <v>0.75</v>
      </c>
      <c r="H76" s="7">
        <f t="shared" si="0"/>
        <v>0.73888532266168683</v>
      </c>
    </row>
    <row r="77" spans="1:9">
      <c r="B77" t="s">
        <v>147</v>
      </c>
      <c r="E77" s="70">
        <f>(100.5 - 0.75 * ( E74+E75+E76) ) / 100.75</f>
        <v>0.97537798321401892</v>
      </c>
      <c r="G77" s="7">
        <v>100.75</v>
      </c>
      <c r="H77" s="7">
        <f t="shared" si="0"/>
        <v>98.26933180881241</v>
      </c>
    </row>
    <row r="78" spans="1:9">
      <c r="H78" s="78">
        <f>SUM(H74:H77)</f>
        <v>100.5</v>
      </c>
      <c r="I78" t="s">
        <v>158</v>
      </c>
    </row>
    <row r="79" spans="1:9">
      <c r="B79" t="s">
        <v>148</v>
      </c>
    </row>
    <row r="80" spans="1:9">
      <c r="B80" s="71" t="s">
        <v>150</v>
      </c>
    </row>
    <row r="82" spans="2:2">
      <c r="B82" t="s">
        <v>149</v>
      </c>
    </row>
    <row r="83" spans="2:2">
      <c r="B83">
        <f>100 - 100*E77</f>
        <v>2.462201678598106</v>
      </c>
    </row>
    <row r="84" spans="2:2">
      <c r="B84" s="67">
        <f>B83*2/(E74+E75+E76+E77)</f>
        <v>1.246809947000322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43"/>
  <sheetViews>
    <sheetView showGridLines="0" topLeftCell="A126" workbookViewId="0">
      <selection activeCell="B137" sqref="B137:D138"/>
    </sheetView>
  </sheetViews>
  <sheetFormatPr defaultRowHeight="13.5"/>
  <cols>
    <col min="2" max="6" width="15.625" customWidth="1"/>
    <col min="7" max="7" width="13.25" customWidth="1"/>
    <col min="8" max="9" width="10.5" customWidth="1"/>
    <col min="10" max="10" width="11" bestFit="1" customWidth="1"/>
  </cols>
  <sheetData>
    <row r="2" spans="1:7" ht="17.25">
      <c r="B2" s="10" t="s">
        <v>0</v>
      </c>
    </row>
    <row r="3" spans="1:7">
      <c r="B3" s="1" t="s">
        <v>1</v>
      </c>
      <c r="C3" s="2"/>
      <c r="D3" s="3"/>
    </row>
    <row r="4" spans="1:7">
      <c r="B4" s="4"/>
      <c r="C4" s="5"/>
      <c r="D4" s="6"/>
    </row>
    <row r="6" spans="1:7">
      <c r="B6" s="9" t="s">
        <v>2</v>
      </c>
      <c r="C6" s="9" t="s">
        <v>3</v>
      </c>
      <c r="D6" s="9" t="s">
        <v>4</v>
      </c>
      <c r="E6" s="9" t="s">
        <v>5</v>
      </c>
      <c r="F6" s="13" t="s">
        <v>6</v>
      </c>
    </row>
    <row r="7" spans="1:7">
      <c r="A7" t="s">
        <v>7</v>
      </c>
      <c r="B7" s="12">
        <v>1000000</v>
      </c>
      <c r="C7" s="11">
        <v>1.7999999999999999E-2</v>
      </c>
      <c r="D7" s="8">
        <v>2</v>
      </c>
      <c r="E7" s="17">
        <v>1</v>
      </c>
      <c r="F7" s="14">
        <f>B7 * ( 1 + C7 / E7 ) ^ ( E7 * D7 )</f>
        <v>1036324</v>
      </c>
      <c r="G7" t="s">
        <v>11</v>
      </c>
    </row>
    <row r="8" spans="1:7">
      <c r="A8" t="s">
        <v>8</v>
      </c>
      <c r="B8" s="12">
        <v>1000000</v>
      </c>
      <c r="C8" s="11">
        <v>1.7999999999999999E-2</v>
      </c>
      <c r="D8" s="8">
        <v>2</v>
      </c>
      <c r="E8" s="17">
        <v>2</v>
      </c>
      <c r="F8" s="14">
        <f t="shared" ref="F8:F15" si="0">B8 * ( 1 + C8 / E8 ) ^ ( E8 * D8 )</f>
        <v>1036488.9225609996</v>
      </c>
      <c r="G8" t="s">
        <v>11</v>
      </c>
    </row>
    <row r="9" spans="1:7">
      <c r="A9" t="s">
        <v>9</v>
      </c>
      <c r="B9" s="12">
        <v>1000000</v>
      </c>
      <c r="C9" s="11">
        <v>1.7999999999999999E-2</v>
      </c>
      <c r="D9" s="8">
        <v>2</v>
      </c>
      <c r="E9" s="17">
        <v>12</v>
      </c>
      <c r="F9" s="14">
        <f t="shared" si="0"/>
        <v>1036627.8851184319</v>
      </c>
      <c r="G9" t="s">
        <v>11</v>
      </c>
    </row>
    <row r="10" spans="1:7">
      <c r="A10" t="s">
        <v>10</v>
      </c>
      <c r="B10" s="12">
        <v>1000000</v>
      </c>
      <c r="C10" s="11">
        <v>1.7999999999999999E-2</v>
      </c>
      <c r="D10" s="8">
        <v>2</v>
      </c>
      <c r="E10" s="17">
        <f>24*3600*365</f>
        <v>31536000</v>
      </c>
      <c r="F10" s="14">
        <f t="shared" si="0"/>
        <v>1036655.8501412231</v>
      </c>
      <c r="G10" t="s">
        <v>11</v>
      </c>
    </row>
    <row r="11" spans="1:7">
      <c r="A11" t="s">
        <v>7</v>
      </c>
      <c r="B11" s="12">
        <v>1000000</v>
      </c>
      <c r="C11" s="11">
        <v>0.03</v>
      </c>
      <c r="D11" s="8">
        <v>1</v>
      </c>
      <c r="E11" s="17">
        <v>1</v>
      </c>
      <c r="F11" s="14">
        <f t="shared" si="0"/>
        <v>1030000</v>
      </c>
    </row>
    <row r="12" spans="1:7">
      <c r="A12" t="s">
        <v>8</v>
      </c>
      <c r="B12" s="12">
        <v>1000000</v>
      </c>
      <c r="C12" s="11">
        <v>0.03</v>
      </c>
      <c r="D12" s="8">
        <v>1</v>
      </c>
      <c r="E12" s="17">
        <v>2</v>
      </c>
      <c r="F12" s="14">
        <f t="shared" si="0"/>
        <v>1030224.9999999998</v>
      </c>
    </row>
    <row r="13" spans="1:7">
      <c r="A13" t="s">
        <v>12</v>
      </c>
      <c r="B13" s="12">
        <v>1000000</v>
      </c>
      <c r="C13" s="11">
        <v>0.03</v>
      </c>
      <c r="D13" s="8">
        <v>1</v>
      </c>
      <c r="E13" s="17">
        <v>4</v>
      </c>
      <c r="F13" s="14">
        <f t="shared" si="0"/>
        <v>1030339.1906640629</v>
      </c>
    </row>
    <row r="14" spans="1:7">
      <c r="A14" t="s">
        <v>9</v>
      </c>
      <c r="B14" s="12">
        <v>1000000</v>
      </c>
      <c r="C14" s="11">
        <v>0.03</v>
      </c>
      <c r="D14" s="8">
        <v>1</v>
      </c>
      <c r="E14" s="17">
        <v>12</v>
      </c>
      <c r="F14" s="14">
        <f t="shared" si="0"/>
        <v>1030415.9569135067</v>
      </c>
    </row>
    <row r="15" spans="1:7">
      <c r="A15" t="s">
        <v>13</v>
      </c>
      <c r="B15" s="12">
        <v>1000000</v>
      </c>
      <c r="C15" s="11">
        <v>0.03</v>
      </c>
      <c r="D15" s="8">
        <v>1</v>
      </c>
      <c r="E15" s="17">
        <v>365</v>
      </c>
      <c r="F15" s="14">
        <f t="shared" si="0"/>
        <v>1030453.2636005583</v>
      </c>
    </row>
    <row r="16" spans="1:7">
      <c r="A16" t="s">
        <v>10</v>
      </c>
      <c r="B16" s="12">
        <v>1000000</v>
      </c>
      <c r="C16" s="11">
        <v>0.03</v>
      </c>
      <c r="D16" s="8">
        <v>1</v>
      </c>
      <c r="E16" s="17">
        <f>24*3600*365</f>
        <v>31536000</v>
      </c>
      <c r="F16" s="20">
        <f t="shared" ref="F16:F22" si="1">B16 * ( 1 + C16 / E16 ) ^ ( E16 * D16 )</f>
        <v>1030454.5321156334</v>
      </c>
    </row>
    <row r="17" spans="1:7">
      <c r="A17" t="s">
        <v>10</v>
      </c>
      <c r="B17" s="12">
        <v>1000000</v>
      </c>
      <c r="C17" s="11">
        <v>1.7999999999999999E-2</v>
      </c>
      <c r="D17" s="8">
        <v>0.5</v>
      </c>
      <c r="E17" s="17">
        <f>24*3600*365</f>
        <v>31536000</v>
      </c>
      <c r="F17" s="20">
        <f t="shared" si="1"/>
        <v>1009040.6226621325</v>
      </c>
      <c r="G17" t="s">
        <v>22</v>
      </c>
    </row>
    <row r="18" spans="1:7">
      <c r="A18" t="s">
        <v>10</v>
      </c>
      <c r="B18" s="12">
        <v>1000000</v>
      </c>
      <c r="C18" s="11">
        <v>1.7999999999999999E-2</v>
      </c>
      <c r="D18" s="8">
        <v>1.25</v>
      </c>
      <c r="E18" s="17">
        <f>24*3600*365</f>
        <v>31536000</v>
      </c>
      <c r="F18" s="20">
        <f t="shared" si="1"/>
        <v>1022755.0364152902</v>
      </c>
      <c r="G18" t="s">
        <v>22</v>
      </c>
    </row>
    <row r="19" spans="1:7">
      <c r="A19" t="s">
        <v>8</v>
      </c>
      <c r="B19" s="12">
        <v>100000000</v>
      </c>
      <c r="C19" s="11">
        <v>1.4999999999999999E-2</v>
      </c>
      <c r="D19" s="8">
        <v>5</v>
      </c>
      <c r="E19" s="17">
        <v>2</v>
      </c>
      <c r="F19" s="14">
        <f t="shared" si="1"/>
        <v>107758254.54707402</v>
      </c>
      <c r="G19" t="s">
        <v>78</v>
      </c>
    </row>
    <row r="20" spans="1:7">
      <c r="A20" t="s">
        <v>12</v>
      </c>
      <c r="B20" s="12">
        <v>100000000</v>
      </c>
      <c r="C20" s="11">
        <v>5.4999999999999997E-3</v>
      </c>
      <c r="D20" s="8">
        <v>1.5</v>
      </c>
      <c r="E20" s="17">
        <v>4</v>
      </c>
      <c r="F20" s="14">
        <f t="shared" si="1"/>
        <v>100827841.1420833</v>
      </c>
      <c r="G20" t="s">
        <v>78</v>
      </c>
    </row>
    <row r="21" spans="1:7">
      <c r="B21" s="90"/>
      <c r="C21" s="91"/>
      <c r="D21" s="8"/>
      <c r="E21" s="88"/>
      <c r="F21" s="14"/>
    </row>
    <row r="22" spans="1:7">
      <c r="B22" s="12"/>
      <c r="C22" s="11"/>
      <c r="D22" s="8"/>
      <c r="E22" s="17"/>
      <c r="F22" s="14" t="e">
        <f t="shared" si="1"/>
        <v>#DIV/0!</v>
      </c>
    </row>
    <row r="23" spans="1:7">
      <c r="F23" s="18" t="s">
        <v>14</v>
      </c>
    </row>
    <row r="24" spans="1:7">
      <c r="F24" s="18" t="s">
        <v>15</v>
      </c>
    </row>
    <row r="27" spans="1:7" ht="17.25">
      <c r="B27" s="10" t="s">
        <v>16</v>
      </c>
    </row>
    <row r="28" spans="1:7">
      <c r="B28" s="1" t="s">
        <v>17</v>
      </c>
      <c r="C28" s="2"/>
      <c r="D28" s="3"/>
    </row>
    <row r="29" spans="1:7">
      <c r="B29" s="4" t="s">
        <v>18</v>
      </c>
      <c r="C29" s="5"/>
      <c r="D29" s="6"/>
    </row>
    <row r="31" spans="1:7">
      <c r="B31" s="9" t="s">
        <v>2</v>
      </c>
      <c r="C31" s="9" t="s">
        <v>3</v>
      </c>
      <c r="D31" s="9" t="s">
        <v>4</v>
      </c>
      <c r="E31" s="13" t="s">
        <v>6</v>
      </c>
    </row>
    <row r="32" spans="1:7">
      <c r="A32" t="s">
        <v>16</v>
      </c>
      <c r="B32" s="12">
        <v>1000000</v>
      </c>
      <c r="C32" s="11">
        <v>0.03</v>
      </c>
      <c r="D32" s="8">
        <v>1</v>
      </c>
      <c r="E32" s="20">
        <f t="shared" ref="E32:E38" si="2" xml:space="preserve"> B32 * EXP(C32 * D32 )</f>
        <v>1030454.533953517</v>
      </c>
      <c r="F32" t="s">
        <v>19</v>
      </c>
    </row>
    <row r="33" spans="1:6">
      <c r="A33" t="s">
        <v>16</v>
      </c>
      <c r="B33" s="12">
        <v>1000000</v>
      </c>
      <c r="C33" s="11">
        <v>2.5000000000000001E-2</v>
      </c>
      <c r="D33" s="8">
        <v>3</v>
      </c>
      <c r="E33" s="14">
        <f t="shared" si="2"/>
        <v>1077884.1508846316</v>
      </c>
      <c r="F33" t="s">
        <v>22</v>
      </c>
    </row>
    <row r="34" spans="1:6">
      <c r="A34" t="s">
        <v>16</v>
      </c>
      <c r="B34" s="12">
        <v>1000000</v>
      </c>
      <c r="C34" s="11">
        <v>1.7999999999999999E-2</v>
      </c>
      <c r="D34" s="8">
        <v>0.5</v>
      </c>
      <c r="E34" s="20">
        <f t="shared" si="2"/>
        <v>1009040.6217738679</v>
      </c>
      <c r="F34" t="s">
        <v>22</v>
      </c>
    </row>
    <row r="35" spans="1:6">
      <c r="A35" t="s">
        <v>16</v>
      </c>
      <c r="B35" s="12">
        <v>1000000</v>
      </c>
      <c r="C35" s="11">
        <v>1.7999999999999999E-2</v>
      </c>
      <c r="D35" s="8">
        <v>1.25</v>
      </c>
      <c r="E35" s="20">
        <f t="shared" si="2"/>
        <v>1022755.0341644461</v>
      </c>
      <c r="F35" t="s">
        <v>22</v>
      </c>
    </row>
    <row r="36" spans="1:6">
      <c r="B36" s="12">
        <v>100000000</v>
      </c>
      <c r="C36" s="11">
        <v>1.2E-2</v>
      </c>
      <c r="D36" s="8">
        <v>2</v>
      </c>
      <c r="E36" s="14">
        <f t="shared" si="2"/>
        <v>102429031.78906216</v>
      </c>
      <c r="F36" t="s">
        <v>78</v>
      </c>
    </row>
    <row r="37" spans="1:6">
      <c r="B37" s="12"/>
      <c r="C37" s="11"/>
      <c r="D37" s="8"/>
      <c r="E37" s="14">
        <f t="shared" si="2"/>
        <v>0</v>
      </c>
    </row>
    <row r="38" spans="1:6">
      <c r="B38" s="12"/>
      <c r="C38" s="11"/>
      <c r="D38" s="8"/>
      <c r="E38" s="14">
        <f t="shared" si="2"/>
        <v>0</v>
      </c>
    </row>
    <row r="39" spans="1:6">
      <c r="E39" s="18" t="s">
        <v>20</v>
      </c>
    </row>
    <row r="40" spans="1:6">
      <c r="E40" s="18" t="s">
        <v>21</v>
      </c>
    </row>
    <row r="44" spans="1:6" ht="17.25">
      <c r="B44" s="10" t="s">
        <v>23</v>
      </c>
    </row>
    <row r="45" spans="1:6">
      <c r="B45" s="1" t="s">
        <v>24</v>
      </c>
      <c r="C45" s="2"/>
      <c r="D45" s="2"/>
      <c r="E45" s="3"/>
    </row>
    <row r="46" spans="1:6">
      <c r="B46" s="21" t="s">
        <v>25</v>
      </c>
      <c r="C46" s="22"/>
      <c r="D46" s="22"/>
      <c r="E46" s="23"/>
    </row>
    <row r="47" spans="1:6">
      <c r="B47" s="21"/>
      <c r="C47" s="22"/>
      <c r="D47" s="22"/>
      <c r="E47" s="23"/>
    </row>
    <row r="48" spans="1:6">
      <c r="B48" s="21" t="s">
        <v>26</v>
      </c>
      <c r="C48" s="22"/>
      <c r="D48" s="22"/>
      <c r="E48" s="23"/>
    </row>
    <row r="49" spans="2:9">
      <c r="B49" s="21" t="s">
        <v>25</v>
      </c>
      <c r="C49" s="22"/>
      <c r="D49" s="22"/>
      <c r="E49" s="23"/>
    </row>
    <row r="50" spans="2:9">
      <c r="B50" s="4"/>
      <c r="C50" s="5"/>
      <c r="D50" s="5"/>
      <c r="E50" s="6"/>
    </row>
    <row r="52" spans="2:9">
      <c r="B52" s="9" t="s">
        <v>27</v>
      </c>
      <c r="C52" s="9" t="s">
        <v>28</v>
      </c>
      <c r="D52" s="9" t="s">
        <v>4</v>
      </c>
      <c r="E52" s="25" t="s">
        <v>30</v>
      </c>
      <c r="F52" s="9" t="s">
        <v>29</v>
      </c>
      <c r="H52" s="9" t="s">
        <v>31</v>
      </c>
      <c r="I52" s="13" t="s">
        <v>6</v>
      </c>
    </row>
    <row r="53" spans="2:9">
      <c r="B53" s="12">
        <v>98</v>
      </c>
      <c r="C53" s="11">
        <v>1.4500000000000001E-2</v>
      </c>
      <c r="D53" s="8">
        <v>2</v>
      </c>
      <c r="E53" s="8">
        <v>1</v>
      </c>
      <c r="F53" s="26">
        <f>C53/E53</f>
        <v>1.4500000000000001E-2</v>
      </c>
      <c r="H53" s="7">
        <f>B53*(-1)</f>
        <v>-98</v>
      </c>
      <c r="I53" s="29">
        <f>IRR(H53:H55) * E53</f>
        <v>2.4874647581366593E-2</v>
      </c>
    </row>
    <row r="54" spans="2:9">
      <c r="H54" s="7">
        <f>100*$F$53</f>
        <v>1.4500000000000002</v>
      </c>
    </row>
    <row r="55" spans="2:9">
      <c r="H55" s="7">
        <f>100*$F$53 + 100</f>
        <v>101.45</v>
      </c>
    </row>
    <row r="57" spans="2:9">
      <c r="B57" s="9" t="s">
        <v>27</v>
      </c>
      <c r="C57" s="9" t="s">
        <v>28</v>
      </c>
      <c r="D57" s="9" t="s">
        <v>4</v>
      </c>
      <c r="E57" s="25" t="s">
        <v>30</v>
      </c>
      <c r="F57" s="9" t="s">
        <v>29</v>
      </c>
      <c r="H57" s="9" t="s">
        <v>31</v>
      </c>
      <c r="I57" s="13" t="s">
        <v>6</v>
      </c>
    </row>
    <row r="58" spans="2:9">
      <c r="B58" s="30">
        <v>100</v>
      </c>
      <c r="C58" s="11">
        <v>2.5000000000000001E-2</v>
      </c>
      <c r="D58" s="8">
        <v>2</v>
      </c>
      <c r="E58" s="8">
        <v>1</v>
      </c>
      <c r="F58" s="26">
        <f>C58/E58</f>
        <v>2.5000000000000001E-2</v>
      </c>
      <c r="H58" s="7">
        <f>B58*(-1)</f>
        <v>-100</v>
      </c>
      <c r="I58" s="29">
        <f>IRR(H58:H60) * E58</f>
        <v>2.5000000000000133E-2</v>
      </c>
    </row>
    <row r="59" spans="2:9">
      <c r="H59" s="7">
        <f>100*F58</f>
        <v>2.5</v>
      </c>
    </row>
    <row r="60" spans="2:9">
      <c r="H60" s="7">
        <f>100*F58 + 100</f>
        <v>102.5</v>
      </c>
    </row>
    <row r="61" spans="2:9">
      <c r="B61" t="s">
        <v>32</v>
      </c>
    </row>
    <row r="62" spans="2:9">
      <c r="B62" t="s">
        <v>33</v>
      </c>
    </row>
    <row r="65" spans="2:9">
      <c r="B65" s="9" t="s">
        <v>27</v>
      </c>
      <c r="C65" s="9" t="s">
        <v>28</v>
      </c>
      <c r="D65" s="9" t="s">
        <v>4</v>
      </c>
      <c r="E65" s="25" t="s">
        <v>30</v>
      </c>
      <c r="F65" s="9" t="s">
        <v>29</v>
      </c>
      <c r="H65" s="9" t="s">
        <v>31</v>
      </c>
      <c r="I65" s="13" t="s">
        <v>6</v>
      </c>
    </row>
    <row r="66" spans="2:9">
      <c r="B66" s="31">
        <v>95</v>
      </c>
      <c r="C66" s="11">
        <v>0.03</v>
      </c>
      <c r="D66" s="8">
        <v>2</v>
      </c>
      <c r="E66" s="8">
        <v>2</v>
      </c>
      <c r="F66" s="26">
        <f>C66/E66</f>
        <v>1.4999999999999999E-2</v>
      </c>
      <c r="H66" s="7">
        <f>B66*(-1)</f>
        <v>-95</v>
      </c>
      <c r="I66" s="29">
        <f>IRR(H66:H70) * E66</f>
        <v>5.679984316637432E-2</v>
      </c>
    </row>
    <row r="67" spans="2:9">
      <c r="F67" s="18" t="s">
        <v>34</v>
      </c>
      <c r="H67" s="7">
        <f>100*F66</f>
        <v>1.5</v>
      </c>
    </row>
    <row r="68" spans="2:9">
      <c r="F68" s="32" t="s">
        <v>35</v>
      </c>
      <c r="H68" s="7">
        <f>100*F66</f>
        <v>1.5</v>
      </c>
    </row>
    <row r="69" spans="2:9">
      <c r="H69" s="7">
        <f>100*F66</f>
        <v>1.5</v>
      </c>
    </row>
    <row r="70" spans="2:9">
      <c r="H70" s="7">
        <f>100*F66 + 100</f>
        <v>101.5</v>
      </c>
    </row>
    <row r="71" spans="2:9">
      <c r="H71" s="18" t="s">
        <v>36</v>
      </c>
    </row>
    <row r="73" spans="2:9">
      <c r="H73" s="24"/>
    </row>
    <row r="74" spans="2:9">
      <c r="H74" s="24"/>
    </row>
    <row r="75" spans="2:9" ht="17.25">
      <c r="B75" s="10" t="s">
        <v>46</v>
      </c>
    </row>
    <row r="76" spans="2:9">
      <c r="B76" s="33" t="s">
        <v>37</v>
      </c>
      <c r="C76" s="33" t="s">
        <v>38</v>
      </c>
      <c r="D76" s="33" t="s">
        <v>39</v>
      </c>
    </row>
    <row r="77" spans="2:9">
      <c r="B77" s="8" t="s">
        <v>42</v>
      </c>
      <c r="C77" s="8" t="s">
        <v>41</v>
      </c>
      <c r="D77" s="8" t="s">
        <v>40</v>
      </c>
    </row>
    <row r="78" spans="2:9">
      <c r="B78" s="8" t="s">
        <v>45</v>
      </c>
      <c r="C78" s="8" t="s">
        <v>44</v>
      </c>
      <c r="D78" s="8" t="s">
        <v>43</v>
      </c>
    </row>
    <row r="83" spans="2:7" ht="17.25">
      <c r="B83" s="10" t="s">
        <v>47</v>
      </c>
    </row>
    <row r="84" spans="2:7">
      <c r="B84" t="s">
        <v>48</v>
      </c>
    </row>
    <row r="85" spans="2:7">
      <c r="B85" s="1" t="s">
        <v>50</v>
      </c>
      <c r="C85" s="2"/>
      <c r="D85" s="3"/>
      <c r="E85" t="s">
        <v>54</v>
      </c>
    </row>
    <row r="86" spans="2:7">
      <c r="B86" s="4" t="s">
        <v>198</v>
      </c>
      <c r="C86" s="5"/>
      <c r="D86" s="6"/>
    </row>
    <row r="88" spans="2:7">
      <c r="B88" s="9" t="s">
        <v>27</v>
      </c>
      <c r="C88" s="9" t="s">
        <v>4</v>
      </c>
      <c r="D88" s="25" t="s">
        <v>30</v>
      </c>
      <c r="E88" s="13" t="s">
        <v>6</v>
      </c>
    </row>
    <row r="89" spans="2:7">
      <c r="B89" s="34">
        <v>98.38</v>
      </c>
      <c r="C89" s="8">
        <v>2</v>
      </c>
      <c r="D89" s="8">
        <v>1</v>
      </c>
      <c r="E89" s="35">
        <f>( (100/B89) ^ ( 1/(D89*C89) )  - 1 ) * D89</f>
        <v>8.1997627141645602E-3</v>
      </c>
      <c r="F89" t="s">
        <v>49</v>
      </c>
    </row>
    <row r="90" spans="2:7">
      <c r="B90" s="34">
        <v>98.38</v>
      </c>
      <c r="C90" s="8">
        <v>2</v>
      </c>
      <c r="D90" s="8">
        <v>2</v>
      </c>
      <c r="E90" s="35">
        <f>( (100/B90) ^ ( 1/(D90*C90) )  - 1 ) * D90</f>
        <v>8.1830222508751937E-3</v>
      </c>
      <c r="F90" t="s">
        <v>49</v>
      </c>
    </row>
    <row r="91" spans="2:7">
      <c r="B91" s="34">
        <v>95.4</v>
      </c>
      <c r="C91" s="8">
        <v>3</v>
      </c>
      <c r="D91" s="8">
        <v>1</v>
      </c>
      <c r="E91" s="38">
        <f>( (100/B91) ^ ( 1/(D91*C91) )  - 1 ) * D91</f>
        <v>1.5821050769789125E-2</v>
      </c>
      <c r="F91" t="s">
        <v>53</v>
      </c>
    </row>
    <row r="92" spans="2:7">
      <c r="B92" s="34">
        <v>95.4</v>
      </c>
      <c r="C92" s="8">
        <v>3</v>
      </c>
      <c r="D92" s="8">
        <v>2</v>
      </c>
      <c r="E92" s="38">
        <f>( (100/B92) ^ ( 1/(D92*C92) )  - 1 ) * D92</f>
        <v>1.5758964529032138E-2</v>
      </c>
      <c r="F92" t="s">
        <v>53</v>
      </c>
    </row>
    <row r="93" spans="2:7">
      <c r="B93" s="34">
        <v>95.4</v>
      </c>
      <c r="C93" s="8">
        <v>3</v>
      </c>
      <c r="D93" s="8">
        <v>4</v>
      </c>
      <c r="E93" s="38">
        <f>( (100/B93) ^ ( 1/(D93*C93) )  - 1 ) * D93</f>
        <v>1.5728043111517209E-2</v>
      </c>
      <c r="F93" t="s">
        <v>53</v>
      </c>
      <c r="G93" t="s">
        <v>63</v>
      </c>
    </row>
    <row r="94" spans="2:7">
      <c r="B94" s="31">
        <v>1000000</v>
      </c>
      <c r="C94" s="8">
        <v>5</v>
      </c>
      <c r="D94" s="8">
        <v>2</v>
      </c>
      <c r="E94" s="35">
        <f xml:space="preserve"> ( ( 1219000 / B94 ) ^ ( 1 / (C94*D94) ) - 1 ) * D94</f>
        <v>4.0000933817830653E-2</v>
      </c>
      <c r="F94" t="s">
        <v>53</v>
      </c>
    </row>
    <row r="95" spans="2:7">
      <c r="B95" s="34">
        <v>98.38</v>
      </c>
      <c r="C95" s="8">
        <v>2</v>
      </c>
      <c r="D95" s="8">
        <v>2</v>
      </c>
      <c r="E95" s="35">
        <f xml:space="preserve"> ( ( 100 / B95 ) ^ ( 1 / (C95*D95) ) - 1 ) * D95</f>
        <v>8.1830222508751937E-3</v>
      </c>
      <c r="F95" t="s">
        <v>78</v>
      </c>
    </row>
    <row r="96" spans="2:7">
      <c r="B96" s="34">
        <v>94.58</v>
      </c>
      <c r="C96" s="8">
        <v>5</v>
      </c>
      <c r="D96" s="8">
        <v>2</v>
      </c>
      <c r="E96" s="35">
        <f>( (100/B96) ^ ( 1/(D96*C96) )  - 1 ) * D96</f>
        <v>1.1175939320328787E-2</v>
      </c>
      <c r="F96" t="s">
        <v>78</v>
      </c>
    </row>
    <row r="97" spans="2:7">
      <c r="B97" s="34">
        <v>94.58</v>
      </c>
      <c r="C97" s="8">
        <v>5</v>
      </c>
      <c r="D97" s="8">
        <v>12</v>
      </c>
      <c r="E97" s="35">
        <f>( (100/B97) ^ ( 1/(D97*C97) )  - 1 ) * D97</f>
        <v>1.1150006658268374E-2</v>
      </c>
    </row>
    <row r="98" spans="2:7">
      <c r="B98" s="34">
        <v>97.674403443391896</v>
      </c>
      <c r="C98" s="8">
        <v>2</v>
      </c>
      <c r="D98" s="8">
        <v>2</v>
      </c>
      <c r="E98" s="35">
        <f>( (100/B98) ^ ( 1/(D98*C98) )  - 1 ) * D98</f>
        <v>1.1800000000000033E-2</v>
      </c>
    </row>
    <row r="99" spans="2:7">
      <c r="B99" s="34">
        <f>100/( (1+E99/2)^(2*1*2) )</f>
        <v>97.674403443391924</v>
      </c>
      <c r="C99" s="8">
        <v>2</v>
      </c>
      <c r="D99" s="8">
        <v>2</v>
      </c>
      <c r="E99" s="35">
        <v>1.18E-2</v>
      </c>
    </row>
    <row r="100" spans="2:7">
      <c r="B100" s="34"/>
      <c r="C100" s="8"/>
      <c r="D100" s="8"/>
      <c r="E100" s="35" t="e">
        <f>( (100/B100) ^ ( 1/(D100*C100) )  - 1 ) * D100</f>
        <v>#DIV/0!</v>
      </c>
      <c r="G100" s="53"/>
    </row>
    <row r="101" spans="2:7">
      <c r="B101" s="34"/>
      <c r="C101" s="8"/>
      <c r="D101" s="8"/>
      <c r="E101" s="35" t="e">
        <f>( (100/B101) ^ ( 1/(D101*C101) )  - 1 ) * D101</f>
        <v>#DIV/0!</v>
      </c>
      <c r="G101" s="53"/>
    </row>
    <row r="102" spans="2:7">
      <c r="B102" s="34"/>
      <c r="C102" s="8"/>
      <c r="D102" s="8"/>
      <c r="E102" s="35" t="e">
        <f>( (100/B102) ^ ( 1/(D102*C102) )  - 1 ) * D102</f>
        <v>#DIV/0!</v>
      </c>
      <c r="G102" s="53"/>
    </row>
    <row r="103" spans="2:7">
      <c r="B103" s="36"/>
      <c r="C103" s="19"/>
      <c r="D103" s="19"/>
      <c r="E103" s="37"/>
    </row>
    <row r="104" spans="2:7">
      <c r="E104" s="18" t="s">
        <v>51</v>
      </c>
    </row>
    <row r="105" spans="2:7">
      <c r="E105" s="18" t="s">
        <v>52</v>
      </c>
    </row>
    <row r="108" spans="2:7" ht="17.25">
      <c r="B108" s="10" t="s">
        <v>55</v>
      </c>
    </row>
    <row r="109" spans="2:7">
      <c r="B109" s="1" t="s">
        <v>56</v>
      </c>
      <c r="C109" s="2"/>
      <c r="D109" s="3"/>
      <c r="E109" t="s">
        <v>59</v>
      </c>
    </row>
    <row r="110" spans="2:7">
      <c r="B110" s="4" t="s">
        <v>57</v>
      </c>
      <c r="C110" s="5"/>
      <c r="D110" s="6"/>
    </row>
    <row r="111" spans="2:7">
      <c r="B111" t="s">
        <v>60</v>
      </c>
    </row>
    <row r="112" spans="2:7">
      <c r="B112" t="s">
        <v>61</v>
      </c>
    </row>
    <row r="113" spans="2:6">
      <c r="B113" s="9" t="s">
        <v>27</v>
      </c>
      <c r="C113" s="9" t="s">
        <v>4</v>
      </c>
      <c r="D113" s="25" t="s">
        <v>30</v>
      </c>
      <c r="E113" s="13" t="s">
        <v>6</v>
      </c>
    </row>
    <row r="114" spans="2:6">
      <c r="B114" s="34">
        <v>99.42</v>
      </c>
      <c r="C114" s="8">
        <v>1</v>
      </c>
      <c r="D114" s="15">
        <v>1</v>
      </c>
      <c r="E114" s="35">
        <f>(1/C114) * LN(100/B114) * D114</f>
        <v>5.816885321564832E-3</v>
      </c>
      <c r="F114" t="s">
        <v>58</v>
      </c>
    </row>
    <row r="115" spans="2:6">
      <c r="B115" s="34">
        <v>97.56</v>
      </c>
      <c r="C115" s="8">
        <v>3</v>
      </c>
      <c r="D115" s="15">
        <v>1</v>
      </c>
      <c r="E115" s="35">
        <f>(1/C115) * LN(100/B115) * D115</f>
        <v>8.2342042134572399E-3</v>
      </c>
      <c r="F115" t="s">
        <v>58</v>
      </c>
    </row>
    <row r="116" spans="2:6">
      <c r="B116" s="34">
        <v>95.4</v>
      </c>
      <c r="C116" s="8">
        <v>3</v>
      </c>
      <c r="D116" s="15">
        <v>1</v>
      </c>
      <c r="E116" s="35">
        <f>(1/C116) * LN(100/B116) * D116</f>
        <v>1.5697202511283457E-2</v>
      </c>
      <c r="F116" t="s">
        <v>62</v>
      </c>
    </row>
    <row r="117" spans="2:6">
      <c r="B117" s="34">
        <v>94.58</v>
      </c>
      <c r="C117" s="8">
        <v>5</v>
      </c>
      <c r="D117" s="15">
        <v>1</v>
      </c>
      <c r="E117" s="35">
        <f>(1/C117) * LN(100/B117) * D117</f>
        <v>1.1144829754472344E-2</v>
      </c>
      <c r="F117" t="s">
        <v>78</v>
      </c>
    </row>
    <row r="118" spans="2:6">
      <c r="B118" s="34"/>
      <c r="C118" s="8"/>
      <c r="D118" s="15"/>
      <c r="E118" s="35" t="e">
        <f>(1/C118) * LN(100/B118) * D118</f>
        <v>#DIV/0!</v>
      </c>
    </row>
    <row r="120" spans="2:6">
      <c r="E120" s="18" t="s">
        <v>64</v>
      </c>
    </row>
    <row r="121" spans="2:6">
      <c r="E121" s="18" t="s">
        <v>65</v>
      </c>
    </row>
    <row r="125" spans="2:6" ht="17.25">
      <c r="B125" s="10" t="s">
        <v>66</v>
      </c>
    </row>
    <row r="126" spans="2:6">
      <c r="B126" s="1" t="s">
        <v>79</v>
      </c>
      <c r="C126" s="2"/>
      <c r="D126" s="3"/>
    </row>
    <row r="127" spans="2:6">
      <c r="B127" s="4"/>
      <c r="C127" s="5"/>
      <c r="D127" s="6"/>
    </row>
    <row r="130" spans="2:11">
      <c r="B130" s="9" t="s">
        <v>67</v>
      </c>
      <c r="C130" s="9" t="s">
        <v>69</v>
      </c>
      <c r="D130" s="16" t="s">
        <v>72</v>
      </c>
      <c r="E130" s="9" t="s">
        <v>68</v>
      </c>
      <c r="F130" s="9" t="s">
        <v>70</v>
      </c>
      <c r="G130" s="16" t="s">
        <v>73</v>
      </c>
      <c r="H130" s="9" t="s">
        <v>71</v>
      </c>
      <c r="J130" s="13" t="s">
        <v>6</v>
      </c>
    </row>
    <row r="131" spans="2:11">
      <c r="B131" s="28">
        <v>1.4999999999999999E-2</v>
      </c>
      <c r="C131" s="7">
        <v>1</v>
      </c>
      <c r="D131" s="39">
        <f>C131*H131</f>
        <v>2</v>
      </c>
      <c r="E131" s="27">
        <v>0.02</v>
      </c>
      <c r="F131" s="7">
        <v>1.5</v>
      </c>
      <c r="G131" s="39">
        <f>F131*H131</f>
        <v>3</v>
      </c>
      <c r="H131" s="7">
        <v>2</v>
      </c>
      <c r="J131" s="35">
        <f xml:space="preserve"> 2 * (  ( (1.01) ^ 3 / ( 1.0075 ) ^2 ) - 1 )</f>
        <v>3.0037251630143036E-2</v>
      </c>
    </row>
    <row r="132" spans="2:11">
      <c r="B132" s="28">
        <v>8.9999999999999993E-3</v>
      </c>
      <c r="C132" s="7">
        <v>2</v>
      </c>
      <c r="D132" s="39">
        <f>C132*H132</f>
        <v>4</v>
      </c>
      <c r="E132" s="28">
        <v>1.0999999999999999E-2</v>
      </c>
      <c r="F132" s="7">
        <v>2.5</v>
      </c>
      <c r="G132" s="39">
        <f>F132*H132</f>
        <v>5</v>
      </c>
      <c r="H132" s="7">
        <v>2</v>
      </c>
      <c r="J132" s="35">
        <f xml:space="preserve"> ( ( (1+ 1.1%/2) ^ 5 / ( 1 + 0.9%/2) ^ 4 )  - 1 ) * 2</f>
        <v>1.9019930234263072E-2</v>
      </c>
      <c r="K132" t="s">
        <v>78</v>
      </c>
    </row>
    <row r="136" spans="2:11" ht="17.25">
      <c r="B136" s="10" t="s">
        <v>74</v>
      </c>
    </row>
    <row r="137" spans="2:11">
      <c r="B137" s="1" t="s">
        <v>75</v>
      </c>
      <c r="C137" s="2"/>
      <c r="D137" s="3"/>
    </row>
    <row r="138" spans="2:11">
      <c r="B138" s="4" t="s">
        <v>76</v>
      </c>
      <c r="C138" s="5"/>
      <c r="D138" s="6"/>
    </row>
    <row r="140" spans="2:11">
      <c r="B140" s="9" t="s">
        <v>67</v>
      </c>
      <c r="C140" s="9" t="s">
        <v>69</v>
      </c>
      <c r="D140" s="16" t="s">
        <v>72</v>
      </c>
      <c r="E140" s="9" t="s">
        <v>68</v>
      </c>
      <c r="F140" s="9" t="s">
        <v>70</v>
      </c>
      <c r="G140" s="16" t="s">
        <v>73</v>
      </c>
      <c r="H140" s="9" t="s">
        <v>71</v>
      </c>
      <c r="I140" s="16" t="s">
        <v>77</v>
      </c>
      <c r="K140" s="13" t="s">
        <v>6</v>
      </c>
    </row>
    <row r="141" spans="2:11">
      <c r="B141" s="28">
        <v>1.4999999999999999E-2</v>
      </c>
      <c r="C141" s="7">
        <v>1</v>
      </c>
      <c r="D141" s="39">
        <f>C141*H141</f>
        <v>2</v>
      </c>
      <c r="E141" s="27">
        <v>0.02</v>
      </c>
      <c r="F141" s="7">
        <v>1.5</v>
      </c>
      <c r="G141" s="39">
        <f>F141*H141</f>
        <v>3</v>
      </c>
      <c r="H141" s="7">
        <v>2</v>
      </c>
      <c r="I141" s="39">
        <f>G141-D141</f>
        <v>1</v>
      </c>
      <c r="K141" s="35">
        <f xml:space="preserve"> ( E141 * G141 - B141 * D141 ) / I141</f>
        <v>0.03</v>
      </c>
    </row>
    <row r="142" spans="2:11">
      <c r="B142" s="28"/>
      <c r="C142" s="7"/>
      <c r="D142" s="39">
        <f>C142*H142</f>
        <v>0</v>
      </c>
      <c r="E142" s="27"/>
      <c r="F142" s="7"/>
      <c r="G142" s="39">
        <f>F142*H142</f>
        <v>0</v>
      </c>
      <c r="H142" s="7"/>
      <c r="I142" s="39">
        <f>G142-D142</f>
        <v>0</v>
      </c>
      <c r="K142" s="35" t="e">
        <f xml:space="preserve"> ( E142 * G142 - B142 * D142 ) / I142</f>
        <v>#DIV/0!</v>
      </c>
    </row>
    <row r="143" spans="2:11">
      <c r="B143" s="28"/>
      <c r="C143" s="7"/>
      <c r="D143" s="39">
        <f>C143*H143</f>
        <v>0</v>
      </c>
      <c r="E143" s="27"/>
      <c r="F143" s="7"/>
      <c r="G143" s="39">
        <f>F143*H143</f>
        <v>0</v>
      </c>
      <c r="H143" s="7"/>
      <c r="I143" s="39">
        <f>G143-D143</f>
        <v>0</v>
      </c>
      <c r="K143" s="35" t="e">
        <f xml:space="preserve"> ( E143 * G143 - B143 * D143 ) / I143</f>
        <v>#DIV/0!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79"/>
  <sheetViews>
    <sheetView showGridLines="0" workbookViewId="0">
      <selection activeCell="A82" sqref="A82"/>
    </sheetView>
  </sheetViews>
  <sheetFormatPr defaultRowHeight="13.5"/>
  <cols>
    <col min="1" max="54" width="14.625" customWidth="1"/>
  </cols>
  <sheetData>
    <row r="1" spans="1:3" ht="30.75">
      <c r="A1" s="72" t="s">
        <v>151</v>
      </c>
    </row>
    <row r="3" spans="1:3">
      <c r="B3" t="s">
        <v>152</v>
      </c>
    </row>
    <row r="4" spans="1:3">
      <c r="B4" t="s">
        <v>87</v>
      </c>
    </row>
    <row r="5" spans="1:3">
      <c r="B5" s="74">
        <v>3.1250000000000002E-3</v>
      </c>
    </row>
    <row r="6" spans="1:3">
      <c r="B6" s="76" t="s">
        <v>153</v>
      </c>
    </row>
    <row r="7" spans="1:3">
      <c r="B7" s="75">
        <f>B5 * 365/300</f>
        <v>3.8020833333333335E-3</v>
      </c>
    </row>
    <row r="10" spans="1:3">
      <c r="B10" t="s">
        <v>88</v>
      </c>
    </row>
    <row r="11" spans="1:3">
      <c r="B11" t="s">
        <v>156</v>
      </c>
    </row>
    <row r="13" spans="1:3">
      <c r="B13" t="s">
        <v>154</v>
      </c>
    </row>
    <row r="15" spans="1:3">
      <c r="B15" t="s">
        <v>155</v>
      </c>
    </row>
    <row r="16" spans="1:3">
      <c r="B16" s="76" t="s">
        <v>157</v>
      </c>
      <c r="C16" s="77"/>
    </row>
    <row r="17" spans="1:5">
      <c r="B17" s="75">
        <f xml:space="preserve"> 0.8% + 0.3% * 365/360</f>
        <v>1.1041666666666667E-2</v>
      </c>
    </row>
    <row r="19" spans="1:5" s="57" customFormat="1" ht="6" customHeight="1"/>
    <row r="20" spans="1:5" ht="25.5">
      <c r="A20" s="62" t="s">
        <v>160</v>
      </c>
    </row>
    <row r="21" spans="1:5">
      <c r="B21" s="79" t="s">
        <v>164</v>
      </c>
    </row>
    <row r="22" spans="1:5">
      <c r="B22" s="9" t="s">
        <v>83</v>
      </c>
      <c r="C22" s="9" t="s">
        <v>82</v>
      </c>
    </row>
    <row r="23" spans="1:5">
      <c r="B23" s="8" t="s">
        <v>161</v>
      </c>
      <c r="C23" s="11">
        <v>0.01</v>
      </c>
    </row>
    <row r="24" spans="1:5">
      <c r="B24" s="8" t="s">
        <v>162</v>
      </c>
      <c r="C24" s="11">
        <v>1.4999999999999999E-2</v>
      </c>
    </row>
    <row r="25" spans="1:5">
      <c r="B25" s="8" t="s">
        <v>163</v>
      </c>
      <c r="C25" s="11">
        <v>0.02</v>
      </c>
    </row>
    <row r="26" spans="1:5">
      <c r="B26" s="19"/>
      <c r="C26" s="80"/>
    </row>
    <row r="27" spans="1:5">
      <c r="B27" s="65" t="s">
        <v>170</v>
      </c>
    </row>
    <row r="28" spans="1:5">
      <c r="B28" s="65" t="s">
        <v>165</v>
      </c>
      <c r="E28" s="69">
        <f xml:space="preserve"> 100 / ( 100 + 1*365/360)</f>
        <v>0.98996287639213532</v>
      </c>
    </row>
    <row r="29" spans="1:5">
      <c r="B29" t="s">
        <v>166</v>
      </c>
      <c r="E29" s="69">
        <f>(100 - 1.5*E28)/101.5</f>
        <v>0.97059168162967291</v>
      </c>
    </row>
    <row r="30" spans="1:5">
      <c r="B30" t="s">
        <v>167</v>
      </c>
      <c r="E30" s="69">
        <f xml:space="preserve"> ( 100 - 2*(E28+E29) ) / 102</f>
        <v>0.94194991062702338</v>
      </c>
    </row>
    <row r="32" spans="1:5">
      <c r="B32" t="s">
        <v>168</v>
      </c>
    </row>
    <row r="33" spans="2:7">
      <c r="B33" s="7">
        <v>2</v>
      </c>
      <c r="C33" s="7">
        <f>B33*E28</f>
        <v>1.9799257527842706</v>
      </c>
    </row>
    <row r="34" spans="2:7">
      <c r="B34" s="7">
        <v>2</v>
      </c>
      <c r="C34" s="7">
        <f t="shared" ref="C34:C35" si="0">B34*E29</f>
        <v>1.9411833632593458</v>
      </c>
    </row>
    <row r="35" spans="2:7">
      <c r="B35" s="7">
        <v>102</v>
      </c>
      <c r="C35" s="7">
        <f t="shared" si="0"/>
        <v>96.07889088395639</v>
      </c>
    </row>
    <row r="36" spans="2:7">
      <c r="C36" s="77">
        <f>SUM(C33:C35)</f>
        <v>100</v>
      </c>
      <c r="D36" t="s">
        <v>169</v>
      </c>
    </row>
    <row r="39" spans="2:7">
      <c r="B39" s="79" t="s">
        <v>49</v>
      </c>
    </row>
    <row r="40" spans="2:7">
      <c r="B40" s="9" t="s">
        <v>83</v>
      </c>
      <c r="C40" s="9" t="s">
        <v>82</v>
      </c>
    </row>
    <row r="41" spans="2:7">
      <c r="B41" s="8" t="s">
        <v>171</v>
      </c>
      <c r="C41" s="11">
        <v>5.0000000000000001E-3</v>
      </c>
      <c r="D41" t="s">
        <v>178</v>
      </c>
    </row>
    <row r="42" spans="2:7">
      <c r="B42" s="8" t="s">
        <v>172</v>
      </c>
      <c r="C42" s="11">
        <v>8.0000000000000002E-3</v>
      </c>
    </row>
    <row r="43" spans="2:7">
      <c r="B43" s="8" t="s">
        <v>173</v>
      </c>
      <c r="C43" s="11">
        <v>1.2E-2</v>
      </c>
    </row>
    <row r="44" spans="2:7">
      <c r="B44" s="8" t="s">
        <v>174</v>
      </c>
      <c r="C44" s="11">
        <v>1.4999999999999999E-2</v>
      </c>
    </row>
    <row r="45" spans="2:7">
      <c r="B45" s="8" t="s">
        <v>175</v>
      </c>
      <c r="C45" s="81">
        <v>1.7500000000000002E-2</v>
      </c>
      <c r="D45" t="s">
        <v>180</v>
      </c>
    </row>
    <row r="46" spans="2:7">
      <c r="B46" s="8" t="s">
        <v>176</v>
      </c>
      <c r="C46" s="11">
        <v>0.02</v>
      </c>
    </row>
    <row r="48" spans="2:7">
      <c r="B48" s="65" t="s">
        <v>177</v>
      </c>
      <c r="G48" s="69">
        <f xml:space="preserve"> 100 / ( 100 + 0.5*365/360)</f>
        <v>0.99495612519864574</v>
      </c>
    </row>
    <row r="49" spans="2:7">
      <c r="B49" s="65" t="s">
        <v>179</v>
      </c>
      <c r="G49" s="69">
        <f xml:space="preserve"> ( 100 - 0.4 * G48 ) / 100.4</f>
        <v>0.99205196762869063</v>
      </c>
    </row>
    <row r="50" spans="2:7">
      <c r="B50" t="s">
        <v>181</v>
      </c>
      <c r="G50" s="69">
        <f xml:space="preserve"> ( 100 - 0.6 * (G48+G49) ) / 100.6</f>
        <v>0.98218484238870385</v>
      </c>
    </row>
    <row r="51" spans="2:7">
      <c r="B51" t="s">
        <v>182</v>
      </c>
      <c r="G51" s="69">
        <f xml:space="preserve"> ( 100 - 0.75*(G48+G49+G50) ) / 100.75</f>
        <v>0.97045265805050085</v>
      </c>
    </row>
    <row r="52" spans="2:7">
      <c r="B52" t="s">
        <v>183</v>
      </c>
      <c r="G52" s="69">
        <f xml:space="preserve"> ( 100 - (1.75/2)*(G48+G49+G50+G51) ) / (100 + (1.75/2))</f>
        <v>0.95715301220214899</v>
      </c>
    </row>
    <row r="53" spans="2:7">
      <c r="B53" t="s">
        <v>184</v>
      </c>
      <c r="G53" s="69">
        <f xml:space="preserve"> ( 100 - 1 * (G48+G49+G50+G51+G52) ) / 101</f>
        <v>0.94161585539139914</v>
      </c>
    </row>
    <row r="55" spans="2:7">
      <c r="B55" t="s">
        <v>168</v>
      </c>
    </row>
    <row r="56" spans="2:7">
      <c r="B56" s="7">
        <v>1</v>
      </c>
      <c r="C56" s="7">
        <f>B56*G48</f>
        <v>0.99495612519864574</v>
      </c>
    </row>
    <row r="57" spans="2:7">
      <c r="B57" s="7">
        <v>1</v>
      </c>
      <c r="C57" s="7">
        <f t="shared" ref="C57:C61" si="1">B57*G49</f>
        <v>0.99205196762869063</v>
      </c>
    </row>
    <row r="58" spans="2:7">
      <c r="B58" s="7">
        <v>1</v>
      </c>
      <c r="C58" s="7">
        <f t="shared" si="1"/>
        <v>0.98218484238870385</v>
      </c>
    </row>
    <row r="59" spans="2:7">
      <c r="B59" s="82">
        <v>1</v>
      </c>
      <c r="C59" s="7">
        <f t="shared" si="1"/>
        <v>0.97045265805050085</v>
      </c>
    </row>
    <row r="60" spans="2:7">
      <c r="B60" s="82">
        <v>1</v>
      </c>
      <c r="C60" s="7">
        <f t="shared" si="1"/>
        <v>0.95715301220214899</v>
      </c>
    </row>
    <row r="61" spans="2:7">
      <c r="B61" s="82">
        <v>101</v>
      </c>
      <c r="C61" s="7">
        <f t="shared" si="1"/>
        <v>95.103201394531311</v>
      </c>
    </row>
    <row r="62" spans="2:7">
      <c r="C62" s="41">
        <f>SUM(C56:C61)</f>
        <v>100</v>
      </c>
    </row>
    <row r="65" spans="1:5">
      <c r="B65" s="79" t="s">
        <v>58</v>
      </c>
    </row>
    <row r="66" spans="1:5">
      <c r="B66" s="7" t="s">
        <v>81</v>
      </c>
      <c r="C66" s="7" t="s">
        <v>188</v>
      </c>
    </row>
    <row r="67" spans="1:5">
      <c r="B67" s="7" t="s">
        <v>83</v>
      </c>
      <c r="C67" s="7" t="s">
        <v>189</v>
      </c>
    </row>
    <row r="68" spans="1:5">
      <c r="B68" s="7" t="s">
        <v>185</v>
      </c>
      <c r="C68" s="28">
        <v>2.5999999999999999E-2</v>
      </c>
      <c r="E68" t="s">
        <v>192</v>
      </c>
    </row>
    <row r="69" spans="1:5">
      <c r="B69" s="7" t="s">
        <v>186</v>
      </c>
      <c r="C69" s="7" t="s">
        <v>190</v>
      </c>
    </row>
    <row r="70" spans="1:5">
      <c r="B70" t="s">
        <v>187</v>
      </c>
      <c r="E70" t="s">
        <v>193</v>
      </c>
    </row>
    <row r="73" spans="1:5">
      <c r="B73" t="s">
        <v>191</v>
      </c>
    </row>
    <row r="74" spans="1:5">
      <c r="B74" t="s">
        <v>194</v>
      </c>
    </row>
    <row r="75" spans="1:5">
      <c r="B75" s="67">
        <f>10000000000 * 0.3% * (G48+G49+G50+G51+G52+G53 )</f>
        <v>175152433.82580268</v>
      </c>
    </row>
    <row r="78" spans="1:5" s="57" customFormat="1" ht="7.5" customHeight="1"/>
    <row r="79" spans="1:5" ht="25.5">
      <c r="A79" s="62" t="s">
        <v>160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5"/>
  <sheetViews>
    <sheetView showGridLines="0" workbookViewId="0">
      <selection activeCell="D99" sqref="D99"/>
    </sheetView>
  </sheetViews>
  <sheetFormatPr defaultRowHeight="13.5"/>
  <cols>
    <col min="1" max="19" width="16.625" customWidth="1"/>
  </cols>
  <sheetData>
    <row r="1" spans="1:7" ht="24">
      <c r="A1" s="40" t="s">
        <v>80</v>
      </c>
    </row>
    <row r="2" spans="1:7">
      <c r="B2" s="42" t="s">
        <v>11</v>
      </c>
    </row>
    <row r="3" spans="1:7">
      <c r="B3" t="s">
        <v>84</v>
      </c>
    </row>
    <row r="5" spans="1:7">
      <c r="B5" s="41" t="s">
        <v>81</v>
      </c>
      <c r="C5" s="41" t="s">
        <v>82</v>
      </c>
      <c r="D5" s="41" t="s">
        <v>83</v>
      </c>
      <c r="E5" s="41" t="s">
        <v>85</v>
      </c>
      <c r="F5" s="13" t="s">
        <v>6</v>
      </c>
    </row>
    <row r="6" spans="1:7">
      <c r="B6" s="14">
        <v>100000000</v>
      </c>
      <c r="C6" s="28">
        <v>7.7999999999999996E-3</v>
      </c>
      <c r="D6" s="7">
        <f>150/365</f>
        <v>0.41095890410958902</v>
      </c>
      <c r="E6" s="7">
        <v>150</v>
      </c>
      <c r="F6" s="14">
        <f>B6 * ( (1+C6/E6)^(D6*E6) )</f>
        <v>100321053.88880028</v>
      </c>
      <c r="G6" t="s">
        <v>87</v>
      </c>
    </row>
    <row r="7" spans="1:7">
      <c r="B7" s="14">
        <v>100000000</v>
      </c>
      <c r="C7" s="28">
        <v>7.7999999999999996E-3</v>
      </c>
      <c r="D7" s="7">
        <f>150/365</f>
        <v>0.41095890410958902</v>
      </c>
      <c r="E7" s="7">
        <f>24*3600*150</f>
        <v>12960000</v>
      </c>
      <c r="F7" s="14">
        <f>B7 * ( (1+C7/E7)^(D7*E7) )</f>
        <v>100321062.2760258</v>
      </c>
      <c r="G7" t="s">
        <v>88</v>
      </c>
    </row>
    <row r="8" spans="1:7">
      <c r="B8" s="14"/>
      <c r="C8" s="28"/>
      <c r="D8" s="7"/>
      <c r="E8" s="7"/>
      <c r="F8" s="7"/>
    </row>
    <row r="10" spans="1:7">
      <c r="B10" t="s">
        <v>16</v>
      </c>
    </row>
    <row r="11" spans="1:7">
      <c r="B11" t="s">
        <v>86</v>
      </c>
    </row>
    <row r="13" spans="1:7">
      <c r="B13" s="41" t="s">
        <v>81</v>
      </c>
      <c r="C13" s="41" t="s">
        <v>82</v>
      </c>
      <c r="D13" s="41" t="s">
        <v>83</v>
      </c>
      <c r="E13" s="13" t="s">
        <v>6</v>
      </c>
    </row>
    <row r="14" spans="1:7">
      <c r="B14" s="14">
        <v>100000000</v>
      </c>
      <c r="C14" s="28">
        <v>7.7999999999999996E-3</v>
      </c>
      <c r="D14" s="7">
        <f>150/365</f>
        <v>0.41095890410958902</v>
      </c>
      <c r="E14" s="14">
        <f>B14*EXP(C14*D14)</f>
        <v>100321062.24951516</v>
      </c>
      <c r="F14" t="s">
        <v>89</v>
      </c>
    </row>
    <row r="19" spans="1:7">
      <c r="B19" s="42" t="s">
        <v>19</v>
      </c>
    </row>
    <row r="20" spans="1:7">
      <c r="B20" t="s">
        <v>47</v>
      </c>
    </row>
    <row r="21" spans="1:7">
      <c r="B21" t="s">
        <v>91</v>
      </c>
      <c r="E21" t="s">
        <v>90</v>
      </c>
    </row>
    <row r="23" spans="1:7">
      <c r="B23" s="41" t="s">
        <v>27</v>
      </c>
      <c r="C23" s="41" t="s">
        <v>83</v>
      </c>
      <c r="D23" s="41" t="s">
        <v>71</v>
      </c>
      <c r="E23" s="39" t="s">
        <v>85</v>
      </c>
      <c r="F23" s="13" t="s">
        <v>6</v>
      </c>
    </row>
    <row r="24" spans="1:7">
      <c r="A24" t="s">
        <v>8</v>
      </c>
      <c r="B24" s="20">
        <v>98.97</v>
      </c>
      <c r="C24" s="7">
        <v>1.5</v>
      </c>
      <c r="D24" s="7">
        <v>2</v>
      </c>
      <c r="E24" s="7">
        <f t="shared" ref="E24:E35" si="0">C24*D24</f>
        <v>3</v>
      </c>
      <c r="F24" s="44">
        <f t="shared" ref="F24:F34" si="1">( ( 100 / B24 ) ^ ( 1/E24) - 1 ) * D24</f>
        <v>6.9141987819838491E-3</v>
      </c>
    </row>
    <row r="25" spans="1:7">
      <c r="A25" t="s">
        <v>12</v>
      </c>
      <c r="B25" s="20">
        <v>98.97</v>
      </c>
      <c r="C25" s="7">
        <v>1.5</v>
      </c>
      <c r="D25" s="7">
        <v>4</v>
      </c>
      <c r="E25" s="7">
        <f t="shared" si="0"/>
        <v>6</v>
      </c>
      <c r="F25" s="43">
        <f t="shared" si="1"/>
        <v>6.9082333210319646E-3</v>
      </c>
      <c r="G25" t="s">
        <v>92</v>
      </c>
    </row>
    <row r="26" spans="1:7">
      <c r="A26" t="s">
        <v>13</v>
      </c>
      <c r="B26" s="20">
        <v>98.97</v>
      </c>
      <c r="C26" s="7">
        <v>1.5</v>
      </c>
      <c r="D26" s="7">
        <v>365</v>
      </c>
      <c r="E26" s="7">
        <f t="shared" si="0"/>
        <v>547.5</v>
      </c>
      <c r="F26" s="43">
        <f t="shared" si="1"/>
        <v>6.9023399822421005E-3</v>
      </c>
      <c r="G26" t="s">
        <v>92</v>
      </c>
    </row>
    <row r="27" spans="1:7">
      <c r="A27" t="s">
        <v>10</v>
      </c>
      <c r="B27" s="20">
        <v>98.97</v>
      </c>
      <c r="C27" s="7">
        <v>1.5</v>
      </c>
      <c r="D27" s="7">
        <f>24*3600*365</f>
        <v>31536000</v>
      </c>
      <c r="E27" s="7">
        <f t="shared" si="0"/>
        <v>47304000</v>
      </c>
      <c r="F27" s="43">
        <f t="shared" si="1"/>
        <v>6.9022713624633525E-3</v>
      </c>
      <c r="G27" t="s">
        <v>92</v>
      </c>
    </row>
    <row r="28" spans="1:7">
      <c r="A28" t="s">
        <v>8</v>
      </c>
      <c r="B28" s="20">
        <v>98.43</v>
      </c>
      <c r="C28" s="7">
        <v>2</v>
      </c>
      <c r="D28" s="7">
        <v>2</v>
      </c>
      <c r="E28" s="7">
        <f t="shared" si="0"/>
        <v>4</v>
      </c>
      <c r="F28" s="44">
        <f t="shared" si="1"/>
        <v>7.9279468577220236E-3</v>
      </c>
    </row>
    <row r="29" spans="1:7">
      <c r="A29" t="s">
        <v>12</v>
      </c>
      <c r="B29" s="20">
        <v>98.43</v>
      </c>
      <c r="C29" s="7">
        <v>2</v>
      </c>
      <c r="D29" s="7">
        <v>4</v>
      </c>
      <c r="E29" s="7">
        <f t="shared" si="0"/>
        <v>8</v>
      </c>
      <c r="F29" s="43">
        <f t="shared" si="1"/>
        <v>7.92010584814129E-3</v>
      </c>
      <c r="G29" t="s">
        <v>88</v>
      </c>
    </row>
    <row r="30" spans="1:7">
      <c r="A30" t="s">
        <v>13</v>
      </c>
      <c r="B30" s="20">
        <v>98.43</v>
      </c>
      <c r="C30" s="7">
        <v>2</v>
      </c>
      <c r="D30" s="7">
        <v>365</v>
      </c>
      <c r="E30" s="7">
        <f t="shared" si="0"/>
        <v>730</v>
      </c>
      <c r="F30" s="43">
        <f t="shared" si="1"/>
        <v>7.9123609331721578E-3</v>
      </c>
      <c r="G30" t="s">
        <v>88</v>
      </c>
    </row>
    <row r="31" spans="1:7">
      <c r="A31" t="s">
        <v>10</v>
      </c>
      <c r="B31" s="20">
        <v>98.43</v>
      </c>
      <c r="C31" s="7">
        <v>2</v>
      </c>
      <c r="D31" s="7">
        <f>24*3600*365</f>
        <v>31536000</v>
      </c>
      <c r="E31" s="7">
        <f t="shared" si="0"/>
        <v>63072000</v>
      </c>
      <c r="F31" s="43">
        <f t="shared" si="1"/>
        <v>7.9122763381178629E-3</v>
      </c>
      <c r="G31" t="s">
        <v>88</v>
      </c>
    </row>
    <row r="32" spans="1:7">
      <c r="A32" t="s">
        <v>8</v>
      </c>
      <c r="B32" s="20">
        <v>97.95</v>
      </c>
      <c r="C32" s="7">
        <v>2.25</v>
      </c>
      <c r="D32" s="7">
        <v>2</v>
      </c>
      <c r="E32" s="7">
        <f t="shared" si="0"/>
        <v>4.5</v>
      </c>
      <c r="F32" s="44">
        <f t="shared" si="1"/>
        <v>9.227015480932188E-3</v>
      </c>
    </row>
    <row r="33" spans="1:7">
      <c r="A33" t="s">
        <v>12</v>
      </c>
      <c r="B33" s="20">
        <v>97.95</v>
      </c>
      <c r="C33" s="7">
        <v>2.25</v>
      </c>
      <c r="D33" s="7">
        <v>4</v>
      </c>
      <c r="E33" s="7">
        <f t="shared" si="0"/>
        <v>9</v>
      </c>
      <c r="F33" s="43">
        <f t="shared" si="1"/>
        <v>9.2163977325361301E-3</v>
      </c>
      <c r="G33" t="s">
        <v>93</v>
      </c>
    </row>
    <row r="34" spans="1:7">
      <c r="A34" t="s">
        <v>13</v>
      </c>
      <c r="B34" s="20">
        <v>97.95</v>
      </c>
      <c r="C34" s="7">
        <v>2.25</v>
      </c>
      <c r="D34" s="7">
        <v>365</v>
      </c>
      <c r="E34" s="7">
        <f t="shared" si="0"/>
        <v>821.25</v>
      </c>
      <c r="F34" s="43">
        <f t="shared" si="1"/>
        <v>9.2059123578758228E-3</v>
      </c>
      <c r="G34" t="s">
        <v>93</v>
      </c>
    </row>
    <row r="35" spans="1:7">
      <c r="A35" t="s">
        <v>10</v>
      </c>
      <c r="B35" s="20">
        <v>97.95</v>
      </c>
      <c r="C35" s="7">
        <v>2.25</v>
      </c>
      <c r="D35" s="7">
        <f>24*3600*365</f>
        <v>31536000</v>
      </c>
      <c r="E35" s="7">
        <f t="shared" si="0"/>
        <v>70956000</v>
      </c>
      <c r="F35" s="43">
        <v>0.02</v>
      </c>
      <c r="G35" t="s">
        <v>93</v>
      </c>
    </row>
    <row r="37" spans="1:7">
      <c r="B37" t="s">
        <v>94</v>
      </c>
    </row>
    <row r="38" spans="1:7">
      <c r="B38" t="s">
        <v>95</v>
      </c>
      <c r="D38" t="s">
        <v>96</v>
      </c>
    </row>
    <row r="40" spans="1:7">
      <c r="B40" s="41" t="s">
        <v>27</v>
      </c>
      <c r="C40" s="41" t="s">
        <v>83</v>
      </c>
      <c r="D40" s="13" t="s">
        <v>6</v>
      </c>
    </row>
    <row r="41" spans="1:7">
      <c r="A41" t="s">
        <v>16</v>
      </c>
      <c r="B41" s="20">
        <v>98.97</v>
      </c>
      <c r="C41" s="7">
        <v>1.5</v>
      </c>
      <c r="D41" s="43">
        <f>(1/C41)*LN(100/B41)</f>
        <v>6.9022747196611448E-3</v>
      </c>
      <c r="E41" t="s">
        <v>92</v>
      </c>
    </row>
    <row r="42" spans="1:7">
      <c r="A42" t="s">
        <v>16</v>
      </c>
      <c r="B42" s="20">
        <v>98.43</v>
      </c>
      <c r="C42" s="7">
        <v>2</v>
      </c>
      <c r="D42" s="43">
        <f>(1/C42)*LN(100/B42)</f>
        <v>7.9122751734856406E-3</v>
      </c>
      <c r="E42" t="s">
        <v>88</v>
      </c>
    </row>
    <row r="43" spans="1:7">
      <c r="A43" t="s">
        <v>16</v>
      </c>
      <c r="B43" s="20">
        <v>97.95</v>
      </c>
      <c r="C43" s="7">
        <v>2.25</v>
      </c>
      <c r="D43" s="43">
        <f>(1/C43)*LN(100/B43)</f>
        <v>9.2057962655740112E-3</v>
      </c>
      <c r="E43" t="s">
        <v>93</v>
      </c>
    </row>
    <row r="47" spans="1:7">
      <c r="B47" s="42" t="s">
        <v>22</v>
      </c>
    </row>
    <row r="48" spans="1:7">
      <c r="B48" t="s">
        <v>66</v>
      </c>
    </row>
    <row r="49" spans="1:8">
      <c r="B49" t="s">
        <v>97</v>
      </c>
    </row>
    <row r="51" spans="1:8">
      <c r="B51" s="9" t="s">
        <v>98</v>
      </c>
      <c r="C51" s="9" t="s">
        <v>99</v>
      </c>
      <c r="D51" s="9" t="s">
        <v>100</v>
      </c>
      <c r="E51" s="9" t="s">
        <v>101</v>
      </c>
      <c r="F51" s="9" t="s">
        <v>102</v>
      </c>
      <c r="G51" s="13" t="s">
        <v>6</v>
      </c>
    </row>
    <row r="52" spans="1:8">
      <c r="A52" t="s">
        <v>8</v>
      </c>
      <c r="B52" s="45">
        <v>6.9141999999999997E-3</v>
      </c>
      <c r="C52" s="7">
        <v>3</v>
      </c>
      <c r="D52" s="45">
        <v>7.9278999999999999E-3</v>
      </c>
      <c r="E52" s="7">
        <v>4</v>
      </c>
      <c r="F52" s="7">
        <v>2</v>
      </c>
      <c r="G52" s="46">
        <f xml:space="preserve"> ( ( ( (1+D52/F52)^E52 ) / ( (1+B52/F52)^C52 ) )  - 1 ) * F52</f>
        <v>1.0972073176996666E-2</v>
      </c>
      <c r="H52" t="s">
        <v>92</v>
      </c>
    </row>
    <row r="53" spans="1:8">
      <c r="A53" t="s">
        <v>104</v>
      </c>
      <c r="B53" s="45">
        <v>6.9081999999999998E-3</v>
      </c>
      <c r="C53" s="7">
        <v>6</v>
      </c>
      <c r="D53" s="45">
        <v>7.9200999999999994E-3</v>
      </c>
      <c r="E53" s="7">
        <v>8</v>
      </c>
      <c r="F53" s="7">
        <v>4</v>
      </c>
      <c r="G53" s="46">
        <f xml:space="preserve"> ( ( ( (1+D53/F53)^E53 ) / ( (1+B53/F53)^C53 ) ) ^ (1/2)  - 1 ) * F53</f>
        <v>1.0957333522545909E-2</v>
      </c>
      <c r="H53" t="s">
        <v>103</v>
      </c>
    </row>
    <row r="54" spans="1:8">
      <c r="A54" t="s">
        <v>104</v>
      </c>
      <c r="B54" s="45">
        <v>7.9200999999999994E-3</v>
      </c>
      <c r="C54" s="7">
        <v>8</v>
      </c>
      <c r="D54" s="45">
        <v>9.2163999999999996E-3</v>
      </c>
      <c r="E54" s="7">
        <v>9</v>
      </c>
      <c r="F54" s="7">
        <v>4</v>
      </c>
      <c r="G54" s="46">
        <f xml:space="preserve"> ( ( ( (1+D54/F54)^E54 ) / ( (1+B54/F54)^C54 ) )  - 1 ) * F54</f>
        <v>1.9601905053811208E-2</v>
      </c>
    </row>
    <row r="56" spans="1:8">
      <c r="B56" t="s">
        <v>105</v>
      </c>
    </row>
    <row r="57" spans="1:8">
      <c r="B57" t="s">
        <v>106</v>
      </c>
    </row>
    <row r="58" spans="1:8">
      <c r="B58" s="9" t="s">
        <v>98</v>
      </c>
      <c r="C58" s="9" t="s">
        <v>69</v>
      </c>
      <c r="D58" s="9" t="s">
        <v>100</v>
      </c>
      <c r="E58" s="9" t="s">
        <v>107</v>
      </c>
      <c r="F58" s="9" t="s">
        <v>83</v>
      </c>
      <c r="G58" s="13" t="s">
        <v>6</v>
      </c>
    </row>
    <row r="59" spans="1:8">
      <c r="B59" s="45">
        <v>7.9200999999999994E-3</v>
      </c>
      <c r="C59" s="7">
        <v>2</v>
      </c>
      <c r="D59" s="45">
        <v>9.2163999999999996E-3</v>
      </c>
      <c r="E59" s="7">
        <v>2.25</v>
      </c>
      <c r="F59" s="7">
        <v>0.25</v>
      </c>
      <c r="G59" s="46">
        <f xml:space="preserve">  (D59*E59 - B59*C59) / F59</f>
        <v>1.9586800000000001E-2</v>
      </c>
    </row>
    <row r="64" spans="1:8">
      <c r="B64" s="42" t="s">
        <v>53</v>
      </c>
    </row>
    <row r="65" spans="1:9" ht="10.5" customHeight="1">
      <c r="A65" s="47"/>
      <c r="B65" t="s">
        <v>200</v>
      </c>
    </row>
    <row r="67" spans="1:9">
      <c r="B67" s="63" t="s">
        <v>138</v>
      </c>
      <c r="C67" s="63" t="s">
        <v>83</v>
      </c>
      <c r="D67" s="63" t="s">
        <v>195</v>
      </c>
      <c r="E67" s="51" t="s">
        <v>197</v>
      </c>
    </row>
    <row r="68" spans="1:9">
      <c r="B68" s="8" t="s">
        <v>108</v>
      </c>
      <c r="C68" s="8">
        <v>0.5</v>
      </c>
      <c r="D68" s="11">
        <v>7.4999999999999997E-3</v>
      </c>
      <c r="E68" s="83">
        <f t="shared" ref="E68:E70" si="2">100 /  ( (1+D68/2)^(2*C68) )</f>
        <v>99.626400996264024</v>
      </c>
    </row>
    <row r="69" spans="1:9">
      <c r="B69" s="8" t="s">
        <v>108</v>
      </c>
      <c r="C69" s="8">
        <v>1</v>
      </c>
      <c r="D69" s="11">
        <v>8.8000000000000005E-3</v>
      </c>
      <c r="E69" s="83">
        <f t="shared" si="2"/>
        <v>99.125774112820366</v>
      </c>
    </row>
    <row r="70" spans="1:9">
      <c r="B70" s="8" t="s">
        <v>108</v>
      </c>
      <c r="C70" s="8">
        <v>1.5</v>
      </c>
      <c r="D70" s="11">
        <v>1.0200000000000001E-2</v>
      </c>
      <c r="E70" s="83">
        <f t="shared" si="2"/>
        <v>98.485474356583538</v>
      </c>
    </row>
    <row r="71" spans="1:9">
      <c r="B71" s="8" t="s">
        <v>108</v>
      </c>
      <c r="C71" s="8">
        <v>2</v>
      </c>
      <c r="D71" s="11">
        <v>1.18E-2</v>
      </c>
      <c r="E71" s="83">
        <f>100 /  ( (1+D71/2)^(2*C71) )</f>
        <v>97.674403443391924</v>
      </c>
      <c r="F71" s="18" t="s">
        <v>199</v>
      </c>
    </row>
    <row r="72" spans="1:9">
      <c r="D72" s="73"/>
    </row>
    <row r="73" spans="1:9">
      <c r="B73" s="64" t="s">
        <v>196</v>
      </c>
    </row>
    <row r="74" spans="1:9">
      <c r="B74" s="1" t="s">
        <v>50</v>
      </c>
      <c r="C74" s="2"/>
      <c r="D74" s="3"/>
    </row>
    <row r="75" spans="1:9">
      <c r="B75" s="4" t="s">
        <v>201</v>
      </c>
      <c r="C75" s="5"/>
      <c r="D75" s="6"/>
    </row>
    <row r="78" spans="1:9">
      <c r="B78" s="65" t="s">
        <v>142</v>
      </c>
      <c r="G78" s="53"/>
      <c r="H78" s="53"/>
      <c r="I78" s="53"/>
    </row>
    <row r="79" spans="1:9">
      <c r="B79" t="s">
        <v>143</v>
      </c>
      <c r="C79" s="66"/>
      <c r="E79" s="70">
        <f>E68/100</f>
        <v>0.9962640099626402</v>
      </c>
      <c r="G79" s="53"/>
      <c r="H79" s="53"/>
      <c r="I79" s="53"/>
    </row>
    <row r="80" spans="1:9">
      <c r="B80" t="s">
        <v>202</v>
      </c>
      <c r="E80" s="70">
        <f>E69/100</f>
        <v>0.99125774112820364</v>
      </c>
      <c r="G80" s="53"/>
      <c r="H80" s="53"/>
      <c r="I80" s="53"/>
    </row>
    <row r="81" spans="2:9">
      <c r="B81" t="s">
        <v>203</v>
      </c>
      <c r="E81" s="70">
        <f>E70/100</f>
        <v>0.98485474356583536</v>
      </c>
      <c r="G81" s="53"/>
      <c r="H81" s="53"/>
      <c r="I81" s="53"/>
    </row>
    <row r="82" spans="2:9">
      <c r="B82" t="s">
        <v>204</v>
      </c>
      <c r="E82" s="70">
        <f>E71/100</f>
        <v>0.97674403443391922</v>
      </c>
      <c r="G82" s="53"/>
      <c r="H82" s="53"/>
      <c r="I82" s="53"/>
    </row>
    <row r="83" spans="2:9">
      <c r="G83" s="53"/>
      <c r="H83" s="84"/>
      <c r="I83" s="53"/>
    </row>
    <row r="84" spans="2:9">
      <c r="B84" t="s">
        <v>205</v>
      </c>
    </row>
    <row r="85" spans="2:9">
      <c r="B85" s="7">
        <v>0.6</v>
      </c>
      <c r="C85" s="7">
        <f>B85*E79</f>
        <v>0.59775840597758412</v>
      </c>
    </row>
    <row r="86" spans="2:9">
      <c r="B86" s="7">
        <v>0.6</v>
      </c>
      <c r="C86" s="7">
        <f t="shared" ref="C86:C88" si="3">B86*E80</f>
        <v>0.59475464467692218</v>
      </c>
    </row>
    <row r="87" spans="2:9">
      <c r="B87" s="7">
        <v>0.6</v>
      </c>
      <c r="C87" s="7">
        <f t="shared" si="3"/>
        <v>0.59091284613950124</v>
      </c>
      <c r="E87" t="s">
        <v>206</v>
      </c>
    </row>
    <row r="88" spans="2:9">
      <c r="B88" s="7">
        <v>100.6</v>
      </c>
      <c r="C88" s="7">
        <f t="shared" si="3"/>
        <v>98.260449864052262</v>
      </c>
      <c r="E88">
        <f>(C89-0.6*(E79+E80+E81) ) / 100.6</f>
        <v>0.97674403443391922</v>
      </c>
    </row>
    <row r="89" spans="2:9">
      <c r="C89" s="69">
        <f>SUM(C85:C88)</f>
        <v>100.04387576084628</v>
      </c>
      <c r="E89" s="18" t="s">
        <v>207</v>
      </c>
    </row>
    <row r="92" spans="2:9">
      <c r="B92" s="9" t="s">
        <v>27</v>
      </c>
      <c r="C92" s="9" t="s">
        <v>28</v>
      </c>
      <c r="D92" s="9" t="s">
        <v>4</v>
      </c>
      <c r="E92" s="25" t="s">
        <v>30</v>
      </c>
      <c r="F92" s="9" t="s">
        <v>29</v>
      </c>
      <c r="H92" s="9" t="s">
        <v>31</v>
      </c>
      <c r="I92" s="13" t="s">
        <v>6</v>
      </c>
    </row>
    <row r="93" spans="2:9">
      <c r="B93" s="85">
        <f>C89</f>
        <v>100.04387576084628</v>
      </c>
      <c r="C93" s="11">
        <v>1.2E-2</v>
      </c>
      <c r="D93" s="8">
        <v>2</v>
      </c>
      <c r="E93" s="8">
        <v>2</v>
      </c>
      <c r="F93" s="26">
        <f>C93/E93</f>
        <v>6.0000000000000001E-3</v>
      </c>
      <c r="H93" s="7">
        <f>B93*(-1)</f>
        <v>-100.04387576084628</v>
      </c>
      <c r="I93" s="86">
        <f>IRR(H93:H95) * E93</f>
        <v>1.155743555458022E-2</v>
      </c>
    </row>
    <row r="94" spans="2:9">
      <c r="H94" s="7">
        <f>100*F93</f>
        <v>0.6</v>
      </c>
    </row>
    <row r="95" spans="2:9">
      <c r="H95" s="7">
        <f>100*F93 + 100</f>
        <v>100.6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25"/>
  <sheetViews>
    <sheetView zoomScale="85" zoomScaleNormal="85" workbookViewId="0">
      <selection activeCell="E35" sqref="E35"/>
    </sheetView>
  </sheetViews>
  <sheetFormatPr defaultRowHeight="13.5"/>
  <cols>
    <col min="1" max="13" width="15.625" customWidth="1"/>
  </cols>
  <sheetData>
    <row r="1" spans="1:6" ht="18.75">
      <c r="A1" s="134" t="s">
        <v>224</v>
      </c>
      <c r="B1" s="99"/>
      <c r="C1" s="99"/>
      <c r="D1" s="99"/>
      <c r="E1" s="99"/>
      <c r="F1" s="99"/>
    </row>
    <row r="2" spans="1:6">
      <c r="A2" s="101" t="s">
        <v>215</v>
      </c>
      <c r="B2" s="101" t="s">
        <v>213</v>
      </c>
      <c r="C2" s="101" t="s">
        <v>209</v>
      </c>
      <c r="D2" s="101" t="s">
        <v>211</v>
      </c>
      <c r="E2" s="102" t="s">
        <v>212</v>
      </c>
      <c r="F2" s="99"/>
    </row>
    <row r="3" spans="1:6">
      <c r="A3" s="105">
        <v>100000000</v>
      </c>
      <c r="B3" s="106">
        <f>150/365</f>
        <v>0.41095890410958902</v>
      </c>
      <c r="C3" s="107">
        <v>7.7999999999999996E-3</v>
      </c>
      <c r="D3" s="106">
        <v>365</v>
      </c>
      <c r="E3" s="190">
        <f>A3 * ( (1+C3/D3)^(B3*D3) )</f>
        <v>100321058.81353395</v>
      </c>
      <c r="F3" s="99" t="s">
        <v>295</v>
      </c>
    </row>
    <row r="4" spans="1:6">
      <c r="A4" s="105">
        <v>100000000</v>
      </c>
      <c r="B4" s="106">
        <f>150/365</f>
        <v>0.41095890410958902</v>
      </c>
      <c r="C4" s="107">
        <v>7.7999999999999996E-3</v>
      </c>
      <c r="D4" s="106">
        <f>24*3600*365</f>
        <v>31536000</v>
      </c>
      <c r="E4" s="190">
        <f>A4 * ( (1+C4/D4)^(B4*D4) )</f>
        <v>100321062.24214059</v>
      </c>
      <c r="F4" s="99" t="s">
        <v>10</v>
      </c>
    </row>
    <row r="5" spans="1:6">
      <c r="A5" s="105"/>
      <c r="B5" s="106"/>
      <c r="C5" s="107"/>
      <c r="D5" s="106"/>
      <c r="E5" s="116" t="e">
        <f>A5 * ( (1+C5/D5)^(B5*D5) )</f>
        <v>#DIV/0!</v>
      </c>
      <c r="F5" s="99"/>
    </row>
    <row r="6" spans="1:6">
      <c r="A6" s="99"/>
      <c r="B6" s="99"/>
      <c r="C6" s="99"/>
      <c r="D6" s="99"/>
      <c r="E6" s="115" t="s">
        <v>214</v>
      </c>
      <c r="F6" s="99"/>
    </row>
    <row r="7" spans="1:6">
      <c r="A7" s="99"/>
      <c r="B7" s="99"/>
      <c r="C7" s="99"/>
      <c r="D7" s="99"/>
      <c r="E7" s="99"/>
      <c r="F7" s="99"/>
    </row>
    <row r="8" spans="1:6">
      <c r="A8" s="99"/>
      <c r="B8" s="99"/>
      <c r="C8" s="99"/>
      <c r="D8" s="99"/>
      <c r="E8" s="99"/>
      <c r="F8" s="99"/>
    </row>
    <row r="9" spans="1:6">
      <c r="A9" s="99"/>
      <c r="B9" s="99"/>
      <c r="C9" s="99"/>
      <c r="D9" s="99"/>
      <c r="E9" s="99"/>
      <c r="F9" s="99"/>
    </row>
    <row r="10" spans="1:6" ht="18.75">
      <c r="A10" s="134" t="s">
        <v>225</v>
      </c>
      <c r="B10" s="99"/>
      <c r="C10" s="99"/>
      <c r="D10" s="99"/>
      <c r="E10" s="99"/>
      <c r="F10" s="99"/>
    </row>
    <row r="11" spans="1:6">
      <c r="A11" s="101" t="s">
        <v>215</v>
      </c>
      <c r="B11" s="101" t="s">
        <v>213</v>
      </c>
      <c r="C11" s="101" t="s">
        <v>209</v>
      </c>
      <c r="D11" s="102" t="s">
        <v>212</v>
      </c>
      <c r="E11" s="99"/>
      <c r="F11" s="99"/>
    </row>
    <row r="12" spans="1:6">
      <c r="A12" s="105">
        <v>100000000</v>
      </c>
      <c r="B12" s="106">
        <f>150/365</f>
        <v>0.41095890410958902</v>
      </c>
      <c r="C12" s="107">
        <v>7.7999999999999996E-3</v>
      </c>
      <c r="D12" s="190">
        <f>A12 * EXP(B12*C12)</f>
        <v>100321062.24951516</v>
      </c>
      <c r="E12" s="99" t="s">
        <v>16</v>
      </c>
      <c r="F12" s="99"/>
    </row>
    <row r="13" spans="1:6">
      <c r="A13" s="105"/>
      <c r="B13" s="106"/>
      <c r="C13" s="107"/>
      <c r="D13" s="116">
        <f>A13 * EXP(B13*C13)</f>
        <v>0</v>
      </c>
      <c r="E13" s="99"/>
      <c r="F13" s="99"/>
    </row>
    <row r="14" spans="1:6">
      <c r="A14" s="99"/>
      <c r="B14" s="99"/>
      <c r="C14" s="99"/>
      <c r="D14" s="117" t="s">
        <v>216</v>
      </c>
      <c r="E14" s="99"/>
      <c r="F14" s="99"/>
    </row>
    <row r="18" spans="1:10" ht="17.25">
      <c r="A18" s="10" t="s">
        <v>231</v>
      </c>
      <c r="B18" s="99"/>
      <c r="C18" s="99"/>
      <c r="D18" s="99"/>
      <c r="E18" s="99"/>
      <c r="F18" s="99"/>
      <c r="G18" s="10" t="s">
        <v>47</v>
      </c>
      <c r="H18" s="99"/>
      <c r="I18" s="99"/>
      <c r="J18" s="99"/>
    </row>
    <row r="19" spans="1:10">
      <c r="A19" s="100" t="s">
        <v>232</v>
      </c>
      <c r="B19" s="99"/>
      <c r="C19" s="99"/>
      <c r="D19" s="99"/>
      <c r="E19" s="99"/>
      <c r="F19" s="99"/>
      <c r="G19" s="99"/>
      <c r="H19" s="99"/>
      <c r="I19" s="99"/>
      <c r="J19" s="99"/>
    </row>
    <row r="20" spans="1:10">
      <c r="A20" s="145" t="s">
        <v>27</v>
      </c>
      <c r="B20" s="9" t="s">
        <v>4</v>
      </c>
      <c r="C20" s="25" t="s">
        <v>30</v>
      </c>
      <c r="D20" s="13" t="s">
        <v>47</v>
      </c>
      <c r="E20" s="99"/>
      <c r="F20" s="99"/>
      <c r="G20" t="s">
        <v>48</v>
      </c>
    </row>
    <row r="21" spans="1:10">
      <c r="A21" s="193">
        <v>98.97</v>
      </c>
      <c r="B21" s="194">
        <v>1.5</v>
      </c>
      <c r="C21" s="194">
        <v>2</v>
      </c>
      <c r="D21" s="195">
        <f t="shared" ref="D21:D32" si="0">( (100/A21) ^ ( 1/(C21*B21) )  - 1 ) * C21</f>
        <v>6.9141987819838491E-3</v>
      </c>
      <c r="E21" s="99"/>
      <c r="F21" s="99"/>
      <c r="G21" s="1" t="s">
        <v>50</v>
      </c>
      <c r="H21" s="2"/>
      <c r="I21" s="3"/>
      <c r="J21" s="99"/>
    </row>
    <row r="22" spans="1:10">
      <c r="A22" s="198">
        <v>98.97</v>
      </c>
      <c r="B22" s="146">
        <v>1.5</v>
      </c>
      <c r="C22" s="146">
        <v>4</v>
      </c>
      <c r="D22" s="199">
        <f t="shared" si="0"/>
        <v>6.9082333210319646E-3</v>
      </c>
      <c r="E22" s="99"/>
      <c r="F22" s="99"/>
      <c r="G22" s="4" t="s">
        <v>296</v>
      </c>
      <c r="H22" s="5"/>
      <c r="I22" s="6"/>
    </row>
    <row r="23" spans="1:10">
      <c r="A23" s="34">
        <v>98.97</v>
      </c>
      <c r="B23" s="8">
        <v>1.5</v>
      </c>
      <c r="C23" s="8">
        <v>365</v>
      </c>
      <c r="D23" s="192">
        <f t="shared" si="0"/>
        <v>6.9023399822421005E-3</v>
      </c>
      <c r="E23" s="99"/>
      <c r="F23" s="99"/>
      <c r="G23" s="99"/>
      <c r="H23" s="99"/>
      <c r="I23" s="99"/>
      <c r="J23" s="99"/>
    </row>
    <row r="24" spans="1:10">
      <c r="A24" s="34">
        <v>98.97</v>
      </c>
      <c r="B24" s="8">
        <v>1.5</v>
      </c>
      <c r="C24" s="8">
        <f>24*3600*365</f>
        <v>31536000</v>
      </c>
      <c r="D24" s="192">
        <f t="shared" si="0"/>
        <v>6.9022713624633525E-3</v>
      </c>
      <c r="E24" s="99"/>
      <c r="F24" s="99"/>
      <c r="G24" s="1" t="s">
        <v>50</v>
      </c>
      <c r="H24" s="2"/>
      <c r="I24" s="3"/>
      <c r="J24" s="99"/>
    </row>
    <row r="25" spans="1:10">
      <c r="A25" s="193">
        <v>98.43</v>
      </c>
      <c r="B25" s="194">
        <v>2</v>
      </c>
      <c r="C25" s="194">
        <v>2</v>
      </c>
      <c r="D25" s="195">
        <f t="shared" si="0"/>
        <v>7.9279468577220236E-3</v>
      </c>
      <c r="E25" s="99"/>
      <c r="F25" s="99"/>
      <c r="G25" s="4" t="s">
        <v>296</v>
      </c>
      <c r="H25" s="5"/>
      <c r="I25" s="6"/>
    </row>
    <row r="26" spans="1:10">
      <c r="A26" s="198">
        <v>98.43</v>
      </c>
      <c r="B26" s="146">
        <v>2</v>
      </c>
      <c r="C26" s="146">
        <v>4</v>
      </c>
      <c r="D26" s="199">
        <f t="shared" si="0"/>
        <v>7.92010584814129E-3</v>
      </c>
      <c r="E26" s="99"/>
      <c r="F26" s="99"/>
      <c r="G26" s="99"/>
      <c r="H26" s="99"/>
      <c r="I26" s="99"/>
      <c r="J26" s="99"/>
    </row>
    <row r="27" spans="1:10">
      <c r="A27" s="34">
        <v>98.43</v>
      </c>
      <c r="B27" s="8">
        <v>2</v>
      </c>
      <c r="C27" s="8">
        <v>365</v>
      </c>
      <c r="D27" s="192">
        <f t="shared" si="0"/>
        <v>7.9123609331721578E-3</v>
      </c>
      <c r="E27" s="99"/>
      <c r="F27" s="99"/>
      <c r="G27" s="1" t="s">
        <v>50</v>
      </c>
      <c r="H27" s="2"/>
      <c r="I27" s="3"/>
      <c r="J27" s="99"/>
    </row>
    <row r="28" spans="1:10">
      <c r="A28" s="34">
        <v>98.43</v>
      </c>
      <c r="B28" s="8">
        <v>2</v>
      </c>
      <c r="C28" s="8">
        <f>24*3600*365</f>
        <v>31536000</v>
      </c>
      <c r="D28" s="192">
        <f t="shared" si="0"/>
        <v>7.9122763381178629E-3</v>
      </c>
      <c r="E28" s="99"/>
      <c r="F28" s="99"/>
      <c r="G28" s="4" t="s">
        <v>296</v>
      </c>
      <c r="H28" s="5"/>
      <c r="I28" s="6"/>
    </row>
    <row r="29" spans="1:10">
      <c r="A29" s="34">
        <v>97.95</v>
      </c>
      <c r="B29" s="8">
        <v>2.25</v>
      </c>
      <c r="C29" s="8">
        <v>2</v>
      </c>
      <c r="D29" s="191">
        <f t="shared" si="0"/>
        <v>9.227015480932188E-3</v>
      </c>
      <c r="E29" s="99"/>
      <c r="F29" s="99"/>
      <c r="G29" s="99"/>
      <c r="H29" s="99"/>
      <c r="I29" s="99"/>
      <c r="J29" s="99"/>
    </row>
    <row r="30" spans="1:10">
      <c r="A30" s="198">
        <v>97.95</v>
      </c>
      <c r="B30" s="146">
        <v>2.25</v>
      </c>
      <c r="C30" s="146">
        <v>4</v>
      </c>
      <c r="D30" s="199">
        <f t="shared" si="0"/>
        <v>9.2163977325361301E-3</v>
      </c>
      <c r="E30" s="143"/>
      <c r="F30" s="99"/>
      <c r="G30" s="99" t="s">
        <v>233</v>
      </c>
      <c r="H30" s="99"/>
      <c r="I30" s="99"/>
      <c r="J30" s="99"/>
    </row>
    <row r="31" spans="1:10">
      <c r="A31" s="34">
        <v>97.95</v>
      </c>
      <c r="B31" s="8">
        <v>2.25</v>
      </c>
      <c r="C31" s="8">
        <v>365</v>
      </c>
      <c r="D31" s="192">
        <f t="shared" si="0"/>
        <v>9.2059123578758228E-3</v>
      </c>
      <c r="E31" s="124"/>
      <c r="F31" s="92"/>
      <c r="G31" s="1" t="s">
        <v>54</v>
      </c>
      <c r="H31" s="136"/>
      <c r="I31" s="136"/>
      <c r="J31" s="137"/>
    </row>
    <row r="32" spans="1:10">
      <c r="A32" s="34">
        <v>97.95</v>
      </c>
      <c r="B32" s="8">
        <v>2.25</v>
      </c>
      <c r="C32" s="8">
        <f>24*3600*365</f>
        <v>31536000</v>
      </c>
      <c r="D32" s="192">
        <f t="shared" si="0"/>
        <v>9.2057944307555317E-3</v>
      </c>
      <c r="E32" s="99"/>
      <c r="F32" s="99"/>
      <c r="G32" s="138"/>
      <c r="H32" s="139"/>
      <c r="I32" s="139"/>
      <c r="J32" s="140"/>
    </row>
    <row r="33" spans="1:10">
      <c r="A33" s="99"/>
      <c r="B33" s="99"/>
      <c r="C33" s="99"/>
      <c r="D33" s="99"/>
      <c r="E33" s="99"/>
      <c r="F33" s="99"/>
      <c r="G33" s="99"/>
      <c r="H33" s="99"/>
      <c r="I33" s="99"/>
      <c r="J33" s="99"/>
    </row>
    <row r="34" spans="1:10">
      <c r="A34" s="99"/>
      <c r="B34" s="99"/>
      <c r="C34" s="99"/>
      <c r="D34" s="142" t="s">
        <v>234</v>
      </c>
      <c r="E34" s="99"/>
      <c r="F34" s="99"/>
      <c r="G34" s="99"/>
      <c r="H34" s="99"/>
      <c r="I34" s="99"/>
      <c r="J34" s="99"/>
    </row>
    <row r="35" spans="1:10">
      <c r="A35" s="99"/>
      <c r="B35" s="99"/>
      <c r="C35" s="99"/>
      <c r="D35" s="144" t="s">
        <v>52</v>
      </c>
      <c r="E35" s="99"/>
      <c r="F35" s="99"/>
      <c r="G35" s="99"/>
      <c r="H35" s="99"/>
      <c r="I35" s="99"/>
      <c r="J35" s="99"/>
    </row>
    <row r="38" spans="1:10" ht="17.25">
      <c r="A38" s="10" t="s">
        <v>55</v>
      </c>
      <c r="B38" s="99"/>
      <c r="C38" s="99"/>
      <c r="D38" s="99"/>
      <c r="E38" s="99"/>
      <c r="F38" s="99"/>
      <c r="G38" s="99"/>
      <c r="H38" s="99"/>
    </row>
    <row r="39" spans="1:10">
      <c r="A39" s="100" t="s">
        <v>244</v>
      </c>
      <c r="B39" s="99"/>
      <c r="C39" s="99"/>
      <c r="D39" s="99"/>
      <c r="E39" s="99"/>
      <c r="F39" s="99"/>
      <c r="G39" s="99"/>
      <c r="H39" s="99"/>
    </row>
    <row r="40" spans="1:10">
      <c r="A40" s="145" t="s">
        <v>27</v>
      </c>
      <c r="B40" s="9" t="s">
        <v>4</v>
      </c>
      <c r="C40" s="13" t="s">
        <v>47</v>
      </c>
      <c r="E40" s="99"/>
      <c r="F40" s="99"/>
      <c r="G40" s="99"/>
      <c r="H40" s="99"/>
    </row>
    <row r="41" spans="1:10" ht="17.25">
      <c r="A41" s="34">
        <v>98.97</v>
      </c>
      <c r="B41" s="8">
        <v>1.5</v>
      </c>
      <c r="C41" s="35">
        <f>(1/B41)*LN(100/A41)</f>
        <v>6.9022747196611448E-3</v>
      </c>
      <c r="D41" s="87" t="s">
        <v>16</v>
      </c>
      <c r="E41" s="10" t="s">
        <v>55</v>
      </c>
    </row>
    <row r="42" spans="1:10">
      <c r="A42" s="34">
        <v>98.43</v>
      </c>
      <c r="B42" s="8">
        <v>2</v>
      </c>
      <c r="C42" s="35">
        <f>(1/B42)*LN(100/A42)</f>
        <v>7.9122751734856406E-3</v>
      </c>
      <c r="D42" s="92" t="s">
        <v>16</v>
      </c>
      <c r="E42" s="1" t="s">
        <v>56</v>
      </c>
      <c r="F42" s="2"/>
      <c r="G42" s="3"/>
      <c r="H42" s="99"/>
    </row>
    <row r="43" spans="1:10">
      <c r="A43" s="34">
        <v>97.95</v>
      </c>
      <c r="B43" s="8">
        <v>2.25</v>
      </c>
      <c r="C43" s="141">
        <f>(1/B43)*LN(100/A43)</f>
        <v>9.2057962655740112E-3</v>
      </c>
      <c r="D43" s="92" t="s">
        <v>16</v>
      </c>
      <c r="E43" s="4" t="s">
        <v>246</v>
      </c>
      <c r="F43" s="5"/>
      <c r="G43" s="6"/>
    </row>
    <row r="44" spans="1:10">
      <c r="A44" s="34"/>
      <c r="B44" s="8"/>
      <c r="C44" s="35" t="e">
        <f>(1/B44)*LN(100/A44)</f>
        <v>#DIV/0!</v>
      </c>
      <c r="E44" t="s">
        <v>60</v>
      </c>
    </row>
    <row r="45" spans="1:10">
      <c r="A45" s="99"/>
      <c r="B45" s="99"/>
      <c r="C45" s="99"/>
      <c r="D45" s="99"/>
      <c r="E45" t="s">
        <v>61</v>
      </c>
    </row>
    <row r="49" spans="1:14" ht="17.25">
      <c r="A49" s="10" t="s">
        <v>66</v>
      </c>
      <c r="D49" s="99"/>
      <c r="E49" s="99"/>
      <c r="F49" s="99"/>
      <c r="G49" s="99"/>
      <c r="H49" s="10" t="s">
        <v>66</v>
      </c>
      <c r="I49" s="99"/>
      <c r="J49" s="99"/>
    </row>
    <row r="50" spans="1:14">
      <c r="A50" s="101" t="s">
        <v>255</v>
      </c>
      <c r="B50" s="101" t="s">
        <v>67</v>
      </c>
      <c r="C50" s="101" t="s">
        <v>256</v>
      </c>
      <c r="D50" s="101" t="s">
        <v>257</v>
      </c>
      <c r="E50" s="155" t="s">
        <v>258</v>
      </c>
      <c r="F50" s="154" t="s">
        <v>254</v>
      </c>
      <c r="G50" s="99"/>
      <c r="H50" s="1" t="s">
        <v>79</v>
      </c>
      <c r="I50" s="2"/>
      <c r="J50" s="3"/>
    </row>
    <row r="51" spans="1:14">
      <c r="A51" s="106">
        <v>1.5</v>
      </c>
      <c r="B51" s="197">
        <v>6.9141987819838491E-3</v>
      </c>
      <c r="C51" s="106">
        <v>2</v>
      </c>
      <c r="D51" s="197">
        <v>7.9279468577220236E-3</v>
      </c>
      <c r="E51" s="106">
        <v>2</v>
      </c>
      <c r="F51" s="196">
        <f>((((1+((D51)/E51))^(E51*C51))/((1+((B51)/E51))^(E51*A51)))^(1/((C51-A51)*E51))-1)*E51</f>
        <v>1.0972264553489097E-2</v>
      </c>
      <c r="G51" s="150" t="s">
        <v>8</v>
      </c>
      <c r="H51" s="200" t="s">
        <v>298</v>
      </c>
      <c r="I51" s="201"/>
      <c r="J51" s="201"/>
      <c r="K51" s="203"/>
      <c r="L51" s="204"/>
      <c r="M51" s="204"/>
      <c r="N51" s="202"/>
    </row>
    <row r="52" spans="1:14">
      <c r="A52" s="106">
        <v>1.5</v>
      </c>
      <c r="B52" s="199">
        <v>6.9082333210319646E-3</v>
      </c>
      <c r="C52" s="106">
        <v>2</v>
      </c>
      <c r="D52" s="199">
        <v>7.92010584814129E-3</v>
      </c>
      <c r="E52" s="106">
        <v>4</v>
      </c>
      <c r="F52" s="196">
        <f>((((1+((D52)/E52))^(E52*C52))/((1+((B52)/E52))^(E52*A52)))^(1/((C52-A52)*E52))-1)*E52</f>
        <v>1.0957256868726617E-2</v>
      </c>
      <c r="G52" s="150" t="s">
        <v>12</v>
      </c>
      <c r="H52" s="99"/>
      <c r="I52" s="99"/>
      <c r="J52" s="99"/>
    </row>
    <row r="53" spans="1:14">
      <c r="A53" s="106">
        <v>2</v>
      </c>
      <c r="B53" s="199">
        <v>7.92010584814129E-3</v>
      </c>
      <c r="C53" s="106">
        <v>2.25</v>
      </c>
      <c r="D53" s="199">
        <v>9.2163977325361301E-3</v>
      </c>
      <c r="E53" s="106">
        <v>4</v>
      </c>
      <c r="F53" s="196">
        <f>((((1+((D53)/E53))^(E53*C53))/((1+((B53)/E53))^(E53*A53)))^(1/((C53-A53)*E53))-1)*E53</f>
        <v>1.9601837672281519E-2</v>
      </c>
    </row>
    <row r="56" spans="1:14" ht="17.25">
      <c r="A56" s="10" t="s">
        <v>74</v>
      </c>
      <c r="D56" s="99"/>
      <c r="E56" s="99"/>
      <c r="F56" s="99"/>
      <c r="G56" s="99"/>
      <c r="H56" s="10" t="s">
        <v>74</v>
      </c>
      <c r="I56" s="99"/>
      <c r="J56" s="99"/>
    </row>
    <row r="57" spans="1:14">
      <c r="A57" s="101" t="s">
        <v>255</v>
      </c>
      <c r="B57" s="101" t="s">
        <v>67</v>
      </c>
      <c r="C57" s="101" t="s">
        <v>256</v>
      </c>
      <c r="D57" s="101" t="s">
        <v>257</v>
      </c>
      <c r="E57" s="155" t="s">
        <v>258</v>
      </c>
      <c r="F57" s="154" t="s">
        <v>254</v>
      </c>
      <c r="G57" s="99"/>
      <c r="H57" s="1" t="s">
        <v>75</v>
      </c>
      <c r="I57" s="2"/>
      <c r="J57" s="3"/>
    </row>
    <row r="58" spans="1:14">
      <c r="A58" s="106">
        <v>2</v>
      </c>
      <c r="B58" s="199">
        <v>7.92010584814129E-3</v>
      </c>
      <c r="C58" s="106">
        <v>2.25</v>
      </c>
      <c r="D58" s="199">
        <v>9.2163977325361301E-3</v>
      </c>
      <c r="E58" s="106" t="s">
        <v>260</v>
      </c>
      <c r="F58" s="153">
        <f>( (C58*D58) - (A58*B58) ) / ( C58-A58)</f>
        <v>1.9586732807694851E-2</v>
      </c>
      <c r="G58" s="99" t="s">
        <v>16</v>
      </c>
      <c r="H58" s="4" t="s">
        <v>76</v>
      </c>
      <c r="I58" s="5"/>
      <c r="J58" s="6"/>
    </row>
    <row r="65" spans="1:9" ht="17.25">
      <c r="A65" s="10" t="s">
        <v>252</v>
      </c>
      <c r="B65" s="99"/>
      <c r="C65" s="99"/>
      <c r="D65" s="99"/>
      <c r="E65" s="99"/>
    </row>
    <row r="66" spans="1:9">
      <c r="A66" s="100" t="s">
        <v>241</v>
      </c>
      <c r="B66" s="99"/>
      <c r="C66" s="99"/>
      <c r="D66" s="99"/>
      <c r="E66" s="99"/>
    </row>
    <row r="67" spans="1:9" ht="17.25">
      <c r="A67" s="13" t="s">
        <v>27</v>
      </c>
      <c r="B67" s="9" t="s">
        <v>4</v>
      </c>
      <c r="C67" s="25" t="s">
        <v>30</v>
      </c>
      <c r="D67" s="145" t="s">
        <v>47</v>
      </c>
      <c r="E67" s="99"/>
      <c r="G67" s="10" t="s">
        <v>47</v>
      </c>
      <c r="H67" s="99"/>
      <c r="I67" s="99"/>
    </row>
    <row r="68" spans="1:9">
      <c r="A68" s="34">
        <f t="shared" ref="A68" si="1">100 / ( ( 1 + D68/C68 )^(B68*C68) )</f>
        <v>99.626400996264024</v>
      </c>
      <c r="B68" s="8">
        <v>0.5</v>
      </c>
      <c r="C68" s="8">
        <v>2</v>
      </c>
      <c r="D68" s="141">
        <v>7.4999999999999997E-3</v>
      </c>
      <c r="E68" s="99" t="s">
        <v>236</v>
      </c>
      <c r="G68" s="99"/>
      <c r="H68" s="99"/>
      <c r="I68" s="99"/>
    </row>
    <row r="69" spans="1:9">
      <c r="A69" s="34">
        <f t="shared" ref="A69" si="2">100 / ( ( 1 + D69/C69 )^(B69*C69) )</f>
        <v>99.125774112820366</v>
      </c>
      <c r="B69" s="8">
        <v>1</v>
      </c>
      <c r="C69" s="8">
        <v>2</v>
      </c>
      <c r="D69" s="141">
        <v>8.8000000000000005E-3</v>
      </c>
      <c r="E69" s="99" t="s">
        <v>236</v>
      </c>
      <c r="G69" t="s">
        <v>48</v>
      </c>
    </row>
    <row r="70" spans="1:9">
      <c r="A70" s="34">
        <f t="shared" ref="A70" si="3">100 / ( ( 1 + D70/C70 )^(B70*C70) )</f>
        <v>98.485474356583538</v>
      </c>
      <c r="B70" s="8">
        <v>1.5</v>
      </c>
      <c r="C70" s="8">
        <v>2</v>
      </c>
      <c r="D70" s="141">
        <v>1.0200000000000001E-2</v>
      </c>
      <c r="E70" s="99" t="s">
        <v>236</v>
      </c>
      <c r="G70" s="1" t="s">
        <v>50</v>
      </c>
      <c r="H70" s="2"/>
      <c r="I70" s="3"/>
    </row>
    <row r="71" spans="1:9">
      <c r="A71" s="34">
        <f t="shared" ref="A71" si="4">100 / ( ( 1 + D71/C71 )^(B71*C71) )</f>
        <v>97.674403443391924</v>
      </c>
      <c r="B71" s="8">
        <v>2</v>
      </c>
      <c r="C71" s="8">
        <v>2</v>
      </c>
      <c r="D71" s="141">
        <v>1.18E-2</v>
      </c>
      <c r="E71" s="99" t="s">
        <v>236</v>
      </c>
      <c r="G71" s="4" t="s">
        <v>296</v>
      </c>
      <c r="H71" s="5"/>
      <c r="I71" s="6"/>
    </row>
    <row r="72" spans="1:9">
      <c r="A72" s="34"/>
      <c r="B72" s="8"/>
      <c r="C72" s="8"/>
      <c r="D72" s="141"/>
      <c r="E72" s="99"/>
    </row>
    <row r="73" spans="1:9">
      <c r="A73" s="99"/>
      <c r="B73" s="99"/>
      <c r="C73" s="99"/>
      <c r="D73" s="99"/>
      <c r="E73" s="99"/>
    </row>
    <row r="74" spans="1:9">
      <c r="A74" s="148" t="s">
        <v>242</v>
      </c>
      <c r="B74" s="99"/>
      <c r="C74" s="99"/>
      <c r="D74" s="142"/>
      <c r="E74" s="99"/>
    </row>
    <row r="75" spans="1:9">
      <c r="A75" s="149" t="s">
        <v>243</v>
      </c>
      <c r="B75" s="99"/>
      <c r="C75" s="99"/>
      <c r="D75" s="144"/>
      <c r="E75" s="99"/>
    </row>
    <row r="77" spans="1:9">
      <c r="A77" s="135" t="s">
        <v>108</v>
      </c>
      <c r="B77" s="99"/>
      <c r="C77" s="99"/>
    </row>
    <row r="78" spans="1:9">
      <c r="A78" s="163" t="s">
        <v>83</v>
      </c>
      <c r="B78" s="101" t="s">
        <v>27</v>
      </c>
      <c r="C78" s="168" t="s">
        <v>110</v>
      </c>
    </row>
    <row r="79" spans="1:9">
      <c r="A79" s="170">
        <v>0.5</v>
      </c>
      <c r="B79" s="177">
        <v>99.626400996264024</v>
      </c>
      <c r="C79" s="106">
        <f>B79/100</f>
        <v>0.9962640099626402</v>
      </c>
    </row>
    <row r="80" spans="1:9">
      <c r="A80" s="170">
        <v>1</v>
      </c>
      <c r="B80" s="177">
        <v>99.125774112820366</v>
      </c>
      <c r="C80" s="106">
        <f>B80/100</f>
        <v>0.99125774112820364</v>
      </c>
    </row>
    <row r="81" spans="1:8">
      <c r="A81" s="170">
        <v>1.5</v>
      </c>
      <c r="B81" s="177">
        <v>98.485474356583538</v>
      </c>
      <c r="C81" s="106">
        <f>B81/100</f>
        <v>0.98485474356583536</v>
      </c>
    </row>
    <row r="82" spans="1:8">
      <c r="A82" s="170">
        <v>2</v>
      </c>
      <c r="B82" s="177">
        <v>97.674403443391924</v>
      </c>
      <c r="C82" s="106">
        <f>B82/100</f>
        <v>0.97674403443391922</v>
      </c>
    </row>
    <row r="83" spans="1:8">
      <c r="A83" t="s">
        <v>271</v>
      </c>
    </row>
    <row r="86" spans="1:8">
      <c r="A86" s="99" t="s">
        <v>282</v>
      </c>
      <c r="B86" s="99"/>
      <c r="C86" s="171"/>
      <c r="D86" s="99"/>
      <c r="F86" s="53"/>
      <c r="G86" s="53"/>
      <c r="H86" s="53"/>
    </row>
    <row r="87" spans="1:8" ht="17.25">
      <c r="A87" s="101" t="s">
        <v>28</v>
      </c>
      <c r="B87" s="101" t="s">
        <v>281</v>
      </c>
      <c r="C87" s="166" t="s">
        <v>274</v>
      </c>
      <c r="D87" s="99"/>
      <c r="F87" s="10" t="s">
        <v>274</v>
      </c>
      <c r="G87" s="99"/>
      <c r="H87" s="99"/>
    </row>
    <row r="88" spans="1:8">
      <c r="A88" s="174">
        <v>1.2</v>
      </c>
      <c r="B88" s="106">
        <v>2</v>
      </c>
      <c r="C88" s="165">
        <f>(A88/B88) * SUM(C79:C82) + 100 * C82</f>
        <v>100.04387576084628</v>
      </c>
      <c r="D88" s="99" t="s">
        <v>8</v>
      </c>
      <c r="F88" s="173" t="s">
        <v>280</v>
      </c>
      <c r="G88" s="2"/>
      <c r="H88" s="3"/>
    </row>
    <row r="89" spans="1:8">
      <c r="A89" s="99"/>
      <c r="B89" s="99"/>
      <c r="C89" s="99"/>
      <c r="D89" s="99"/>
      <c r="F89" s="4"/>
      <c r="G89" s="5"/>
      <c r="H89" s="6"/>
    </row>
    <row r="97" spans="1:14" ht="17.25">
      <c r="A97" s="92" t="s">
        <v>219</v>
      </c>
      <c r="B97" s="92"/>
      <c r="C97" s="92"/>
      <c r="D97" s="92"/>
      <c r="E97" s="92"/>
      <c r="F97" s="92"/>
      <c r="G97" s="92"/>
      <c r="H97" s="92"/>
      <c r="I97" s="92"/>
      <c r="K97" s="10" t="s">
        <v>223</v>
      </c>
    </row>
    <row r="98" spans="1:14">
      <c r="A98" s="25" t="s">
        <v>27</v>
      </c>
      <c r="B98" s="25" t="s">
        <v>28</v>
      </c>
      <c r="C98" s="25" t="s">
        <v>4</v>
      </c>
      <c r="D98" s="93" t="s">
        <v>30</v>
      </c>
      <c r="E98" s="25" t="s">
        <v>221</v>
      </c>
      <c r="F98" s="92"/>
      <c r="G98" s="25" t="s">
        <v>31</v>
      </c>
      <c r="H98" s="94" t="s">
        <v>6</v>
      </c>
      <c r="I98" s="92"/>
      <c r="K98" s="1" t="s">
        <v>24</v>
      </c>
      <c r="L98" s="2"/>
      <c r="M98" s="2"/>
      <c r="N98" s="3"/>
    </row>
    <row r="99" spans="1:14">
      <c r="A99" s="165">
        <v>100.04387576084628</v>
      </c>
      <c r="B99" s="107">
        <v>1.2E-2</v>
      </c>
      <c r="C99" s="96">
        <v>2</v>
      </c>
      <c r="D99" s="130">
        <v>2</v>
      </c>
      <c r="E99" s="128">
        <f>B99/D99</f>
        <v>6.0000000000000001E-3</v>
      </c>
      <c r="F99" s="131" t="s">
        <v>217</v>
      </c>
      <c r="G99" s="119">
        <f>A99*(-1)</f>
        <v>-100.04387576084628</v>
      </c>
      <c r="H99" s="133">
        <f>IRR(G99:G103) * D99</f>
        <v>1.1777382088500765E-2</v>
      </c>
      <c r="I99" s="92"/>
      <c r="K99" s="21" t="s">
        <v>25</v>
      </c>
      <c r="L99" s="22"/>
      <c r="M99" s="22"/>
      <c r="N99" s="23"/>
    </row>
    <row r="100" spans="1:14">
      <c r="A100" s="92"/>
      <c r="B100" s="92"/>
      <c r="C100" s="92"/>
      <c r="D100" s="92"/>
      <c r="E100" s="129" t="s">
        <v>222</v>
      </c>
      <c r="F100" s="92"/>
      <c r="G100" s="119">
        <f>100*E99</f>
        <v>0.6</v>
      </c>
      <c r="H100" s="92"/>
      <c r="I100" s="92"/>
      <c r="K100" s="21"/>
      <c r="L100" s="22"/>
      <c r="M100" s="22"/>
      <c r="N100" s="23"/>
    </row>
    <row r="101" spans="1:14">
      <c r="A101" s="92"/>
      <c r="B101" s="92"/>
      <c r="C101" s="92"/>
      <c r="D101" s="92"/>
      <c r="E101" s="123" t="s">
        <v>35</v>
      </c>
      <c r="F101" s="92"/>
      <c r="G101" s="119">
        <f>100*E99</f>
        <v>0.6</v>
      </c>
      <c r="H101" s="92"/>
      <c r="I101" s="92"/>
      <c r="K101" s="21" t="s">
        <v>26</v>
      </c>
      <c r="L101" s="22"/>
      <c r="M101" s="22"/>
      <c r="N101" s="23"/>
    </row>
    <row r="102" spans="1:14">
      <c r="A102" s="92"/>
      <c r="B102" s="92"/>
      <c r="C102" s="92"/>
      <c r="D102" s="92"/>
      <c r="E102" s="99"/>
      <c r="F102" s="92"/>
      <c r="G102" s="119">
        <f>100*E99</f>
        <v>0.6</v>
      </c>
      <c r="H102" s="92"/>
      <c r="I102" s="92"/>
      <c r="K102" s="21" t="s">
        <v>25</v>
      </c>
      <c r="L102" s="22"/>
      <c r="M102" s="22"/>
      <c r="N102" s="23"/>
    </row>
    <row r="103" spans="1:14">
      <c r="A103" s="92"/>
      <c r="B103" s="92"/>
      <c r="C103" s="92"/>
      <c r="D103" s="92"/>
      <c r="E103" s="92"/>
      <c r="F103" s="92"/>
      <c r="G103" s="119">
        <f>100*E99 + 100</f>
        <v>100.6</v>
      </c>
      <c r="H103" s="92"/>
      <c r="I103" s="92"/>
      <c r="K103" s="4"/>
      <c r="L103" s="5"/>
      <c r="M103" s="5"/>
      <c r="N103" s="6"/>
    </row>
    <row r="104" spans="1:14">
      <c r="A104" s="92"/>
      <c r="B104" s="92"/>
      <c r="C104" s="92"/>
      <c r="D104" s="92"/>
      <c r="E104" s="92"/>
      <c r="F104" s="92"/>
      <c r="G104" s="132" t="s">
        <v>36</v>
      </c>
      <c r="H104" s="92"/>
      <c r="I104" s="92"/>
    </row>
    <row r="113" spans="1:12">
      <c r="A113" s="161" t="s">
        <v>283</v>
      </c>
      <c r="B113" s="99"/>
      <c r="C113" s="99"/>
      <c r="D113" s="99"/>
      <c r="E113" s="99"/>
      <c r="F113" s="179" t="s">
        <v>288</v>
      </c>
      <c r="G113" s="179"/>
      <c r="H113" s="179"/>
      <c r="I113" s="99"/>
      <c r="J113" s="99"/>
      <c r="K113" s="99"/>
      <c r="L113" s="99"/>
    </row>
    <row r="114" spans="1:12">
      <c r="A114" s="99" t="s">
        <v>287</v>
      </c>
      <c r="B114" s="99"/>
      <c r="C114" s="99"/>
      <c r="D114" s="99"/>
      <c r="E114" s="99"/>
      <c r="F114" s="179" t="s">
        <v>289</v>
      </c>
      <c r="G114" s="179"/>
      <c r="H114" s="179"/>
      <c r="I114" s="99"/>
      <c r="J114" s="99"/>
      <c r="K114" s="99"/>
      <c r="L114" s="99"/>
    </row>
    <row r="115" spans="1:12">
      <c r="A115" s="101" t="s">
        <v>138</v>
      </c>
      <c r="B115" s="101" t="s">
        <v>83</v>
      </c>
      <c r="C115" s="101" t="s">
        <v>139</v>
      </c>
      <c r="D115" s="101" t="s">
        <v>210</v>
      </c>
      <c r="E115" s="178" t="s">
        <v>284</v>
      </c>
      <c r="F115" s="168" t="s">
        <v>285</v>
      </c>
      <c r="G115" s="102" t="s">
        <v>240</v>
      </c>
      <c r="H115" s="99"/>
      <c r="I115" s="99" t="s">
        <v>292</v>
      </c>
      <c r="J115" s="99"/>
      <c r="K115" s="99"/>
      <c r="L115" s="99"/>
    </row>
    <row r="116" spans="1:12">
      <c r="A116" s="162" t="s">
        <v>108</v>
      </c>
      <c r="B116" s="176">
        <v>0.5</v>
      </c>
      <c r="C116" s="162"/>
      <c r="D116" s="162"/>
      <c r="E116" s="177">
        <v>99.6</v>
      </c>
      <c r="F116" s="162">
        <f>E116/100</f>
        <v>0.996</v>
      </c>
      <c r="G116" s="162">
        <f>100*F116</f>
        <v>99.6</v>
      </c>
      <c r="H116" s="99"/>
      <c r="I116" s="186" t="s">
        <v>300</v>
      </c>
      <c r="J116" s="136"/>
      <c r="K116" s="137"/>
      <c r="L116" s="99"/>
    </row>
    <row r="117" spans="1:12">
      <c r="A117" s="162" t="s">
        <v>141</v>
      </c>
      <c r="B117" s="176">
        <v>1</v>
      </c>
      <c r="C117" s="106">
        <v>0.8</v>
      </c>
      <c r="D117" s="162">
        <v>2</v>
      </c>
      <c r="E117" s="177">
        <v>99.784999999999997</v>
      </c>
      <c r="F117" s="180">
        <f>(E117-(C117/D117)*SUM($F$115:F116)) / (100+C117/D117)</f>
        <v>0.98990637450199204</v>
      </c>
      <c r="G117" s="162">
        <f>100*F117</f>
        <v>98.990637450199202</v>
      </c>
      <c r="H117" s="99"/>
      <c r="I117" s="187" t="s">
        <v>301</v>
      </c>
      <c r="J117" s="188"/>
      <c r="K117" s="189"/>
      <c r="L117" s="99"/>
    </row>
    <row r="118" spans="1:12">
      <c r="A118" s="162" t="s">
        <v>141</v>
      </c>
      <c r="B118" s="176">
        <v>1.5</v>
      </c>
      <c r="C118" s="106">
        <v>1.5</v>
      </c>
      <c r="D118" s="162">
        <v>2</v>
      </c>
      <c r="E118" s="177">
        <v>100.4</v>
      </c>
      <c r="F118" s="180">
        <f>(E118-(C118/D118)*SUM($F$115:F117)) / (100+C118/D118)</f>
        <v>0.98174263244787607</v>
      </c>
      <c r="G118" s="162">
        <f>100*F118</f>
        <v>98.17426324478761</v>
      </c>
      <c r="H118" s="99"/>
      <c r="I118" s="187" t="s">
        <v>299</v>
      </c>
      <c r="J118" s="188"/>
      <c r="K118" s="189"/>
      <c r="L118" s="99"/>
    </row>
    <row r="119" spans="1:12">
      <c r="A119" s="162" t="s">
        <v>141</v>
      </c>
      <c r="B119" s="176">
        <v>2</v>
      </c>
      <c r="C119" s="106">
        <v>1.2</v>
      </c>
      <c r="D119" s="162">
        <v>2</v>
      </c>
      <c r="E119" s="177">
        <v>99.8</v>
      </c>
      <c r="F119" s="180">
        <f>(E119-(C119/D119)*SUM($F$115:F118)) / (100+C119/D119)</f>
        <v>0.97434801785119374</v>
      </c>
      <c r="G119" s="162">
        <f>100*F119</f>
        <v>97.434801785119376</v>
      </c>
      <c r="H119" s="99"/>
      <c r="I119" s="138" t="s">
        <v>302</v>
      </c>
      <c r="J119" s="139"/>
      <c r="K119" s="140"/>
      <c r="L119" s="99"/>
    </row>
    <row r="120" spans="1:12">
      <c r="A120" s="99"/>
      <c r="B120" s="99"/>
      <c r="C120" s="99"/>
      <c r="D120" s="99"/>
      <c r="E120" s="99"/>
      <c r="F120" s="171" t="s">
        <v>286</v>
      </c>
      <c r="G120" s="99"/>
      <c r="H120" s="99"/>
      <c r="I120" s="99"/>
      <c r="J120" s="99"/>
      <c r="K120" s="99"/>
      <c r="L120" s="99"/>
    </row>
    <row r="121" spans="1:12">
      <c r="A121" s="101" t="s">
        <v>138</v>
      </c>
      <c r="B121" s="101" t="s">
        <v>83</v>
      </c>
      <c r="C121" s="102" t="s">
        <v>139</v>
      </c>
      <c r="D121" s="101" t="s">
        <v>210</v>
      </c>
      <c r="E121" s="178" t="s">
        <v>284</v>
      </c>
      <c r="F121" s="99"/>
      <c r="J121" s="205"/>
    </row>
    <row r="122" spans="1:12">
      <c r="A122" s="162" t="s">
        <v>141</v>
      </c>
      <c r="B122" s="176">
        <v>2</v>
      </c>
      <c r="C122" s="106">
        <f xml:space="preserve"> ( D122*E122*(1 - F119) ) / SUM(F116:F119)</f>
        <v>1.3014714109329306</v>
      </c>
      <c r="D122" s="162">
        <v>2</v>
      </c>
      <c r="E122" s="177">
        <v>100</v>
      </c>
      <c r="F122" s="99"/>
      <c r="J122" s="205"/>
    </row>
    <row r="123" spans="1:12">
      <c r="A123" s="99"/>
      <c r="B123" s="99" t="s">
        <v>293</v>
      </c>
      <c r="C123" s="99"/>
      <c r="D123" s="99"/>
      <c r="E123" s="99"/>
      <c r="F123" s="99"/>
    </row>
    <row r="124" spans="1:12">
      <c r="A124" s="99"/>
      <c r="B124" s="186" t="s">
        <v>294</v>
      </c>
      <c r="C124" s="136"/>
      <c r="D124" s="137"/>
      <c r="E124" s="99"/>
      <c r="F124" s="99"/>
    </row>
    <row r="125" spans="1:12">
      <c r="A125" s="99"/>
      <c r="B125" s="138"/>
      <c r="C125" s="139"/>
      <c r="D125" s="140"/>
      <c r="E125" s="99"/>
      <c r="F125" s="99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5"/>
  <sheetViews>
    <sheetView showGridLines="0" tabSelected="1" workbookViewId="0">
      <selection activeCell="E84" sqref="E84"/>
    </sheetView>
  </sheetViews>
  <sheetFormatPr defaultRowHeight="11.25"/>
  <cols>
    <col min="1" max="3" width="15.625" style="233" customWidth="1"/>
    <col min="4" max="69" width="15.625" style="87" customWidth="1"/>
    <col min="70" max="16384" width="9" style="87"/>
  </cols>
  <sheetData>
    <row r="1" spans="1:6" ht="21">
      <c r="A1" s="258" t="s">
        <v>400</v>
      </c>
    </row>
    <row r="2" spans="1:6">
      <c r="A2" s="233" t="s">
        <v>360</v>
      </c>
      <c r="D2" s="87" t="s">
        <v>372</v>
      </c>
    </row>
    <row r="3" spans="1:6">
      <c r="A3" s="88" t="s">
        <v>83</v>
      </c>
      <c r="B3" s="88" t="s">
        <v>348</v>
      </c>
      <c r="C3" s="88" t="s">
        <v>333</v>
      </c>
    </row>
    <row r="4" spans="1:6">
      <c r="A4" s="88" t="s">
        <v>361</v>
      </c>
      <c r="B4" s="88">
        <v>0.5</v>
      </c>
      <c r="C4" s="88">
        <v>0.99747168635056971</v>
      </c>
      <c r="D4" s="87" t="s">
        <v>391</v>
      </c>
    </row>
    <row r="5" spans="1:6">
      <c r="A5" s="88" t="s">
        <v>362</v>
      </c>
      <c r="B5" s="88">
        <v>0.8</v>
      </c>
      <c r="C5" s="88">
        <v>0.99204194547270674</v>
      </c>
      <c r="D5" s="87" t="s">
        <v>373</v>
      </c>
    </row>
    <row r="6" spans="1:6">
      <c r="A6" s="88" t="s">
        <v>364</v>
      </c>
      <c r="B6" s="88">
        <v>1.2</v>
      </c>
      <c r="C6" s="88">
        <v>0.98216989881616346</v>
      </c>
      <c r="D6" s="87" t="s">
        <v>375</v>
      </c>
    </row>
    <row r="7" spans="1:6">
      <c r="A7" s="88" t="s">
        <v>366</v>
      </c>
      <c r="B7" s="88">
        <v>1.5</v>
      </c>
      <c r="C7" s="88">
        <v>0.97043411763791976</v>
      </c>
      <c r="D7" s="87" t="s">
        <v>377</v>
      </c>
    </row>
    <row r="8" spans="1:6">
      <c r="A8" s="88" t="s">
        <v>368</v>
      </c>
      <c r="B8" s="88">
        <v>1.75</v>
      </c>
      <c r="C8" s="88">
        <v>0.95713156934579746</v>
      </c>
    </row>
    <row r="9" spans="1:6">
      <c r="A9" s="88" t="s">
        <v>370</v>
      </c>
      <c r="B9" s="88">
        <v>2</v>
      </c>
      <c r="C9" s="88">
        <v>0.9415915919047213</v>
      </c>
    </row>
    <row r="12" spans="1:6">
      <c r="A12" s="233" t="s">
        <v>336</v>
      </c>
    </row>
    <row r="13" spans="1:6">
      <c r="A13" s="88"/>
      <c r="B13" s="88" t="s">
        <v>337</v>
      </c>
      <c r="C13" s="88" t="s">
        <v>339</v>
      </c>
      <c r="E13" s="207" t="s">
        <v>343</v>
      </c>
      <c r="F13" s="207" t="s">
        <v>344</v>
      </c>
    </row>
    <row r="14" spans="1:6">
      <c r="A14" s="88" t="s">
        <v>361</v>
      </c>
      <c r="B14" s="88">
        <v>1</v>
      </c>
      <c r="C14" s="88">
        <v>0.99747168635056971</v>
      </c>
      <c r="E14" s="207">
        <v>0.75</v>
      </c>
      <c r="F14" s="207">
        <v>1</v>
      </c>
    </row>
    <row r="15" spans="1:6">
      <c r="A15" s="88" t="s">
        <v>362</v>
      </c>
      <c r="B15" s="88">
        <v>1</v>
      </c>
      <c r="C15" s="88">
        <v>0.99204194547270674</v>
      </c>
      <c r="E15" s="207">
        <v>0.75</v>
      </c>
      <c r="F15" s="207">
        <v>1</v>
      </c>
    </row>
    <row r="16" spans="1:6">
      <c r="A16" s="88" t="s">
        <v>364</v>
      </c>
      <c r="B16" s="88">
        <v>1</v>
      </c>
      <c r="C16" s="88">
        <v>0.98216989881616346</v>
      </c>
      <c r="E16" s="207">
        <v>0.75</v>
      </c>
      <c r="F16" s="207">
        <v>1</v>
      </c>
    </row>
    <row r="17" spans="1:6">
      <c r="A17" s="88" t="s">
        <v>366</v>
      </c>
      <c r="B17" s="88">
        <v>1</v>
      </c>
      <c r="C17" s="88">
        <v>0.97043411763791976</v>
      </c>
      <c r="E17" s="207">
        <v>100.75</v>
      </c>
      <c r="F17" s="207">
        <v>1</v>
      </c>
    </row>
    <row r="18" spans="1:6">
      <c r="A18" s="88" t="s">
        <v>368</v>
      </c>
      <c r="B18" s="88">
        <v>1</v>
      </c>
      <c r="C18" s="88">
        <v>0.95713156934579746</v>
      </c>
      <c r="E18" s="207"/>
      <c r="F18" s="207">
        <v>1</v>
      </c>
    </row>
    <row r="19" spans="1:6">
      <c r="A19" s="88" t="s">
        <v>370</v>
      </c>
      <c r="B19" s="88">
        <v>101</v>
      </c>
      <c r="C19" s="88">
        <v>95.100750782376849</v>
      </c>
      <c r="E19" s="207"/>
      <c r="F19" s="207">
        <v>101</v>
      </c>
    </row>
    <row r="20" spans="1:6">
      <c r="A20" s="88"/>
      <c r="B20" s="88" t="s">
        <v>342</v>
      </c>
      <c r="C20" s="88">
        <v>100</v>
      </c>
      <c r="E20" s="207">
        <v>100</v>
      </c>
      <c r="F20" s="207">
        <v>100</v>
      </c>
    </row>
    <row r="21" spans="1:6">
      <c r="C21" s="233" t="s">
        <v>351</v>
      </c>
    </row>
    <row r="25" spans="1:6" ht="17.25">
      <c r="A25" s="259" t="s">
        <v>401</v>
      </c>
      <c r="B25" s="255"/>
      <c r="C25" s="255"/>
    </row>
    <row r="26" spans="1:6">
      <c r="A26" s="255"/>
      <c r="B26" s="255"/>
      <c r="C26" s="255"/>
    </row>
    <row r="27" spans="1:6">
      <c r="A27" s="255" t="s">
        <v>394</v>
      </c>
      <c r="B27" s="255"/>
      <c r="C27" s="255"/>
    </row>
    <row r="28" spans="1:6">
      <c r="A28" s="255" t="s">
        <v>395</v>
      </c>
      <c r="B28" s="255"/>
      <c r="C28" s="255"/>
    </row>
    <row r="29" spans="1:6">
      <c r="A29" s="255" t="s">
        <v>396</v>
      </c>
      <c r="B29" s="255"/>
      <c r="C29" s="255"/>
    </row>
    <row r="30" spans="1:6">
      <c r="A30" s="255" t="s">
        <v>397</v>
      </c>
      <c r="B30" s="255"/>
      <c r="C30" s="255"/>
    </row>
    <row r="31" spans="1:6">
      <c r="A31" s="255"/>
      <c r="B31" s="255"/>
      <c r="C31" s="255"/>
    </row>
    <row r="32" spans="1:6">
      <c r="A32" s="255"/>
      <c r="B32" s="255"/>
      <c r="C32" s="255"/>
    </row>
    <row r="33" spans="1:4">
      <c r="A33" s="255" t="s">
        <v>387</v>
      </c>
      <c r="B33" s="255"/>
      <c r="C33" s="255"/>
    </row>
    <row r="34" spans="1:4">
      <c r="A34" s="255" t="s">
        <v>398</v>
      </c>
      <c r="B34" s="255"/>
      <c r="C34" s="255"/>
    </row>
    <row r="35" spans="1:4">
      <c r="A35" s="255"/>
      <c r="B35" s="255"/>
      <c r="C35" s="255"/>
    </row>
    <row r="36" spans="1:4">
      <c r="A36" s="255" t="s">
        <v>6</v>
      </c>
      <c r="B36" s="255"/>
      <c r="C36" s="255"/>
    </row>
    <row r="37" spans="1:4">
      <c r="A37" s="255" t="s">
        <v>399</v>
      </c>
      <c r="B37" s="255"/>
      <c r="C37" s="255"/>
    </row>
    <row r="38" spans="1:4">
      <c r="A38" s="257">
        <f>1000000000 * (0.2%/2) * SUM(C4:C9)</f>
        <v>5840840.8095278786</v>
      </c>
      <c r="B38" s="255"/>
      <c r="C38" s="255"/>
    </row>
    <row r="39" spans="1:4">
      <c r="A39" s="255"/>
      <c r="B39" s="255"/>
      <c r="C39" s="255"/>
    </row>
    <row r="40" spans="1:4">
      <c r="A40" s="255"/>
      <c r="B40" s="255"/>
      <c r="C40" s="255"/>
    </row>
    <row r="42" spans="1:4" ht="17.25">
      <c r="A42" s="259" t="s">
        <v>402</v>
      </c>
    </row>
    <row r="43" spans="1:4" ht="21">
      <c r="A43" s="206" t="s">
        <v>332</v>
      </c>
      <c r="B43" s="87"/>
      <c r="C43" s="87"/>
      <c r="D43" s="87" t="s">
        <v>372</v>
      </c>
    </row>
    <row r="44" spans="1:4">
      <c r="A44" s="25" t="s">
        <v>83</v>
      </c>
      <c r="B44" s="25" t="s">
        <v>348</v>
      </c>
      <c r="C44" s="234" t="s">
        <v>110</v>
      </c>
    </row>
    <row r="45" spans="1:4">
      <c r="A45" s="88" t="s">
        <v>329</v>
      </c>
      <c r="B45" s="240">
        <v>0.86</v>
      </c>
      <c r="C45" s="237">
        <f>100 / (100 + B45*365/360)</f>
        <v>0.99135592706924902</v>
      </c>
      <c r="D45" s="235" t="s">
        <v>405</v>
      </c>
    </row>
    <row r="46" spans="1:4">
      <c r="A46" s="88" t="s">
        <v>330</v>
      </c>
      <c r="B46" s="240">
        <v>1.05</v>
      </c>
      <c r="C46" s="237">
        <f>(100 - (B46/1) * SUM($C$45:C45) ) / ( 100 + B46/1)</f>
        <v>0.97930802846687082</v>
      </c>
      <c r="D46" s="235" t="s">
        <v>406</v>
      </c>
    </row>
    <row r="47" spans="1:4">
      <c r="A47" s="88" t="s">
        <v>331</v>
      </c>
      <c r="B47" s="240">
        <v>1.25</v>
      </c>
      <c r="C47" s="237">
        <f>(100 - (B47/1) * SUM($C$45:C46) ) / ( 100 + B47/1)</f>
        <v>0.96332513635140593</v>
      </c>
      <c r="D47" s="235" t="s">
        <v>407</v>
      </c>
    </row>
    <row r="48" spans="1:4">
      <c r="A48" s="88" t="s">
        <v>403</v>
      </c>
      <c r="B48" s="240">
        <v>1.45</v>
      </c>
      <c r="C48" s="237">
        <f>(100 - (B48/1) * SUM($C$45:C47) ) / ( 100 + B48/1)</f>
        <v>0.94377245753339667</v>
      </c>
      <c r="D48" s="235"/>
    </row>
    <row r="49" spans="1:10">
      <c r="A49" s="88" t="s">
        <v>404</v>
      </c>
      <c r="B49" s="240">
        <v>1.65</v>
      </c>
      <c r="C49" s="237">
        <f>(100 - (B49/1) * SUM($C$45:C48) ) / ( 100 + B49/1)</f>
        <v>0.92082334917319697</v>
      </c>
      <c r="D49" s="235"/>
    </row>
    <row r="50" spans="1:10">
      <c r="A50" s="87"/>
      <c r="B50" s="87"/>
      <c r="C50" s="87"/>
    </row>
    <row r="51" spans="1:10" ht="18.75">
      <c r="A51" s="87"/>
      <c r="B51" s="87"/>
      <c r="C51" s="87"/>
      <c r="H51" s="245" t="s">
        <v>352</v>
      </c>
      <c r="I51" s="227"/>
      <c r="J51" s="221"/>
    </row>
    <row r="52" spans="1:10">
      <c r="A52" s="207"/>
      <c r="B52" s="207" t="s">
        <v>338</v>
      </c>
      <c r="C52" s="241" t="s">
        <v>339</v>
      </c>
      <c r="E52" s="241" t="s">
        <v>343</v>
      </c>
      <c r="F52" s="241" t="s">
        <v>344</v>
      </c>
      <c r="H52" s="243" t="s">
        <v>328</v>
      </c>
      <c r="I52" s="244" t="s">
        <v>353</v>
      </c>
      <c r="J52" s="244"/>
    </row>
    <row r="53" spans="1:10">
      <c r="A53" s="207" t="s">
        <v>328</v>
      </c>
      <c r="B53" s="207">
        <v>1.65</v>
      </c>
      <c r="C53" s="239">
        <f>B53*C45</f>
        <v>1.6357372796642609</v>
      </c>
      <c r="D53" s="144" t="s">
        <v>345</v>
      </c>
      <c r="E53" s="207">
        <v>1.05</v>
      </c>
      <c r="F53" s="239">
        <v>1.45</v>
      </c>
      <c r="H53" s="243" t="s">
        <v>354</v>
      </c>
      <c r="I53" s="244" t="s">
        <v>355</v>
      </c>
      <c r="J53" s="244"/>
    </row>
    <row r="54" spans="1:10">
      <c r="A54" s="207" t="s">
        <v>340</v>
      </c>
      <c r="B54" s="207">
        <v>1.65</v>
      </c>
      <c r="C54" s="239">
        <f t="shared" ref="C54:C57" si="0">B54*C46</f>
        <v>1.6158582469703369</v>
      </c>
      <c r="D54" s="144" t="s">
        <v>346</v>
      </c>
      <c r="E54" s="207">
        <v>101.05</v>
      </c>
      <c r="F54" s="239">
        <v>1.45</v>
      </c>
      <c r="H54" s="243" t="s">
        <v>356</v>
      </c>
      <c r="I54" s="244" t="s">
        <v>357</v>
      </c>
      <c r="J54" s="244"/>
    </row>
    <row r="55" spans="1:10">
      <c r="A55" s="207" t="s">
        <v>341</v>
      </c>
      <c r="B55" s="207">
        <v>1.65</v>
      </c>
      <c r="C55" s="239">
        <f t="shared" si="0"/>
        <v>1.5894864749798197</v>
      </c>
      <c r="D55" s="144" t="s">
        <v>347</v>
      </c>
      <c r="E55" s="207"/>
      <c r="F55" s="239">
        <v>1.45</v>
      </c>
      <c r="H55" s="224"/>
      <c r="I55" s="231"/>
      <c r="J55" s="225"/>
    </row>
    <row r="56" spans="1:10">
      <c r="A56" s="207" t="s">
        <v>408</v>
      </c>
      <c r="B56" s="207">
        <v>1.65</v>
      </c>
      <c r="C56" s="239">
        <f t="shared" si="0"/>
        <v>1.5572245549301045</v>
      </c>
      <c r="E56" s="207"/>
      <c r="F56" s="239">
        <v>101.45</v>
      </c>
      <c r="G56" s="144"/>
    </row>
    <row r="57" spans="1:10" ht="17.25">
      <c r="A57" s="207" t="s">
        <v>409</v>
      </c>
      <c r="B57" s="207">
        <f>100 + 1.65</f>
        <v>101.65</v>
      </c>
      <c r="C57" s="239">
        <f t="shared" si="0"/>
        <v>93.601693443455474</v>
      </c>
      <c r="E57" s="207"/>
      <c r="F57" s="239"/>
      <c r="H57" s="247" t="s">
        <v>358</v>
      </c>
      <c r="I57" s="227"/>
      <c r="J57" s="221"/>
    </row>
    <row r="58" spans="1:10">
      <c r="A58" s="87"/>
      <c r="B58" s="209" t="s">
        <v>342</v>
      </c>
      <c r="C58" s="248">
        <f>SUM(C53:C57)</f>
        <v>100</v>
      </c>
      <c r="E58" s="260">
        <f>SUMPRODUCT(E53:E57,$C$45:$C$49)</f>
        <v>100</v>
      </c>
      <c r="F58" s="260">
        <f>SUMPRODUCT(F53:F57,$C$45:$C$49)</f>
        <v>100</v>
      </c>
      <c r="H58" s="222" t="s">
        <v>359</v>
      </c>
      <c r="I58" s="229"/>
      <c r="J58" s="223"/>
    </row>
    <row r="59" spans="1:10">
      <c r="A59" s="87"/>
      <c r="F59" s="144" t="s">
        <v>350</v>
      </c>
      <c r="H59" s="224"/>
      <c r="I59" s="231"/>
      <c r="J59" s="225"/>
    </row>
    <row r="60" spans="1:10">
      <c r="B60" s="87"/>
      <c r="C60" s="87" t="s">
        <v>351</v>
      </c>
    </row>
    <row r="65" spans="1:10" ht="17.25">
      <c r="A65" s="259" t="s">
        <v>411</v>
      </c>
    </row>
    <row r="66" spans="1:10" ht="21">
      <c r="A66" s="206" t="s">
        <v>360</v>
      </c>
      <c r="B66" s="87"/>
      <c r="C66" s="87"/>
      <c r="D66" s="87" t="s">
        <v>372</v>
      </c>
      <c r="H66" s="245" t="s">
        <v>352</v>
      </c>
      <c r="I66" s="227"/>
      <c r="J66" s="221"/>
    </row>
    <row r="67" spans="1:10">
      <c r="A67" s="25" t="s">
        <v>83</v>
      </c>
      <c r="B67" s="25" t="s">
        <v>348</v>
      </c>
      <c r="C67" s="234" t="s">
        <v>110</v>
      </c>
      <c r="H67" s="243" t="s">
        <v>190</v>
      </c>
      <c r="I67" s="229" t="s">
        <v>379</v>
      </c>
      <c r="J67" s="223"/>
    </row>
    <row r="68" spans="1:10">
      <c r="A68" s="88" t="s">
        <v>190</v>
      </c>
      <c r="B68" s="240">
        <v>0.6</v>
      </c>
      <c r="C68" s="236">
        <f>100 / (100 +  B68 * (182.5/360) )</f>
        <v>0.99696755701408224</v>
      </c>
      <c r="D68" s="249" t="s">
        <v>412</v>
      </c>
      <c r="H68" s="243" t="s">
        <v>363</v>
      </c>
      <c r="I68" s="229" t="s">
        <v>380</v>
      </c>
      <c r="J68" s="223"/>
    </row>
    <row r="69" spans="1:10">
      <c r="A69" s="88" t="s">
        <v>363</v>
      </c>
      <c r="B69" s="240">
        <v>0.9</v>
      </c>
      <c r="C69" s="236">
        <f>(100 - (B69/2) * SUM($C$68:C68) ) / ( 100 + B69/2 )</f>
        <v>0.99105390342801047</v>
      </c>
      <c r="D69" s="250" t="s">
        <v>413</v>
      </c>
      <c r="H69" s="243" t="s">
        <v>365</v>
      </c>
      <c r="I69" s="229" t="s">
        <v>381</v>
      </c>
      <c r="J69" s="223"/>
    </row>
    <row r="70" spans="1:10">
      <c r="A70" s="88" t="s">
        <v>365</v>
      </c>
      <c r="B70" s="240">
        <v>1.1000000000000001</v>
      </c>
      <c r="C70" s="236">
        <f>(100 - (B70/2) * SUM($C$68:C69) ) / ( 100 + B70/2 )</f>
        <v>0.98365577520394676</v>
      </c>
      <c r="D70" s="250"/>
      <c r="H70" s="243" t="s">
        <v>367</v>
      </c>
      <c r="I70" s="229"/>
      <c r="J70" s="223"/>
    </row>
    <row r="71" spans="1:10">
      <c r="A71" s="88" t="s">
        <v>367</v>
      </c>
      <c r="B71" s="240">
        <v>1.22</v>
      </c>
      <c r="C71" s="236">
        <f>(100 - (B71/2) * SUM($C$68:C70) ) / ( 100 + B71/2 )</f>
        <v>0.97591965894300681</v>
      </c>
      <c r="D71" s="250"/>
      <c r="H71" s="243" t="s">
        <v>369</v>
      </c>
      <c r="I71" s="229"/>
      <c r="J71" s="223"/>
    </row>
    <row r="72" spans="1:10">
      <c r="A72" s="88" t="s">
        <v>369</v>
      </c>
      <c r="B72" s="240">
        <f>(B71+B73)/2</f>
        <v>1.29</v>
      </c>
      <c r="C72" s="236">
        <f>(100 - (B72/2) * SUM($C$68:C71) ) / ( 100 + B72/2 )</f>
        <v>0.96829251331899313</v>
      </c>
      <c r="D72" s="251"/>
      <c r="H72" s="243" t="s">
        <v>371</v>
      </c>
      <c r="I72" s="231"/>
      <c r="J72" s="225"/>
    </row>
    <row r="73" spans="1:10">
      <c r="A73" s="88" t="s">
        <v>371</v>
      </c>
      <c r="B73" s="240">
        <v>1.36</v>
      </c>
      <c r="C73" s="236">
        <f>(100 - (B73/2) * SUM($C$68:C72) ) / ( 100 + B73/2 )</f>
        <v>0.96004365517106205</v>
      </c>
    </row>
    <row r="74" spans="1:10">
      <c r="A74" s="87"/>
      <c r="B74" s="87"/>
      <c r="C74" s="87"/>
    </row>
    <row r="75" spans="1:10">
      <c r="A75" s="87"/>
      <c r="B75" s="87"/>
      <c r="C75" s="87"/>
    </row>
    <row r="76" spans="1:10">
      <c r="A76" s="87" t="s">
        <v>414</v>
      </c>
      <c r="B76" s="87"/>
      <c r="C76" s="87"/>
    </row>
    <row r="77" spans="1:10">
      <c r="A77" s="207"/>
      <c r="B77" s="207" t="s">
        <v>338</v>
      </c>
      <c r="C77" s="241" t="s">
        <v>339</v>
      </c>
      <c r="E77" s="241" t="s">
        <v>343</v>
      </c>
      <c r="F77" s="241" t="s">
        <v>344</v>
      </c>
    </row>
    <row r="78" spans="1:10">
      <c r="A78" s="88" t="s">
        <v>190</v>
      </c>
      <c r="B78" s="207">
        <f>$B$73/2</f>
        <v>0.68</v>
      </c>
      <c r="C78" s="207">
        <f>B78*C68</f>
        <v>0.67793793876957598</v>
      </c>
      <c r="E78" s="207">
        <f>$B$71/2</f>
        <v>0.61</v>
      </c>
      <c r="F78" s="207">
        <f>$B$73/2</f>
        <v>0.68</v>
      </c>
    </row>
    <row r="79" spans="1:10">
      <c r="A79" s="88" t="s">
        <v>363</v>
      </c>
      <c r="B79" s="207">
        <f>$B$73/2</f>
        <v>0.68</v>
      </c>
      <c r="C79" s="207">
        <f t="shared" ref="C79:C83" si="1">B79*C69</f>
        <v>0.67391665433104719</v>
      </c>
      <c r="E79" s="207">
        <f>$B$71/2</f>
        <v>0.61</v>
      </c>
      <c r="F79" s="207">
        <f>$B$73/2</f>
        <v>0.68</v>
      </c>
    </row>
    <row r="80" spans="1:10">
      <c r="A80" s="88" t="s">
        <v>365</v>
      </c>
      <c r="B80" s="207">
        <f>$B$73/2</f>
        <v>0.68</v>
      </c>
      <c r="C80" s="207">
        <f t="shared" si="1"/>
        <v>0.66888592713868389</v>
      </c>
      <c r="E80" s="207">
        <f>$B$71/2</f>
        <v>0.61</v>
      </c>
      <c r="F80" s="207">
        <f>$B$73/2</f>
        <v>0.68</v>
      </c>
    </row>
    <row r="81" spans="1:6">
      <c r="A81" s="88" t="s">
        <v>367</v>
      </c>
      <c r="B81" s="207">
        <f>$B$73/2</f>
        <v>0.68</v>
      </c>
      <c r="C81" s="207">
        <f t="shared" si="1"/>
        <v>0.66362536808124473</v>
      </c>
      <c r="E81" s="207">
        <f>100 + $B$71/2</f>
        <v>100.61</v>
      </c>
      <c r="F81" s="207">
        <f>$B$73/2</f>
        <v>0.68</v>
      </c>
    </row>
    <row r="82" spans="1:6">
      <c r="A82" s="88" t="s">
        <v>369</v>
      </c>
      <c r="B82" s="207">
        <f>$B$73/2</f>
        <v>0.68</v>
      </c>
      <c r="C82" s="207">
        <f t="shared" si="1"/>
        <v>0.65843890905691538</v>
      </c>
      <c r="E82" s="207"/>
      <c r="F82" s="207">
        <f>$B$73/2</f>
        <v>0.68</v>
      </c>
    </row>
    <row r="83" spans="1:6">
      <c r="A83" s="88" t="s">
        <v>371</v>
      </c>
      <c r="B83" s="207">
        <f>100 + $B$73/2</f>
        <v>100.68</v>
      </c>
      <c r="C83" s="207">
        <f t="shared" si="1"/>
        <v>96.657195202622532</v>
      </c>
      <c r="E83" s="207"/>
      <c r="F83" s="207">
        <f>100 + $B$73/2</f>
        <v>100.68</v>
      </c>
    </row>
    <row r="84" spans="1:6">
      <c r="A84" s="87"/>
      <c r="B84" s="209" t="s">
        <v>342</v>
      </c>
      <c r="C84" s="248">
        <f>SUM(C78:C83)</f>
        <v>100</v>
      </c>
      <c r="E84" s="261">
        <f>SUMPRODUCT(E78:E83,$C$68:$C$73)</f>
        <v>100</v>
      </c>
      <c r="F84" s="261">
        <f>SUMPRODUCT(F78:F83,$C$68:$C$73)</f>
        <v>100</v>
      </c>
    </row>
    <row r="85" spans="1:6">
      <c r="A85" s="87"/>
      <c r="B85" s="87"/>
      <c r="C85" s="87" t="s">
        <v>351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債権数理式</vt:lpstr>
      <vt:lpstr>LIBOR・SWAP</vt:lpstr>
      <vt:lpstr>BootStrap</vt:lpstr>
      <vt:lpstr>複利計算</vt:lpstr>
      <vt:lpstr>LIBOR</vt:lpstr>
      <vt:lpstr>宿題１</vt:lpstr>
      <vt:lpstr>宿題１（解き直し）</vt:lpstr>
      <vt:lpstr>LIBOR(練習問題)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2013-12-23T12:11:50Z</dcterms:modified>
</cp:coreProperties>
</file>