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9440" windowHeight="10335" firstSheet="1" activeTab="7"/>
  </bookViews>
  <sheets>
    <sheet name="債権数理式" sheetId="7" r:id="rId1"/>
    <sheet name="LIBOR・SWAP" sheetId="10" r:id="rId2"/>
    <sheet name="確率・統計" sheetId="12" r:id="rId3"/>
    <sheet name="無裁定とPutCallパリティ" sheetId="14" r:id="rId4"/>
    <sheet name="２項モデル" sheetId="16" r:id="rId5"/>
    <sheet name="連続モデル" sheetId="17" r:id="rId6"/>
    <sheet name="リスク中立" sheetId="19" r:id="rId7"/>
    <sheet name="BS式" sheetId="20" r:id="rId8"/>
    <sheet name="宿題１（解き直し）" sheetId="9" r:id="rId9"/>
    <sheet name="LIBOR(練習問題)" sheetId="11" r:id="rId10"/>
    <sheet name="確率・統計（練習問題）" sheetId="13" r:id="rId11"/>
    <sheet name="宿題（無裁定）" sheetId="15" r:id="rId12"/>
    <sheet name="問題（連続モデル）" sheetId="18" r:id="rId13"/>
    <sheet name="BootStrap" sheetId="5" r:id="rId14"/>
    <sheet name="複利計算" sheetId="3" r:id="rId15"/>
    <sheet name="LIBOR" sheetId="6" r:id="rId16"/>
    <sheet name="宿題１" sheetId="4" r:id="rId17"/>
  </sheets>
  <calcPr calcId="152511"/>
</workbook>
</file>

<file path=xl/calcChain.xml><?xml version="1.0" encoding="utf-8"?>
<calcChain xmlns="http://schemas.openxmlformats.org/spreadsheetml/2006/main">
  <c r="A565" i="17" l="1"/>
  <c r="A15" i="18" l="1"/>
  <c r="B11" i="18"/>
  <c r="B15" i="18" s="1"/>
  <c r="C11" i="18" l="1"/>
  <c r="C15" i="18" s="1"/>
  <c r="C84" i="16"/>
  <c r="B31" i="16"/>
  <c r="D33" i="16" s="1"/>
  <c r="B87" i="16" l="1"/>
  <c r="D89" i="16" s="1"/>
  <c r="D66" i="15"/>
  <c r="B20" i="15" l="1"/>
  <c r="A24" i="15" s="1"/>
  <c r="B21" i="15" l="1"/>
  <c r="B368" i="12"/>
  <c r="D365" i="12"/>
  <c r="C365" i="12"/>
  <c r="B365" i="12"/>
  <c r="B375" i="12" s="1"/>
  <c r="D368" i="12"/>
  <c r="C368" i="12"/>
  <c r="C373" i="12"/>
  <c r="B373" i="12"/>
  <c r="D373" i="12"/>
  <c r="D372" i="12"/>
  <c r="B372" i="12"/>
  <c r="C372" i="12"/>
  <c r="D371" i="12"/>
  <c r="C371" i="12"/>
  <c r="B371" i="12"/>
  <c r="B377" i="12" s="1"/>
  <c r="B379" i="12" s="1"/>
  <c r="B381" i="12" s="1"/>
  <c r="B383" i="12" s="1"/>
  <c r="H87" i="13"/>
  <c r="M87" i="13"/>
  <c r="F87" i="13"/>
  <c r="E87" i="13"/>
  <c r="G87" i="13" s="1"/>
  <c r="M291" i="12"/>
  <c r="H291" i="12"/>
  <c r="F291" i="12"/>
  <c r="E291" i="12"/>
  <c r="M290" i="12"/>
  <c r="H290" i="12"/>
  <c r="F290" i="12"/>
  <c r="E290" i="12"/>
  <c r="M289" i="12"/>
  <c r="H289" i="12"/>
  <c r="F289" i="12"/>
  <c r="E289" i="12"/>
  <c r="M288" i="12"/>
  <c r="H288" i="12"/>
  <c r="F288" i="12"/>
  <c r="E288" i="12"/>
  <c r="N291" i="12" l="1"/>
  <c r="G289" i="12"/>
  <c r="J289" i="12"/>
  <c r="G288" i="12"/>
  <c r="N288" i="12"/>
  <c r="N290" i="12"/>
  <c r="J288" i="12"/>
  <c r="I288" i="12"/>
  <c r="I289" i="12"/>
  <c r="I290" i="12"/>
  <c r="I291" i="12"/>
  <c r="N289" i="12"/>
  <c r="N87" i="13"/>
  <c r="J87" i="13"/>
  <c r="L87" i="13" s="1"/>
  <c r="I87" i="13"/>
  <c r="G291" i="12"/>
  <c r="G290" i="12"/>
  <c r="J290" i="12"/>
  <c r="J291" i="12"/>
  <c r="F195" i="12"/>
  <c r="F194" i="12"/>
  <c r="A195" i="12"/>
  <c r="A194" i="12"/>
  <c r="H143" i="12"/>
  <c r="C134" i="12"/>
  <c r="C133" i="12"/>
  <c r="C135" i="12"/>
  <c r="C136" i="12"/>
  <c r="C137" i="12"/>
  <c r="C138" i="12"/>
  <c r="C139" i="12"/>
  <c r="C140" i="12"/>
  <c r="C141" i="12"/>
  <c r="C142" i="12"/>
  <c r="C143" i="12"/>
  <c r="C144" i="12"/>
  <c r="C145" i="12"/>
  <c r="C146" i="12"/>
  <c r="C147" i="12"/>
  <c r="C148" i="12"/>
  <c r="C149" i="12"/>
  <c r="C150" i="12"/>
  <c r="C151" i="12"/>
  <c r="L289" i="12" l="1"/>
  <c r="K289" i="12"/>
  <c r="L291" i="12"/>
  <c r="K291" i="12"/>
  <c r="K288" i="12"/>
  <c r="L288" i="12"/>
  <c r="L290" i="12"/>
  <c r="K290" i="12"/>
  <c r="K87" i="13"/>
  <c r="F159" i="12"/>
  <c r="G159" i="12" s="1"/>
  <c r="F162" i="12" s="1"/>
  <c r="F166" i="12" s="1"/>
  <c r="A199" i="12"/>
  <c r="B199" i="12" s="1"/>
  <c r="F199" i="12"/>
  <c r="G199" i="12" s="1"/>
  <c r="H70" i="13"/>
  <c r="I70" i="13" s="1"/>
  <c r="H69" i="13"/>
  <c r="I69" i="13" s="1"/>
  <c r="H68" i="13"/>
  <c r="I68" i="13" s="1"/>
  <c r="H67" i="13"/>
  <c r="I67" i="13" s="1"/>
  <c r="D59" i="13"/>
  <c r="D57" i="13"/>
  <c r="D56" i="13"/>
  <c r="D37" i="13"/>
  <c r="D35" i="13"/>
  <c r="I37" i="13"/>
  <c r="H36" i="13"/>
  <c r="I36" i="13" s="1"/>
  <c r="I35" i="13"/>
  <c r="H34" i="13"/>
  <c r="I34" i="13" s="1"/>
  <c r="D9" i="13"/>
  <c r="D12" i="13" s="1"/>
  <c r="D15" i="13" s="1"/>
  <c r="G116" i="12"/>
  <c r="H116" i="12" s="1"/>
  <c r="G115" i="12"/>
  <c r="H115" i="12" s="1"/>
  <c r="G114" i="12"/>
  <c r="H114" i="12" s="1"/>
  <c r="G113" i="12"/>
  <c r="H113" i="12" s="1"/>
  <c r="A102" i="12"/>
  <c r="A101" i="12"/>
  <c r="B84" i="12"/>
  <c r="B85" i="12" s="1"/>
  <c r="B83" i="12"/>
  <c r="B68" i="12"/>
  <c r="B69" i="12" s="1"/>
  <c r="B67" i="12"/>
  <c r="E28" i="12"/>
  <c r="E29" i="12" s="1"/>
  <c r="D28" i="12"/>
  <c r="D29" i="12" s="1"/>
  <c r="C28" i="12"/>
  <c r="C29" i="12" s="1"/>
  <c r="B28" i="12"/>
  <c r="B29" i="12" s="1"/>
  <c r="E27" i="12"/>
  <c r="D27" i="12"/>
  <c r="C27" i="12"/>
  <c r="B27" i="12"/>
  <c r="D257" i="9" l="1"/>
  <c r="D256" i="9"/>
  <c r="A243" i="9"/>
  <c r="B231" i="9"/>
  <c r="D214" i="9"/>
  <c r="B223" i="9" s="1"/>
  <c r="D187" i="9"/>
  <c r="D186" i="9"/>
  <c r="D216" i="9"/>
  <c r="B224" i="9" s="1"/>
  <c r="D215" i="9"/>
  <c r="D223" i="9" s="1"/>
  <c r="D219" i="9"/>
  <c r="D218" i="9"/>
  <c r="D217" i="9"/>
  <c r="D224" i="9" s="1"/>
  <c r="F232" i="9"/>
  <c r="C201" i="9"/>
  <c r="C200" i="9"/>
  <c r="C199" i="9"/>
  <c r="C198" i="9"/>
  <c r="D231" i="9" s="1"/>
  <c r="D190" i="9"/>
  <c r="D189" i="9"/>
  <c r="D191" i="9"/>
  <c r="D188" i="9"/>
  <c r="D176" i="9"/>
  <c r="E176" i="9" s="1"/>
  <c r="E171" i="9"/>
  <c r="F171" i="9" s="1"/>
  <c r="E170" i="9"/>
  <c r="F170" i="9" s="1"/>
  <c r="B160" i="9"/>
  <c r="D160" i="9" s="1"/>
  <c r="D161" i="9"/>
  <c r="D155" i="9"/>
  <c r="B155" i="9"/>
  <c r="B154" i="9"/>
  <c r="E154" i="9" s="1"/>
  <c r="B145" i="9"/>
  <c r="B144" i="9"/>
  <c r="E144" i="9" s="1"/>
  <c r="E146" i="9"/>
  <c r="E143" i="9"/>
  <c r="C338" i="11"/>
  <c r="C330" i="11"/>
  <c r="C331" i="11" s="1"/>
  <c r="C329" i="11"/>
  <c r="F247" i="10"/>
  <c r="E247" i="10"/>
  <c r="E316" i="11"/>
  <c r="D316" i="11"/>
  <c r="H316" i="11" s="1"/>
  <c r="B294" i="11"/>
  <c r="A309" i="11"/>
  <c r="B290" i="11"/>
  <c r="B293" i="11"/>
  <c r="B292" i="11"/>
  <c r="B291" i="11"/>
  <c r="B289" i="11"/>
  <c r="C256" i="11"/>
  <c r="E261" i="11" s="1"/>
  <c r="B264" i="11"/>
  <c r="B262" i="11"/>
  <c r="B260" i="11"/>
  <c r="C246" i="11"/>
  <c r="A246" i="11"/>
  <c r="C188" i="11"/>
  <c r="C189" i="11"/>
  <c r="C190" i="11"/>
  <c r="A182" i="11"/>
  <c r="A348" i="10"/>
  <c r="C286" i="10"/>
  <c r="C295" i="10"/>
  <c r="D126" i="11"/>
  <c r="F144" i="11"/>
  <c r="F139" i="11"/>
  <c r="F140" i="11"/>
  <c r="F141" i="11"/>
  <c r="F142" i="11"/>
  <c r="F143" i="11"/>
  <c r="E139" i="11"/>
  <c r="E140" i="11"/>
  <c r="E141" i="11"/>
  <c r="E142" i="11"/>
  <c r="E143" i="11"/>
  <c r="E144" i="11"/>
  <c r="D127" i="11"/>
  <c r="D128" i="11"/>
  <c r="D129" i="11"/>
  <c r="D130" i="11"/>
  <c r="D131" i="11"/>
  <c r="D132" i="11"/>
  <c r="D133" i="11"/>
  <c r="D134" i="11"/>
  <c r="D135" i="11"/>
  <c r="C94" i="11"/>
  <c r="C95" i="11" s="1"/>
  <c r="B102" i="11"/>
  <c r="B100" i="11"/>
  <c r="B98" i="11"/>
  <c r="F252" i="10"/>
  <c r="F251" i="10"/>
  <c r="F250" i="10"/>
  <c r="F249" i="10"/>
  <c r="F248" i="10"/>
  <c r="E248" i="10"/>
  <c r="E249" i="10"/>
  <c r="E250" i="10"/>
  <c r="E251" i="10"/>
  <c r="E252" i="10"/>
  <c r="D244" i="10"/>
  <c r="D243" i="10"/>
  <c r="D242" i="10"/>
  <c r="D241" i="10"/>
  <c r="D240" i="10"/>
  <c r="D239" i="10"/>
  <c r="H156" i="10"/>
  <c r="I156" i="10" s="1"/>
  <c r="I157" i="10"/>
  <c r="H159" i="10"/>
  <c r="I159" i="10" s="1"/>
  <c r="H158" i="10"/>
  <c r="I158" i="10" s="1"/>
  <c r="H157" i="10"/>
  <c r="A219" i="10"/>
  <c r="A212" i="10"/>
  <c r="A215" i="10" s="1"/>
  <c r="A164" i="10"/>
  <c r="A171" i="10" s="1"/>
  <c r="F224" i="9" l="1"/>
  <c r="F253" i="10"/>
  <c r="I160" i="10"/>
  <c r="F231" i="9"/>
  <c r="F223" i="9"/>
  <c r="E155" i="9"/>
  <c r="E145" i="9"/>
  <c r="C332" i="11"/>
  <c r="C339" i="11"/>
  <c r="F316" i="11"/>
  <c r="D317" i="11"/>
  <c r="H317" i="11" s="1"/>
  <c r="E317" i="11"/>
  <c r="F317" i="11" s="1"/>
  <c r="C257" i="11"/>
  <c r="C296" i="10"/>
  <c r="C298" i="10" s="1"/>
  <c r="C297" i="10"/>
  <c r="E253" i="10"/>
  <c r="A258" i="10" s="1"/>
  <c r="C287" i="10"/>
  <c r="C288" i="10" s="1"/>
  <c r="F145" i="11"/>
  <c r="E145" i="11"/>
  <c r="C96" i="11"/>
  <c r="C97" i="11" s="1"/>
  <c r="E81" i="11"/>
  <c r="E80" i="11"/>
  <c r="E79" i="11"/>
  <c r="E78" i="11"/>
  <c r="F83" i="11"/>
  <c r="F82" i="11"/>
  <c r="F81" i="11"/>
  <c r="F80" i="11"/>
  <c r="F79" i="11"/>
  <c r="F78" i="11"/>
  <c r="B83" i="11"/>
  <c r="B82" i="11"/>
  <c r="B81" i="11"/>
  <c r="B80" i="11"/>
  <c r="B79" i="11"/>
  <c r="B78" i="11"/>
  <c r="C68" i="11"/>
  <c r="B72" i="11"/>
  <c r="B57" i="11"/>
  <c r="C45" i="11"/>
  <c r="A38" i="11"/>
  <c r="C43" i="10"/>
  <c r="C59" i="10"/>
  <c r="B63" i="10"/>
  <c r="B18" i="10"/>
  <c r="B17" i="10"/>
  <c r="C299" i="10" l="1"/>
  <c r="C300" i="10" s="1"/>
  <c r="C340" i="11"/>
  <c r="C333" i="11"/>
  <c r="C334" i="11" s="1"/>
  <c r="A355" i="11" s="1"/>
  <c r="D318" i="11"/>
  <c r="H318" i="11" s="1"/>
  <c r="C258" i="11"/>
  <c r="C259" i="11"/>
  <c r="C260" i="11"/>
  <c r="C261" i="11" s="1"/>
  <c r="A308" i="10"/>
  <c r="C289" i="10"/>
  <c r="A149" i="11"/>
  <c r="C78" i="11"/>
  <c r="C98" i="11"/>
  <c r="C99" i="11" s="1"/>
  <c r="C69" i="11"/>
  <c r="C53" i="11"/>
  <c r="C46" i="11"/>
  <c r="C47" i="11" s="1"/>
  <c r="C60" i="10"/>
  <c r="C70" i="10" s="1"/>
  <c r="C69" i="10"/>
  <c r="C44" i="10"/>
  <c r="C49" i="10"/>
  <c r="C341" i="11" l="1"/>
  <c r="C342" i="11" s="1"/>
  <c r="C343" i="11" s="1"/>
  <c r="D319" i="11"/>
  <c r="E318" i="11"/>
  <c r="F318" i="11" s="1"/>
  <c r="C262" i="11"/>
  <c r="C263" i="11" s="1"/>
  <c r="C290" i="10"/>
  <c r="C291" i="10" s="1"/>
  <c r="A304" i="10" s="1"/>
  <c r="A311" i="10" s="1"/>
  <c r="A312" i="10" s="1"/>
  <c r="C100" i="11"/>
  <c r="C101" i="11" s="1"/>
  <c r="C102" i="11" s="1"/>
  <c r="C103" i="11" s="1"/>
  <c r="A114" i="11" s="1"/>
  <c r="A121" i="11" s="1"/>
  <c r="C70" i="11"/>
  <c r="C80" i="11" s="1"/>
  <c r="C79" i="11"/>
  <c r="C55" i="11"/>
  <c r="C48" i="11"/>
  <c r="C56" i="11" s="1"/>
  <c r="C54" i="11"/>
  <c r="C61" i="10"/>
  <c r="C71" i="10" s="1"/>
  <c r="C50" i="10"/>
  <c r="C45" i="10"/>
  <c r="E52" i="10" s="1"/>
  <c r="F116" i="9"/>
  <c r="G99" i="9"/>
  <c r="E99" i="9"/>
  <c r="G103" i="9" s="1"/>
  <c r="C82" i="9"/>
  <c r="C81" i="9"/>
  <c r="C80" i="9"/>
  <c r="C79" i="9"/>
  <c r="A68" i="9"/>
  <c r="A69" i="9"/>
  <c r="A70" i="9"/>
  <c r="A71" i="9"/>
  <c r="F58" i="9"/>
  <c r="F53" i="9"/>
  <c r="F52" i="9"/>
  <c r="F51" i="9"/>
  <c r="D29" i="9"/>
  <c r="D25" i="9"/>
  <c r="D21" i="9"/>
  <c r="C32" i="9"/>
  <c r="D32" i="9" s="1"/>
  <c r="D31" i="9"/>
  <c r="D30" i="9"/>
  <c r="C28" i="9"/>
  <c r="D28" i="9" s="1"/>
  <c r="D27" i="9"/>
  <c r="D26" i="9"/>
  <c r="C24" i="9"/>
  <c r="D24" i="9" s="1"/>
  <c r="C44" i="9"/>
  <c r="C43" i="9"/>
  <c r="C42" i="9"/>
  <c r="C41" i="9"/>
  <c r="D23" i="9"/>
  <c r="D22" i="9"/>
  <c r="B12" i="9"/>
  <c r="D12" i="9" s="1"/>
  <c r="D4" i="9"/>
  <c r="B4" i="9"/>
  <c r="B3" i="9"/>
  <c r="E3" i="9" s="1"/>
  <c r="D13" i="9"/>
  <c r="E5" i="9"/>
  <c r="F198" i="7"/>
  <c r="F186" i="7"/>
  <c r="F187" i="7" s="1"/>
  <c r="G187" i="7" s="1"/>
  <c r="C166" i="7"/>
  <c r="C174" i="7" s="1"/>
  <c r="C165" i="7"/>
  <c r="C173" i="7" s="1"/>
  <c r="C164" i="7"/>
  <c r="C172" i="7" s="1"/>
  <c r="C163" i="7"/>
  <c r="C171" i="7" s="1"/>
  <c r="F125" i="7"/>
  <c r="F124" i="7"/>
  <c r="F117" i="7"/>
  <c r="F116" i="7"/>
  <c r="A105" i="7"/>
  <c r="A104" i="7"/>
  <c r="A103" i="7"/>
  <c r="C93" i="7"/>
  <c r="C94" i="7"/>
  <c r="C92" i="7"/>
  <c r="C91" i="7"/>
  <c r="E114" i="3"/>
  <c r="A77" i="7"/>
  <c r="A78" i="7"/>
  <c r="A79" i="7"/>
  <c r="A76" i="7"/>
  <c r="C80" i="7"/>
  <c r="A80" i="7" s="1"/>
  <c r="C67" i="7"/>
  <c r="D67" i="7" s="1"/>
  <c r="D68" i="7"/>
  <c r="D66" i="7"/>
  <c r="D65" i="7"/>
  <c r="D64" i="7"/>
  <c r="D63" i="7"/>
  <c r="E39" i="7"/>
  <c r="G43" i="7" s="1"/>
  <c r="G39" i="7"/>
  <c r="G31" i="7"/>
  <c r="E31" i="7"/>
  <c r="G32" i="7" s="1"/>
  <c r="G28" i="7"/>
  <c r="G27" i="7"/>
  <c r="G26" i="7"/>
  <c r="E26" i="7"/>
  <c r="D16" i="7"/>
  <c r="E9" i="7"/>
  <c r="D17" i="7"/>
  <c r="D8" i="7"/>
  <c r="E8" i="7" s="1"/>
  <c r="E6" i="7"/>
  <c r="E7" i="7"/>
  <c r="C88" i="9" l="1"/>
  <c r="F117" i="9"/>
  <c r="F118" i="9" s="1"/>
  <c r="A359" i="11"/>
  <c r="A362" i="11" s="1"/>
  <c r="A363" i="11" s="1"/>
  <c r="H319" i="11"/>
  <c r="D320" i="11"/>
  <c r="E319" i="11"/>
  <c r="F319" i="11" s="1"/>
  <c r="C264" i="11"/>
  <c r="C71" i="11"/>
  <c r="C81" i="11" s="1"/>
  <c r="C49" i="11"/>
  <c r="C62" i="10"/>
  <c r="C72" i="10" s="1"/>
  <c r="C51" i="10"/>
  <c r="C52" i="10" s="1"/>
  <c r="F52" i="10"/>
  <c r="G116" i="9"/>
  <c r="G100" i="9"/>
  <c r="G101" i="9"/>
  <c r="G102" i="9"/>
  <c r="E4" i="9"/>
  <c r="M199" i="7"/>
  <c r="J199" i="7"/>
  <c r="F199" i="7"/>
  <c r="C179" i="7"/>
  <c r="F188" i="7"/>
  <c r="G188" i="7" s="1"/>
  <c r="C175" i="7"/>
  <c r="G186" i="7"/>
  <c r="F189" i="7"/>
  <c r="G189" i="7" s="1"/>
  <c r="H26" i="7"/>
  <c r="G33" i="7"/>
  <c r="H31" i="7" s="1"/>
  <c r="G40" i="7"/>
  <c r="G41" i="7"/>
  <c r="G42" i="7"/>
  <c r="F93" i="4"/>
  <c r="H94" i="4" s="1"/>
  <c r="E68" i="4"/>
  <c r="E79" i="4" s="1"/>
  <c r="C85" i="4" s="1"/>
  <c r="E69" i="4"/>
  <c r="E80" i="4" s="1"/>
  <c r="C86" i="4" s="1"/>
  <c r="E70" i="4"/>
  <c r="E81" i="4" s="1"/>
  <c r="C87" i="4" s="1"/>
  <c r="B99" i="3"/>
  <c r="E101" i="3"/>
  <c r="E100" i="3"/>
  <c r="E71" i="4"/>
  <c r="E82" i="4" s="1"/>
  <c r="C88" i="4" s="1"/>
  <c r="G49" i="6"/>
  <c r="G48" i="6"/>
  <c r="E28" i="6"/>
  <c r="H74" i="5"/>
  <c r="B17" i="6"/>
  <c r="B7" i="6"/>
  <c r="E74" i="5"/>
  <c r="D39" i="5"/>
  <c r="D50" i="5" s="1"/>
  <c r="D23" i="5"/>
  <c r="D27" i="5" s="1"/>
  <c r="E30" i="5" s="1"/>
  <c r="C33" i="5" s="1"/>
  <c r="D9" i="5"/>
  <c r="D14" i="5" s="1"/>
  <c r="D8" i="5"/>
  <c r="D13" i="5" s="1"/>
  <c r="C56" i="6" l="1"/>
  <c r="F119" i="9"/>
  <c r="C72" i="11"/>
  <c r="C73" i="11" s="1"/>
  <c r="F84" i="11" s="1"/>
  <c r="E320" i="11"/>
  <c r="F320" i="11" s="1"/>
  <c r="H320" i="11"/>
  <c r="D321" i="11"/>
  <c r="C265" i="11"/>
  <c r="A280" i="11" s="1"/>
  <c r="A281" i="11" s="1"/>
  <c r="E275" i="11"/>
  <c r="E276" i="11" s="1"/>
  <c r="C57" i="11"/>
  <c r="C58" i="11" s="1"/>
  <c r="E58" i="11"/>
  <c r="F58" i="11"/>
  <c r="C82" i="11"/>
  <c r="C63" i="10"/>
  <c r="C73" i="10" s="1"/>
  <c r="H99" i="9"/>
  <c r="J200" i="7"/>
  <c r="M200" i="7"/>
  <c r="F200" i="7"/>
  <c r="H39" i="7"/>
  <c r="H95" i="4"/>
  <c r="C89" i="4"/>
  <c r="E30" i="6"/>
  <c r="C35" i="6" s="1"/>
  <c r="C36" i="6" s="1"/>
  <c r="C57" i="6"/>
  <c r="G50" i="6"/>
  <c r="E29" i="6"/>
  <c r="C34" i="6" s="1"/>
  <c r="C33" i="6"/>
  <c r="C58" i="5"/>
  <c r="D43" i="5"/>
  <c r="E46" i="5" s="1"/>
  <c r="E75" i="5"/>
  <c r="C17" i="5"/>
  <c r="G59" i="4"/>
  <c r="G53" i="4"/>
  <c r="G54" i="4"/>
  <c r="G52" i="4"/>
  <c r="E32" i="4"/>
  <c r="F32" i="4" s="1"/>
  <c r="E28" i="4"/>
  <c r="F28" i="4" s="1"/>
  <c r="E24" i="4"/>
  <c r="F24" i="4" s="1"/>
  <c r="D43" i="4"/>
  <c r="D42" i="4"/>
  <c r="D41" i="4"/>
  <c r="D35" i="4"/>
  <c r="E35" i="4" s="1"/>
  <c r="E34" i="4"/>
  <c r="F34" i="4" s="1"/>
  <c r="E33" i="4"/>
  <c r="F33" i="4" s="1"/>
  <c r="D31" i="4"/>
  <c r="E31" i="4" s="1"/>
  <c r="F31" i="4" s="1"/>
  <c r="E30" i="4"/>
  <c r="F30" i="4" s="1"/>
  <c r="E29" i="4"/>
  <c r="F29" i="4" s="1"/>
  <c r="D27" i="4"/>
  <c r="E27" i="4" s="1"/>
  <c r="F27" i="4" s="1"/>
  <c r="E26" i="4"/>
  <c r="F26" i="4" s="1"/>
  <c r="E25" i="4"/>
  <c r="F25" i="4" s="1"/>
  <c r="D14" i="4"/>
  <c r="E14" i="4" s="1"/>
  <c r="E7" i="4"/>
  <c r="D7" i="4"/>
  <c r="D6" i="4"/>
  <c r="F6" i="4" s="1"/>
  <c r="E88" i="4" l="1"/>
  <c r="B93" i="4"/>
  <c r="H93" i="4" s="1"/>
  <c r="E76" i="5"/>
  <c r="H76" i="5" s="1"/>
  <c r="H75" i="5"/>
  <c r="I93" i="4"/>
  <c r="E321" i="11"/>
  <c r="F321" i="11" s="1"/>
  <c r="F322" i="11" s="1"/>
  <c r="H321" i="11"/>
  <c r="H322" i="11" s="1"/>
  <c r="C64" i="10"/>
  <c r="A93" i="10" s="1"/>
  <c r="E84" i="11"/>
  <c r="C83" i="11"/>
  <c r="C84" i="11" s="1"/>
  <c r="E75" i="10"/>
  <c r="C74" i="10"/>
  <c r="C75" i="10" s="1"/>
  <c r="F75" i="10"/>
  <c r="F201" i="7"/>
  <c r="J201" i="7"/>
  <c r="M201" i="7"/>
  <c r="M202" i="7" s="1"/>
  <c r="G51" i="6"/>
  <c r="C58" i="6"/>
  <c r="C59" i="5"/>
  <c r="E56" i="5"/>
  <c r="C60" i="5" s="1"/>
  <c r="D53" i="5"/>
  <c r="E77" i="5"/>
  <c r="F7" i="4"/>
  <c r="G143" i="3"/>
  <c r="D143" i="3"/>
  <c r="G142" i="3"/>
  <c r="D142" i="3"/>
  <c r="J131" i="3"/>
  <c r="J132" i="3"/>
  <c r="G132" i="3"/>
  <c r="D132" i="3"/>
  <c r="E96" i="3"/>
  <c r="E98" i="3"/>
  <c r="E97" i="3"/>
  <c r="G141" i="3"/>
  <c r="D141" i="3"/>
  <c r="D131" i="3"/>
  <c r="G131" i="3"/>
  <c r="E116" i="3"/>
  <c r="E117" i="3"/>
  <c r="E115" i="3"/>
  <c r="E118" i="3"/>
  <c r="E95" i="3"/>
  <c r="E102" i="3"/>
  <c r="E94" i="3"/>
  <c r="E90" i="3"/>
  <c r="E91" i="3"/>
  <c r="E92" i="3"/>
  <c r="E93" i="3"/>
  <c r="E89" i="3"/>
  <c r="F66" i="3"/>
  <c r="H68" i="3" s="1"/>
  <c r="H69" i="3"/>
  <c r="H67" i="3"/>
  <c r="H66" i="3"/>
  <c r="H58" i="3"/>
  <c r="F58" i="3"/>
  <c r="H60" i="3" s="1"/>
  <c r="H53" i="3"/>
  <c r="F53" i="3"/>
  <c r="H54" i="3" s="1"/>
  <c r="E36" i="3"/>
  <c r="E37" i="3"/>
  <c r="F19" i="3"/>
  <c r="F20" i="3"/>
  <c r="E18" i="3"/>
  <c r="F18" i="3" s="1"/>
  <c r="E17" i="3"/>
  <c r="F17" i="3" s="1"/>
  <c r="E32" i="3"/>
  <c r="E33" i="3"/>
  <c r="E34" i="3"/>
  <c r="E35" i="3"/>
  <c r="E38" i="3"/>
  <c r="F22" i="3"/>
  <c r="F8" i="3"/>
  <c r="F9" i="3"/>
  <c r="F11" i="3"/>
  <c r="F12" i="3"/>
  <c r="F13" i="3"/>
  <c r="F14" i="3"/>
  <c r="F15" i="3"/>
  <c r="F7" i="3"/>
  <c r="E16" i="3"/>
  <c r="F16" i="3" s="1"/>
  <c r="E10" i="3"/>
  <c r="F10" i="3" s="1"/>
  <c r="B83" i="5" l="1"/>
  <c r="B84" i="5" s="1"/>
  <c r="H77" i="5"/>
  <c r="I141" i="3"/>
  <c r="K141" i="3" s="1"/>
  <c r="H78" i="5"/>
  <c r="J202" i="7"/>
  <c r="J203" i="7" s="1"/>
  <c r="C204" i="7"/>
  <c r="C59" i="6"/>
  <c r="G52" i="6"/>
  <c r="C60" i="6" s="1"/>
  <c r="I142" i="3"/>
  <c r="K142" i="3" s="1"/>
  <c r="I143" i="3"/>
  <c r="K143" i="3" s="1"/>
  <c r="H70" i="3"/>
  <c r="I66" i="3"/>
  <c r="H55" i="3"/>
  <c r="I53" i="3" s="1"/>
  <c r="H59" i="3"/>
  <c r="I58" i="3" s="1"/>
  <c r="G53" i="6" l="1"/>
  <c r="C61" i="6" s="1"/>
  <c r="C62" i="6" s="1"/>
  <c r="G117" i="9"/>
  <c r="G118" i="9"/>
  <c r="G119" i="9"/>
  <c r="C122" i="9"/>
  <c r="B75" i="6" l="1"/>
</calcChain>
</file>

<file path=xl/sharedStrings.xml><?xml version="1.0" encoding="utf-8"?>
<sst xmlns="http://schemas.openxmlformats.org/spreadsheetml/2006/main" count="3337" uniqueCount="1885">
  <si>
    <t>複利計算式</t>
    <rPh sb="0" eb="2">
      <t>フクリ</t>
    </rPh>
    <rPh sb="2" eb="4">
      <t>ケイサン</t>
    </rPh>
    <rPh sb="4" eb="5">
      <t>シキ</t>
    </rPh>
    <phoneticPr fontId="1"/>
  </si>
  <si>
    <t>当初元本　×　（ 1 + r / n ) ^ nt</t>
    <rPh sb="0" eb="2">
      <t>トウショ</t>
    </rPh>
    <rPh sb="2" eb="4">
      <t>ガンポン</t>
    </rPh>
    <phoneticPr fontId="1"/>
  </si>
  <si>
    <t>当初元本</t>
    <rPh sb="0" eb="2">
      <t>トウショ</t>
    </rPh>
    <rPh sb="2" eb="4">
      <t>ガンポン</t>
    </rPh>
    <phoneticPr fontId="1"/>
  </si>
  <si>
    <t>金利r</t>
    <rPh sb="0" eb="2">
      <t>キンリ</t>
    </rPh>
    <phoneticPr fontId="1"/>
  </si>
  <si>
    <t>期間 t 年</t>
    <rPh sb="0" eb="2">
      <t>キカン</t>
    </rPh>
    <rPh sb="5" eb="6">
      <t>ネン</t>
    </rPh>
    <phoneticPr fontId="1"/>
  </si>
  <si>
    <t>回数 n</t>
    <rPh sb="0" eb="2">
      <t>カイスウ</t>
    </rPh>
    <phoneticPr fontId="1"/>
  </si>
  <si>
    <t>答え</t>
    <rPh sb="0" eb="1">
      <t>コタ</t>
    </rPh>
    <phoneticPr fontId="1"/>
  </si>
  <si>
    <t>１年複利</t>
    <rPh sb="1" eb="2">
      <t>ネン</t>
    </rPh>
    <rPh sb="2" eb="4">
      <t>フクリ</t>
    </rPh>
    <phoneticPr fontId="1"/>
  </si>
  <si>
    <t>半年複利</t>
    <rPh sb="0" eb="2">
      <t>ハントシ</t>
    </rPh>
    <rPh sb="2" eb="4">
      <t>フクリ</t>
    </rPh>
    <phoneticPr fontId="1"/>
  </si>
  <si>
    <t>１カ月複利</t>
    <rPh sb="2" eb="3">
      <t>ゲツ</t>
    </rPh>
    <rPh sb="3" eb="5">
      <t>フクリ</t>
    </rPh>
    <phoneticPr fontId="1"/>
  </si>
  <si>
    <t>1秒複利</t>
    <rPh sb="1" eb="2">
      <t>ビョウ</t>
    </rPh>
    <rPh sb="2" eb="4">
      <t>フクリ</t>
    </rPh>
    <phoneticPr fontId="1"/>
  </si>
  <si>
    <t>問題１</t>
    <rPh sb="0" eb="2">
      <t>モンダイ</t>
    </rPh>
    <phoneticPr fontId="1"/>
  </si>
  <si>
    <t>3か月複利</t>
    <rPh sb="2" eb="3">
      <t>ゲツ</t>
    </rPh>
    <rPh sb="3" eb="5">
      <t>フクリ</t>
    </rPh>
    <phoneticPr fontId="1"/>
  </si>
  <si>
    <t>1日複利</t>
    <rPh sb="1" eb="2">
      <t>ヒ</t>
    </rPh>
    <rPh sb="2" eb="4">
      <t>フクリ</t>
    </rPh>
    <phoneticPr fontId="1"/>
  </si>
  <si>
    <t>=B16 * ( 1 + C16 / E16 ) ^ ( E16 * D16 )</t>
    <phoneticPr fontId="1"/>
  </si>
  <si>
    <t>=当初元本　×　（ 1 + r / n ) ^ nt</t>
    <phoneticPr fontId="1"/>
  </si>
  <si>
    <t>連続複利</t>
    <rPh sb="0" eb="2">
      <t>レンゾク</t>
    </rPh>
    <rPh sb="2" eb="4">
      <t>フクリ</t>
    </rPh>
    <phoneticPr fontId="1"/>
  </si>
  <si>
    <t>当初元本　×　lim ( 1 + r / n ) ^ t * n</t>
    <rPh sb="0" eb="2">
      <t>トウショ</t>
    </rPh>
    <rPh sb="2" eb="4">
      <t>ガンポン</t>
    </rPh>
    <phoneticPr fontId="1"/>
  </si>
  <si>
    <t>→　当初元本 × e ^ (r * t )</t>
    <rPh sb="2" eb="4">
      <t>トウショ</t>
    </rPh>
    <rPh sb="4" eb="6">
      <t>ガンポン</t>
    </rPh>
    <phoneticPr fontId="1"/>
  </si>
  <si>
    <t>問題２</t>
    <rPh sb="0" eb="2">
      <t>モンダイ</t>
    </rPh>
    <phoneticPr fontId="1"/>
  </si>
  <si>
    <t>= B30 * EXP(C30 * D30 )</t>
    <phoneticPr fontId="1"/>
  </si>
  <si>
    <t>= 当初元本 × e ^ ( 金利 × 期間 )</t>
    <phoneticPr fontId="1"/>
  </si>
  <si>
    <t>問題３</t>
    <rPh sb="0" eb="2">
      <t>モンダイ</t>
    </rPh>
    <phoneticPr fontId="1"/>
  </si>
  <si>
    <t>債権の複利利回り</t>
    <rPh sb="0" eb="2">
      <t>サイケン</t>
    </rPh>
    <rPh sb="3" eb="5">
      <t>フクリ</t>
    </rPh>
    <rPh sb="5" eb="7">
      <t>リマワ</t>
    </rPh>
    <phoneticPr fontId="1"/>
  </si>
  <si>
    <t>c/(1+r) + c/(1+r)^2 + ・・・ + (c+100) / (1+r)^n = P</t>
    <phoneticPr fontId="1"/>
  </si>
  <si>
    <t>→　IRR(キャッシュフロー)　※最初はマイナス</t>
    <rPh sb="17" eb="19">
      <t>サイショ</t>
    </rPh>
    <phoneticPr fontId="1"/>
  </si>
  <si>
    <t>(c/2)/(1+r/2) + (c/2)/(1+r/2)^2 + ・・・ + (c/2+100) / (1+r/2)^n = P</t>
    <phoneticPr fontId="1"/>
  </si>
  <si>
    <t>価格</t>
    <rPh sb="0" eb="2">
      <t>カカク</t>
    </rPh>
    <phoneticPr fontId="1"/>
  </si>
  <si>
    <t>クーポン</t>
    <phoneticPr fontId="1"/>
  </si>
  <si>
    <t>クーポンフロー</t>
    <phoneticPr fontId="1"/>
  </si>
  <si>
    <t>クーポン年支払回数</t>
    <rPh sb="4" eb="5">
      <t>ネン</t>
    </rPh>
    <rPh sb="5" eb="7">
      <t>シハライ</t>
    </rPh>
    <rPh sb="7" eb="9">
      <t>カイスウ</t>
    </rPh>
    <phoneticPr fontId="1"/>
  </si>
  <si>
    <t>CashFlow</t>
    <phoneticPr fontId="1"/>
  </si>
  <si>
    <t>価格パーの場合は、クーポンレート＝単利利回り＝複利利回りが同じになる。</t>
    <rPh sb="0" eb="2">
      <t>カカク</t>
    </rPh>
    <rPh sb="5" eb="7">
      <t>バアイ</t>
    </rPh>
    <rPh sb="17" eb="19">
      <t>タンリ</t>
    </rPh>
    <rPh sb="19" eb="21">
      <t>リマワ</t>
    </rPh>
    <rPh sb="23" eb="25">
      <t>フクリ</t>
    </rPh>
    <rPh sb="25" eb="27">
      <t>リマワ</t>
    </rPh>
    <rPh sb="29" eb="30">
      <t>オナ</t>
    </rPh>
    <phoneticPr fontId="1"/>
  </si>
  <si>
    <t>→現在価値が、額面100円と同じということは、クーポンレートがそのまま利回りと考えることができる。</t>
    <rPh sb="1" eb="3">
      <t>ゲンザイ</t>
    </rPh>
    <rPh sb="3" eb="5">
      <t>カチ</t>
    </rPh>
    <rPh sb="7" eb="9">
      <t>ガクメン</t>
    </rPh>
    <rPh sb="12" eb="13">
      <t>エン</t>
    </rPh>
    <rPh sb="14" eb="15">
      <t>オナ</t>
    </rPh>
    <rPh sb="35" eb="37">
      <t>リマワ</t>
    </rPh>
    <rPh sb="39" eb="40">
      <t>カンガ</t>
    </rPh>
    <phoneticPr fontId="1"/>
  </si>
  <si>
    <t>= C66 / E66</t>
    <phoneticPr fontId="1"/>
  </si>
  <si>
    <t>= クーポンレート / 年支払回数</t>
    <rPh sb="12" eb="13">
      <t>ネン</t>
    </rPh>
    <rPh sb="13" eb="15">
      <t>シハライ</t>
    </rPh>
    <rPh sb="15" eb="17">
      <t>カイスウ</t>
    </rPh>
    <phoneticPr fontId="1"/>
  </si>
  <si>
    <t>= IRR(キャッシュフロー） * クーポン年支払回数</t>
    <rPh sb="22" eb="23">
      <t>ネン</t>
    </rPh>
    <rPh sb="23" eb="25">
      <t>シハライ</t>
    </rPh>
    <rPh sb="25" eb="27">
      <t>カイスウ</t>
    </rPh>
    <phoneticPr fontId="1"/>
  </si>
  <si>
    <t>アンダーパー</t>
    <phoneticPr fontId="1"/>
  </si>
  <si>
    <t>パー</t>
    <phoneticPr fontId="1"/>
  </si>
  <si>
    <t>オーバーパー</t>
    <phoneticPr fontId="1"/>
  </si>
  <si>
    <t>額面 &lt; 価格</t>
    <rPh sb="0" eb="2">
      <t>ガクメン</t>
    </rPh>
    <rPh sb="5" eb="7">
      <t>カカク</t>
    </rPh>
    <phoneticPr fontId="1"/>
  </si>
  <si>
    <t>額面 = 価格</t>
    <rPh sb="0" eb="2">
      <t>ガクメン</t>
    </rPh>
    <rPh sb="5" eb="7">
      <t>カカク</t>
    </rPh>
    <phoneticPr fontId="1"/>
  </si>
  <si>
    <t>額面 &gt; 価格</t>
    <rPh sb="0" eb="2">
      <t>ガクメン</t>
    </rPh>
    <rPh sb="5" eb="7">
      <t>カカク</t>
    </rPh>
    <phoneticPr fontId="1"/>
  </si>
  <si>
    <t>利回り &lt; クーポン</t>
    <rPh sb="0" eb="2">
      <t>リマワ</t>
    </rPh>
    <phoneticPr fontId="1"/>
  </si>
  <si>
    <t>利回り = クーポン</t>
    <rPh sb="0" eb="2">
      <t>リマワ</t>
    </rPh>
    <phoneticPr fontId="1"/>
  </si>
  <si>
    <t>利回り &gt; クーポン</t>
    <rPh sb="0" eb="2">
      <t>リマワ</t>
    </rPh>
    <phoneticPr fontId="1"/>
  </si>
  <si>
    <t>額面と価格の関係</t>
    <rPh sb="0" eb="2">
      <t>ガクメン</t>
    </rPh>
    <rPh sb="3" eb="5">
      <t>カカク</t>
    </rPh>
    <rPh sb="6" eb="8">
      <t>カンケイ</t>
    </rPh>
    <phoneticPr fontId="1"/>
  </si>
  <si>
    <t>ゼロレート</t>
    <phoneticPr fontId="1"/>
  </si>
  <si>
    <t>ゼロレートとは、割引債の利回りのこと。別名スポットレートと呼ぶ。</t>
    <rPh sb="8" eb="11">
      <t>ワリビキサイ</t>
    </rPh>
    <rPh sb="12" eb="14">
      <t>リマワ</t>
    </rPh>
    <rPh sb="19" eb="21">
      <t>ベツメイ</t>
    </rPh>
    <rPh sb="29" eb="30">
      <t>ヨ</t>
    </rPh>
    <phoneticPr fontId="1"/>
  </si>
  <si>
    <t>例題２</t>
    <rPh sb="0" eb="2">
      <t>レイダイ</t>
    </rPh>
    <phoneticPr fontId="1"/>
  </si>
  <si>
    <t>P = 100 / ( 1 + r ) ^ nt</t>
    <phoneticPr fontId="1"/>
  </si>
  <si>
    <t>=( (100/B86) ^ ( 1/(D86*C86) )  - 1 ) * D86</t>
    <phoneticPr fontId="1"/>
  </si>
  <si>
    <t>=( (100/価格) ^ ( 1 / (期間*年支払回数) ) - 1 ) * 年支払回数</t>
    <rPh sb="9" eb="11">
      <t>カカク</t>
    </rPh>
    <rPh sb="22" eb="24">
      <t>キカン</t>
    </rPh>
    <rPh sb="25" eb="26">
      <t>ネン</t>
    </rPh>
    <rPh sb="26" eb="28">
      <t>シハライ</t>
    </rPh>
    <rPh sb="28" eb="30">
      <t>カイスウ</t>
    </rPh>
    <rPh sb="42" eb="43">
      <t>ネン</t>
    </rPh>
    <rPh sb="43" eb="45">
      <t>シハライカイスウ</t>
    </rPh>
    <phoneticPr fontId="1"/>
  </si>
  <si>
    <t>問題４</t>
    <rPh sb="0" eb="2">
      <t>モンダイ</t>
    </rPh>
    <phoneticPr fontId="1"/>
  </si>
  <si>
    <t>r = ( ( 100 / P ) ^ ( 1 / (期間 * 年支払回数 ) )  - 1 ) * 年支払回数</t>
    <rPh sb="27" eb="29">
      <t>キカン</t>
    </rPh>
    <rPh sb="32" eb="33">
      <t>ネン</t>
    </rPh>
    <rPh sb="33" eb="35">
      <t>シハライ</t>
    </rPh>
    <rPh sb="35" eb="37">
      <t>カイスウ</t>
    </rPh>
    <rPh sb="51" eb="52">
      <t>ネン</t>
    </rPh>
    <rPh sb="52" eb="54">
      <t>シハライ</t>
    </rPh>
    <rPh sb="54" eb="56">
      <t>カイスウ</t>
    </rPh>
    <phoneticPr fontId="1"/>
  </si>
  <si>
    <t>連続複利のゼロレート</t>
    <rPh sb="0" eb="2">
      <t>レンゾク</t>
    </rPh>
    <rPh sb="2" eb="4">
      <t>フクリ</t>
    </rPh>
    <phoneticPr fontId="1"/>
  </si>
  <si>
    <t>P = 100 / e ^ rt</t>
    <phoneticPr fontId="1"/>
  </si>
  <si>
    <t>→ r = (1 / t) * LN ( P / 100 )</t>
    <phoneticPr fontId="1"/>
  </si>
  <si>
    <t>例題３</t>
    <rPh sb="0" eb="2">
      <t>レイダイ</t>
    </rPh>
    <phoneticPr fontId="1"/>
  </si>
  <si>
    <t xml:space="preserve">r = ( 1 / 期間 ) * LN ( 100 / P ) </t>
    <rPh sb="10" eb="12">
      <t>キカン</t>
    </rPh>
    <phoneticPr fontId="1"/>
  </si>
  <si>
    <t>※連続複利なんで、クーポン年支払回数はある意味無限となる。</t>
    <rPh sb="1" eb="3">
      <t>レンゾク</t>
    </rPh>
    <rPh sb="3" eb="5">
      <t>フクリ</t>
    </rPh>
    <rPh sb="13" eb="14">
      <t>ネン</t>
    </rPh>
    <rPh sb="14" eb="16">
      <t>シハライ</t>
    </rPh>
    <rPh sb="16" eb="18">
      <t>カイスウ</t>
    </rPh>
    <rPh sb="21" eb="23">
      <t>イミ</t>
    </rPh>
    <rPh sb="23" eb="25">
      <t>ムゲン</t>
    </rPh>
    <phoneticPr fontId="1"/>
  </si>
  <si>
    <t>　だから e を使っているので、支払回数は考慮しなくてよい。</t>
    <phoneticPr fontId="1"/>
  </si>
  <si>
    <t>問題５</t>
    <rPh sb="0" eb="2">
      <t>モンダイ</t>
    </rPh>
    <phoneticPr fontId="1"/>
  </si>
  <si>
    <t>回数増やした方が、利回りは減るに決まっている。</t>
    <rPh sb="0" eb="2">
      <t>カイスウ</t>
    </rPh>
    <rPh sb="2" eb="3">
      <t>フ</t>
    </rPh>
    <rPh sb="6" eb="7">
      <t>ホウ</t>
    </rPh>
    <rPh sb="9" eb="11">
      <t>リマワ</t>
    </rPh>
    <rPh sb="13" eb="14">
      <t>ヘ</t>
    </rPh>
    <rPh sb="16" eb="17">
      <t>キ</t>
    </rPh>
    <phoneticPr fontId="1"/>
  </si>
  <si>
    <t>=(1/C111) * LN(100/B111) * D111</t>
    <phoneticPr fontId="1"/>
  </si>
  <si>
    <t>= ( 1 / 期間 ) * LN ( 100 / 価格 )</t>
    <rPh sb="9" eb="11">
      <t>キカン</t>
    </rPh>
    <rPh sb="27" eb="29">
      <t>カカク</t>
    </rPh>
    <phoneticPr fontId="1"/>
  </si>
  <si>
    <t>インプライド・フォワード・レート</t>
    <phoneticPr fontId="1"/>
  </si>
  <si>
    <t>ゼロレート１</t>
    <phoneticPr fontId="1"/>
  </si>
  <si>
    <t>ゼロレート2</t>
    <phoneticPr fontId="1"/>
  </si>
  <si>
    <t>期間１</t>
    <rPh sb="0" eb="2">
      <t>キカン</t>
    </rPh>
    <phoneticPr fontId="1"/>
  </si>
  <si>
    <t>期間2</t>
    <rPh sb="0" eb="2">
      <t>キカン</t>
    </rPh>
    <phoneticPr fontId="1"/>
  </si>
  <si>
    <t>年支払回数</t>
    <rPh sb="0" eb="1">
      <t>ネン</t>
    </rPh>
    <rPh sb="1" eb="3">
      <t>シハライ</t>
    </rPh>
    <rPh sb="3" eb="5">
      <t>カイスウ</t>
    </rPh>
    <phoneticPr fontId="1"/>
  </si>
  <si>
    <t>期間１の回数</t>
    <rPh sb="0" eb="2">
      <t>キカン</t>
    </rPh>
    <rPh sb="4" eb="6">
      <t>カイスウ</t>
    </rPh>
    <phoneticPr fontId="1"/>
  </si>
  <si>
    <t>期間2の回数</t>
    <rPh sb="0" eb="2">
      <t>キカン</t>
    </rPh>
    <rPh sb="4" eb="6">
      <t>カイスウ</t>
    </rPh>
    <phoneticPr fontId="1"/>
  </si>
  <si>
    <t>連続複利のインプライド・フォワード・レート</t>
    <rPh sb="0" eb="4">
      <t>レンゾクフクリ</t>
    </rPh>
    <phoneticPr fontId="1"/>
  </si>
  <si>
    <t>e ^ r1t1 + e ^ r2t2 = e ^ r3t3</t>
    <phoneticPr fontId="1"/>
  </si>
  <si>
    <t>→　r1t1 + r2t2 = r3t3</t>
    <phoneticPr fontId="1"/>
  </si>
  <si>
    <t>期間３の回数</t>
    <rPh sb="0" eb="2">
      <t>キカン</t>
    </rPh>
    <rPh sb="4" eb="6">
      <t>カイスウ</t>
    </rPh>
    <phoneticPr fontId="1"/>
  </si>
  <si>
    <t>確認問題</t>
    <rPh sb="0" eb="2">
      <t>カクニン</t>
    </rPh>
    <rPh sb="2" eb="4">
      <t>モンダイ</t>
    </rPh>
    <phoneticPr fontId="1"/>
  </si>
  <si>
    <t>( 1 + 1.5%/2 ) ^ 2 * ( 1 + X / 2 ) ^ 1 = ( 1 + 2% / 2 ) ^ 3</t>
    <phoneticPr fontId="1"/>
  </si>
  <si>
    <t>宿題　（債権数理）</t>
    <rPh sb="0" eb="2">
      <t>シュクダイ</t>
    </rPh>
    <rPh sb="4" eb="6">
      <t>サイケン</t>
    </rPh>
    <rPh sb="6" eb="8">
      <t>スウリ</t>
    </rPh>
    <phoneticPr fontId="1"/>
  </si>
  <si>
    <t>想定元本</t>
    <rPh sb="0" eb="2">
      <t>ソウテイ</t>
    </rPh>
    <rPh sb="2" eb="4">
      <t>ガンポン</t>
    </rPh>
    <phoneticPr fontId="1"/>
  </si>
  <si>
    <t>金利</t>
    <rPh sb="0" eb="2">
      <t>キンリ</t>
    </rPh>
    <phoneticPr fontId="1"/>
  </si>
  <si>
    <t>期間</t>
    <rPh sb="0" eb="2">
      <t>キカン</t>
    </rPh>
    <phoneticPr fontId="1"/>
  </si>
  <si>
    <t>P = 元本 × （ 1 + r/n ) ^ nt</t>
    <rPh sb="4" eb="6">
      <t>ガンポン</t>
    </rPh>
    <phoneticPr fontId="1"/>
  </si>
  <si>
    <t>CashFlow支払回数</t>
    <rPh sb="8" eb="10">
      <t>シハライ</t>
    </rPh>
    <rPh sb="10" eb="12">
      <t>カイスウ</t>
    </rPh>
    <phoneticPr fontId="1"/>
  </si>
  <si>
    <t>P = 元本 × e ^ rt</t>
    <rPh sb="4" eb="6">
      <t>ガンポン</t>
    </rPh>
    <phoneticPr fontId="1"/>
  </si>
  <si>
    <t>①</t>
    <phoneticPr fontId="1"/>
  </si>
  <si>
    <t>②</t>
    <phoneticPr fontId="1"/>
  </si>
  <si>
    <t>③</t>
    <phoneticPr fontId="1"/>
  </si>
  <si>
    <t>r = ( (100 / P ) ^ ( 1/Ncashflow) - 1 ) * Navg1year</t>
    <phoneticPr fontId="1"/>
  </si>
  <si>
    <t>P = 100 / ( 1 + r /N1year) ^ Ncashflow</t>
    <phoneticPr fontId="1"/>
  </si>
  <si>
    <t>①</t>
    <phoneticPr fontId="1"/>
  </si>
  <si>
    <t>③</t>
    <phoneticPr fontId="1"/>
  </si>
  <si>
    <t>連続ゼロレート</t>
    <rPh sb="0" eb="2">
      <t>レンゾク</t>
    </rPh>
    <phoneticPr fontId="1"/>
  </si>
  <si>
    <t>P = 100 / e ^ rt</t>
    <phoneticPr fontId="1"/>
  </si>
  <si>
    <t xml:space="preserve">r =  1/ t * LN ( 100 / P ) </t>
    <phoneticPr fontId="1"/>
  </si>
  <si>
    <t>( 1 + r1/2 ) ^ 3 × ( 1 + r12/2 ) ^ 1 = ( 1 + r2/2 ) ^ 4</t>
    <phoneticPr fontId="1"/>
  </si>
  <si>
    <t>ゼロ金利１</t>
    <rPh sb="2" eb="4">
      <t>キンリ</t>
    </rPh>
    <phoneticPr fontId="1"/>
  </si>
  <si>
    <t>期間の間の回数１</t>
    <rPh sb="0" eb="2">
      <t>キカン</t>
    </rPh>
    <rPh sb="3" eb="4">
      <t>アイダ</t>
    </rPh>
    <rPh sb="5" eb="7">
      <t>カイスウ</t>
    </rPh>
    <phoneticPr fontId="1"/>
  </si>
  <si>
    <t>ゼロ金利２</t>
    <rPh sb="2" eb="4">
      <t>キンリ</t>
    </rPh>
    <phoneticPr fontId="1"/>
  </si>
  <si>
    <t>期間の間の回数２</t>
    <rPh sb="0" eb="2">
      <t>キカン</t>
    </rPh>
    <rPh sb="3" eb="4">
      <t>アイダ</t>
    </rPh>
    <rPh sb="5" eb="7">
      <t>カイスウ</t>
    </rPh>
    <phoneticPr fontId="1"/>
  </si>
  <si>
    <t>年のCashFlow回数</t>
    <rPh sb="0" eb="1">
      <t>ネン</t>
    </rPh>
    <rPh sb="10" eb="12">
      <t>カイスウ</t>
    </rPh>
    <phoneticPr fontId="1"/>
  </si>
  <si>
    <t>①</t>
    <phoneticPr fontId="1"/>
  </si>
  <si>
    <t>３か月複利</t>
    <rPh sb="2" eb="3">
      <t>ゲツ</t>
    </rPh>
    <rPh sb="3" eb="5">
      <t>フクリ</t>
    </rPh>
    <phoneticPr fontId="1"/>
  </si>
  <si>
    <t>連続複利のインプライド・フォワードレート</t>
    <rPh sb="0" eb="2">
      <t>レンゾク</t>
    </rPh>
    <rPh sb="2" eb="4">
      <t>フクリ</t>
    </rPh>
    <phoneticPr fontId="1"/>
  </si>
  <si>
    <t>r1 * t1  ＋ r * t = r2 * t2</t>
    <phoneticPr fontId="1"/>
  </si>
  <si>
    <t>期間２</t>
    <rPh sb="0" eb="2">
      <t>キカン</t>
    </rPh>
    <phoneticPr fontId="1"/>
  </si>
  <si>
    <t>割引債</t>
    <rPh sb="0" eb="3">
      <t>ワリビキサイ</t>
    </rPh>
    <phoneticPr fontId="1"/>
  </si>
  <si>
    <t>①割引債のCFより、DFを順次求める</t>
    <rPh sb="1" eb="4">
      <t>ワリビキサイ</t>
    </rPh>
    <rPh sb="13" eb="15">
      <t>ジュンジ</t>
    </rPh>
    <rPh sb="15" eb="16">
      <t>モト</t>
    </rPh>
    <phoneticPr fontId="1"/>
  </si>
  <si>
    <t>DF</t>
    <phoneticPr fontId="1"/>
  </si>
  <si>
    <t>PV</t>
    <phoneticPr fontId="1"/>
  </si>
  <si>
    <t>P1 = 2 * 0.99</t>
    <phoneticPr fontId="1"/>
  </si>
  <si>
    <t>P2 = 102 * 0.98</t>
    <phoneticPr fontId="1"/>
  </si>
  <si>
    <t xml:space="preserve">PV = P1 + P2 = </t>
    <phoneticPr fontId="1"/>
  </si>
  <si>
    <t>計算式</t>
    <rPh sb="0" eb="2">
      <t>ケイサン</t>
    </rPh>
    <rPh sb="2" eb="3">
      <t>シキ</t>
    </rPh>
    <phoneticPr fontId="1"/>
  </si>
  <si>
    <t>②利付債のキャッシュフローのPVを求める</t>
    <rPh sb="1" eb="3">
      <t>リツキ</t>
    </rPh>
    <rPh sb="3" eb="4">
      <t>サイ</t>
    </rPh>
    <rPh sb="17" eb="18">
      <t>モト</t>
    </rPh>
    <phoneticPr fontId="1"/>
  </si>
  <si>
    <t>③利付債の価格</t>
    <rPh sb="1" eb="3">
      <t>リツキ</t>
    </rPh>
    <rPh sb="3" eb="4">
      <t>サイ</t>
    </rPh>
    <rPh sb="5" eb="7">
      <t>カカク</t>
    </rPh>
    <phoneticPr fontId="1"/>
  </si>
  <si>
    <t>例題５　割引債の値段がわかっているとき、利付債の値段を求めよ</t>
    <rPh sb="0" eb="2">
      <t>レイダイ</t>
    </rPh>
    <rPh sb="4" eb="7">
      <t>ワリビキサイ</t>
    </rPh>
    <rPh sb="8" eb="10">
      <t>ネダン</t>
    </rPh>
    <rPh sb="20" eb="22">
      <t>リツキ</t>
    </rPh>
    <rPh sb="22" eb="23">
      <t>サイ</t>
    </rPh>
    <rPh sb="24" eb="26">
      <t>ネダン</t>
    </rPh>
    <rPh sb="27" eb="28">
      <t>モト</t>
    </rPh>
    <phoneticPr fontId="1"/>
  </si>
  <si>
    <t>例題６　利付債の値段がわかっているとき、割引債の理論価格を求めよ</t>
    <rPh sb="0" eb="2">
      <t>レイダイ</t>
    </rPh>
    <rPh sb="4" eb="6">
      <t>リツキ</t>
    </rPh>
    <rPh sb="6" eb="7">
      <t>サイ</t>
    </rPh>
    <rPh sb="8" eb="10">
      <t>ネダン</t>
    </rPh>
    <rPh sb="20" eb="23">
      <t>ワリビキサイ</t>
    </rPh>
    <rPh sb="24" eb="26">
      <t>リロン</t>
    </rPh>
    <rPh sb="26" eb="28">
      <t>カカク</t>
    </rPh>
    <rPh sb="29" eb="30">
      <t>モト</t>
    </rPh>
    <phoneticPr fontId="1"/>
  </si>
  <si>
    <t>③割引債の価格</t>
    <rPh sb="1" eb="4">
      <t>ワリビキサイ</t>
    </rPh>
    <rPh sb="5" eb="7">
      <t>カカク</t>
    </rPh>
    <phoneticPr fontId="1"/>
  </si>
  <si>
    <t>CF</t>
    <phoneticPr fontId="1"/>
  </si>
  <si>
    <t>PV</t>
    <phoneticPr fontId="1"/>
  </si>
  <si>
    <t>②利付債よりdf2を求める</t>
    <rPh sb="1" eb="3">
      <t>リツキ</t>
    </rPh>
    <rPh sb="3" eb="4">
      <t>サイ</t>
    </rPh>
    <rPh sb="10" eb="11">
      <t>モト</t>
    </rPh>
    <phoneticPr fontId="1"/>
  </si>
  <si>
    <t>df2 = ( 101.8 - 2.2*0.99 ) / 102.2</t>
    <phoneticPr fontId="1"/>
  </si>
  <si>
    <t>PV = 100 * df2 =</t>
    <phoneticPr fontId="1"/>
  </si>
  <si>
    <t>例題７　半年の割引債の理論がわかっていて、順次利付債の価格を求めよ</t>
    <rPh sb="0" eb="2">
      <t>レイダイ</t>
    </rPh>
    <rPh sb="4" eb="6">
      <t>ハントシ</t>
    </rPh>
    <rPh sb="7" eb="10">
      <t>ワリビキサイ</t>
    </rPh>
    <rPh sb="11" eb="13">
      <t>リロン</t>
    </rPh>
    <rPh sb="21" eb="23">
      <t>ジュンジ</t>
    </rPh>
    <rPh sb="23" eb="25">
      <t>リツキ</t>
    </rPh>
    <rPh sb="25" eb="26">
      <t>サイ</t>
    </rPh>
    <rPh sb="27" eb="29">
      <t>カカク</t>
    </rPh>
    <rPh sb="30" eb="31">
      <t>モト</t>
    </rPh>
    <phoneticPr fontId="1"/>
  </si>
  <si>
    <t>②利付債よりdf1を求める</t>
    <rPh sb="1" eb="3">
      <t>リツキ</t>
    </rPh>
    <rPh sb="3" eb="4">
      <t>サイ</t>
    </rPh>
    <rPh sb="10" eb="11">
      <t>モト</t>
    </rPh>
    <phoneticPr fontId="1"/>
  </si>
  <si>
    <t>P1 + P2 の価格</t>
    <rPh sb="9" eb="11">
      <t>カカク</t>
    </rPh>
    <phoneticPr fontId="1"/>
  </si>
  <si>
    <t>df2 = ( 102.45 - 2*0.99 ) / 102</t>
    <phoneticPr fontId="1"/>
  </si>
  <si>
    <t>③利付債よりdf1.5を求める</t>
    <rPh sb="1" eb="3">
      <t>リツキ</t>
    </rPh>
    <rPh sb="3" eb="4">
      <t>サイ</t>
    </rPh>
    <rPh sb="12" eb="13">
      <t>モト</t>
    </rPh>
    <phoneticPr fontId="1"/>
  </si>
  <si>
    <t>df3 = ( 102.23 - 1.5 * (df0.5 + df1.0) ) / 101.5</t>
    <phoneticPr fontId="1"/>
  </si>
  <si>
    <t>割引債0.5</t>
    <rPh sb="0" eb="3">
      <t>ワリビキサイ</t>
    </rPh>
    <phoneticPr fontId="1"/>
  </si>
  <si>
    <t>割引債1.5</t>
    <rPh sb="0" eb="3">
      <t>ワリビキサイ</t>
    </rPh>
    <phoneticPr fontId="1"/>
  </si>
  <si>
    <t>割引債1.0</t>
    <rPh sb="0" eb="3">
      <t>ワリビキサイ</t>
    </rPh>
    <phoneticPr fontId="1"/>
  </si>
  <si>
    <t xml:space="preserve">BootStrap法 </t>
    <rPh sb="9" eb="10">
      <t>ホウ</t>
    </rPh>
    <phoneticPr fontId="1"/>
  </si>
  <si>
    <t>結局はDFを求めたら勝ちである</t>
    <rPh sb="0" eb="2">
      <t>ケッキョク</t>
    </rPh>
    <rPh sb="6" eb="7">
      <t>モト</t>
    </rPh>
    <rPh sb="10" eb="11">
      <t>カ</t>
    </rPh>
    <phoneticPr fontId="1"/>
  </si>
  <si>
    <t>BootStrapの実践</t>
    <rPh sb="10" eb="12">
      <t>ジッセン</t>
    </rPh>
    <phoneticPr fontId="1"/>
  </si>
  <si>
    <t>種類</t>
    <rPh sb="0" eb="2">
      <t>シュルイ</t>
    </rPh>
    <phoneticPr fontId="1"/>
  </si>
  <si>
    <t>クーポン（％）</t>
    <phoneticPr fontId="1"/>
  </si>
  <si>
    <t>価格（円）</t>
    <rPh sb="0" eb="2">
      <t>カカク</t>
    </rPh>
    <rPh sb="3" eb="4">
      <t>エン</t>
    </rPh>
    <phoneticPr fontId="1"/>
  </si>
  <si>
    <t>利付債</t>
    <rPh sb="0" eb="2">
      <t>リツキ</t>
    </rPh>
    <rPh sb="2" eb="3">
      <t>サイ</t>
    </rPh>
    <phoneticPr fontId="1"/>
  </si>
  <si>
    <t>（１）ディスカウントファクターを求める</t>
    <rPh sb="16" eb="17">
      <t>モト</t>
    </rPh>
    <phoneticPr fontId="1"/>
  </si>
  <si>
    <t xml:space="preserve">df0.5 = 99.7 / 100 </t>
    <phoneticPr fontId="1"/>
  </si>
  <si>
    <t>クーポン半年払い</t>
    <rPh sb="4" eb="6">
      <t>ハントシ</t>
    </rPh>
    <rPh sb="6" eb="7">
      <t>ハラ</t>
    </rPh>
    <phoneticPr fontId="1"/>
  </si>
  <si>
    <t>df1.0 = ( 100 - 0.4 * ( df0.5 ) ) / 100.4</t>
    <phoneticPr fontId="1"/>
  </si>
  <si>
    <t>df1.5 = ( 100.6 - 0.7*(df0.5+df1.0) ) / 100.7</t>
    <phoneticPr fontId="1"/>
  </si>
  <si>
    <t>df2.0 = ( 100.5 - 0.75*(df0.5*df1.0+df1.5) ) / 100.75</t>
    <phoneticPr fontId="1"/>
  </si>
  <si>
    <t>(2)この企業が、期間2年の債権を100円で発行するためのクーポンは何%</t>
    <rPh sb="5" eb="7">
      <t>キギョウ</t>
    </rPh>
    <rPh sb="9" eb="11">
      <t>キカン</t>
    </rPh>
    <rPh sb="12" eb="13">
      <t>ネン</t>
    </rPh>
    <rPh sb="14" eb="16">
      <t>サイケン</t>
    </rPh>
    <rPh sb="20" eb="21">
      <t>エン</t>
    </rPh>
    <rPh sb="22" eb="24">
      <t>ハッコウ</t>
    </rPh>
    <rPh sb="34" eb="35">
      <t>ナン</t>
    </rPh>
    <phoneticPr fontId="1"/>
  </si>
  <si>
    <t>100 = x/2 * (df0.5+df1.0+df1.5) + ( 100 + x/2 ) * df2.0</t>
    <phoneticPr fontId="1"/>
  </si>
  <si>
    <t>　　→結局はキャッシュフローを考えて、DFをかけて、債権の100円の値段と等式にする</t>
    <rPh sb="3" eb="5">
      <t>ケッキョク</t>
    </rPh>
    <rPh sb="15" eb="16">
      <t>カンガ</t>
    </rPh>
    <rPh sb="26" eb="28">
      <t>サイケン</t>
    </rPh>
    <rPh sb="32" eb="33">
      <t>エン</t>
    </rPh>
    <rPh sb="34" eb="36">
      <t>ネダン</t>
    </rPh>
    <rPh sb="37" eb="39">
      <t>トウシキ</t>
    </rPh>
    <phoneticPr fontId="1"/>
  </si>
  <si>
    <t>LIBOR</t>
    <phoneticPr fontId="1"/>
  </si>
  <si>
    <t>確認問題１</t>
    <rPh sb="0" eb="2">
      <t>カクニン</t>
    </rPh>
    <rPh sb="2" eb="4">
      <t>モンダイ</t>
    </rPh>
    <phoneticPr fontId="1"/>
  </si>
  <si>
    <t>=B5 * 365/300</t>
    <phoneticPr fontId="1"/>
  </si>
  <si>
    <t>変動金利 LIBOR6M + 0.3%</t>
    <rPh sb="0" eb="2">
      <t>ヘンドウ</t>
    </rPh>
    <rPh sb="2" eb="4">
      <t>キンリ</t>
    </rPh>
    <phoneticPr fontId="1"/>
  </si>
  <si>
    <t>固定金利は何％</t>
    <rPh sb="0" eb="2">
      <t>コテイ</t>
    </rPh>
    <rPh sb="2" eb="4">
      <t>キンリ</t>
    </rPh>
    <rPh sb="5" eb="6">
      <t>ナン</t>
    </rPh>
    <phoneticPr fontId="1"/>
  </si>
  <si>
    <t>スワップレート 0.8%　（対　LIBOR6M)</t>
    <rPh sb="14" eb="15">
      <t>タイ</t>
    </rPh>
    <phoneticPr fontId="1"/>
  </si>
  <si>
    <t>= 0.8% + 0.3% * 365/360</t>
    <phoneticPr fontId="1"/>
  </si>
  <si>
    <t>価格と一致</t>
    <rPh sb="0" eb="2">
      <t>カカク</t>
    </rPh>
    <rPh sb="3" eb="5">
      <t>イッチ</t>
    </rPh>
    <phoneticPr fontId="1"/>
  </si>
  <si>
    <t>確かめるため、キャッシュフローで計算</t>
    <rPh sb="0" eb="1">
      <t>タシ</t>
    </rPh>
    <rPh sb="16" eb="18">
      <t>ケイサン</t>
    </rPh>
    <phoneticPr fontId="1"/>
  </si>
  <si>
    <t>LIBORのディスカウントファクター</t>
    <phoneticPr fontId="1"/>
  </si>
  <si>
    <t>１２M　￥LIBOR</t>
    <phoneticPr fontId="1"/>
  </si>
  <si>
    <t>２Y　￥SWAP</t>
    <phoneticPr fontId="1"/>
  </si>
  <si>
    <t>３Y　￥SWAP</t>
    <phoneticPr fontId="1"/>
  </si>
  <si>
    <t>例題１</t>
    <rPh sb="0" eb="2">
      <t>レイダイ</t>
    </rPh>
    <phoneticPr fontId="1"/>
  </si>
  <si>
    <t>df1 = 100 / ( 100 + 1*365/360)</t>
    <phoneticPr fontId="1"/>
  </si>
  <si>
    <t>df2 = ( 100 - 1.5*df1 ) / 101.5</t>
    <phoneticPr fontId="1"/>
  </si>
  <si>
    <t>df3 = ( 100 - 2*(df1+df2) ) / 102</t>
    <phoneticPr fontId="1"/>
  </si>
  <si>
    <t>検算キャッシュフロー</t>
    <rPh sb="0" eb="2">
      <t>ケンザン</t>
    </rPh>
    <phoneticPr fontId="1"/>
  </si>
  <si>
    <t>価格100円と一致</t>
    <rPh sb="0" eb="2">
      <t>カカク</t>
    </rPh>
    <rPh sb="5" eb="6">
      <t>エン</t>
    </rPh>
    <rPh sb="7" eb="9">
      <t>イッチ</t>
    </rPh>
    <phoneticPr fontId="1"/>
  </si>
  <si>
    <t>ディスカウントファクターの公式で求める</t>
    <rPh sb="13" eb="15">
      <t>コウシキ</t>
    </rPh>
    <rPh sb="16" eb="17">
      <t>モト</t>
    </rPh>
    <phoneticPr fontId="1"/>
  </si>
  <si>
    <t>６M　￥LIBOR</t>
    <phoneticPr fontId="1"/>
  </si>
  <si>
    <t>１Y　￥SWAP</t>
    <phoneticPr fontId="1"/>
  </si>
  <si>
    <t>１.５Y　￥SWAP</t>
    <phoneticPr fontId="1"/>
  </si>
  <si>
    <t>2.0Y　￥SWAP</t>
    <phoneticPr fontId="1"/>
  </si>
  <si>
    <t>２.５Y　￥SWAP</t>
    <phoneticPr fontId="1"/>
  </si>
  <si>
    <t>３．０Y　￥SWAP</t>
    <phoneticPr fontId="1"/>
  </si>
  <si>
    <t>df0.5 = 100 / ( 100 + 0.5*365/360)</t>
    <phoneticPr fontId="1"/>
  </si>
  <si>
    <t>半年ごと</t>
    <rPh sb="0" eb="2">
      <t>ハントシ</t>
    </rPh>
    <phoneticPr fontId="1"/>
  </si>
  <si>
    <t>df1.0 = ( 100 - 0.4 * df0.5 ) / 100.4</t>
    <phoneticPr fontId="1"/>
  </si>
  <si>
    <t>線形補完</t>
    <rPh sb="0" eb="2">
      <t>センケイ</t>
    </rPh>
    <rPh sb="2" eb="4">
      <t>ホカン</t>
    </rPh>
    <phoneticPr fontId="1"/>
  </si>
  <si>
    <t>df1.5 = ( 100 - 0.6*(df0.5+df1) ) / 100.6</t>
    <phoneticPr fontId="1"/>
  </si>
  <si>
    <t>df2.0 = ( 100 - 0.75*(df0.5+df1.0+df1.5) ) / 100.75</t>
    <phoneticPr fontId="1"/>
  </si>
  <si>
    <t>df2.5 = ( 100 - (1.75/2)*(df0.5+df1.0+df1.5+df2.0) ) / (100 + (1.75/2))</t>
    <phoneticPr fontId="1"/>
  </si>
  <si>
    <t>df3.0 = ( 100 - 1 * (df0.5+df1.0+df1.5+df2.0+df2.5 ) ) / 101</t>
    <phoneticPr fontId="1"/>
  </si>
  <si>
    <t>受け取り金利</t>
    <rPh sb="0" eb="1">
      <t>ウ</t>
    </rPh>
    <rPh sb="2" eb="3">
      <t>ト</t>
    </rPh>
    <rPh sb="4" eb="6">
      <t>キンリ</t>
    </rPh>
    <phoneticPr fontId="1"/>
  </si>
  <si>
    <t>支払金利</t>
    <rPh sb="0" eb="2">
      <t>シハライ</t>
    </rPh>
    <rPh sb="2" eb="4">
      <t>キンリ</t>
    </rPh>
    <phoneticPr fontId="1"/>
  </si>
  <si>
    <t>半年払い</t>
    <rPh sb="0" eb="2">
      <t>ハントシ</t>
    </rPh>
    <rPh sb="2" eb="3">
      <t>バラ</t>
    </rPh>
    <phoneticPr fontId="1"/>
  </si>
  <si>
    <t>100億</t>
    <rPh sb="3" eb="4">
      <t>オク</t>
    </rPh>
    <phoneticPr fontId="1"/>
  </si>
  <si>
    <t>当初期間5年、残存期間3年</t>
    <rPh sb="0" eb="2">
      <t>トウショ</t>
    </rPh>
    <rPh sb="2" eb="4">
      <t>キカン</t>
    </rPh>
    <rPh sb="5" eb="6">
      <t>ネン</t>
    </rPh>
    <rPh sb="7" eb="9">
      <t>ザンゾン</t>
    </rPh>
    <rPh sb="9" eb="11">
      <t>キカン</t>
    </rPh>
    <rPh sb="12" eb="13">
      <t>ネン</t>
    </rPh>
    <phoneticPr fontId="1"/>
  </si>
  <si>
    <t>LIBOR6M</t>
    <phoneticPr fontId="1"/>
  </si>
  <si>
    <t>時価評価額</t>
    <rPh sb="0" eb="2">
      <t>ジカ</t>
    </rPh>
    <rPh sb="2" eb="5">
      <t>ヒョウカガク</t>
    </rPh>
    <phoneticPr fontId="1"/>
  </si>
  <si>
    <t>期間３年のSWAPレート = 2.0%</t>
    <rPh sb="0" eb="2">
      <t>キカン</t>
    </rPh>
    <rPh sb="3" eb="4">
      <t>ネン</t>
    </rPh>
    <phoneticPr fontId="1"/>
  </si>
  <si>
    <t>得するのは0.6%（一年）、半年では0.3%</t>
    <rPh sb="0" eb="1">
      <t>トク</t>
    </rPh>
    <rPh sb="10" eb="12">
      <t>イチネン</t>
    </rPh>
    <rPh sb="14" eb="16">
      <t>ハントシ</t>
    </rPh>
    <phoneticPr fontId="1"/>
  </si>
  <si>
    <t>10000000000 * 0.30% * (df0.5 + df1.0 + df1.5 + df2.0 + df2.5 + df3.0 )</t>
    <phoneticPr fontId="1"/>
  </si>
  <si>
    <t>ゼロレート</t>
    <phoneticPr fontId="1"/>
  </si>
  <si>
    <t>ゼロレートの公式</t>
    <rPh sb="6" eb="8">
      <t>コウシキ</t>
    </rPh>
    <phoneticPr fontId="1"/>
  </si>
  <si>
    <t>値段</t>
    <rPh sb="0" eb="2">
      <t>ネダン</t>
    </rPh>
    <phoneticPr fontId="1"/>
  </si>
  <si>
    <t>P = 100 / ( 1 + r /2) ^ (回数 * t)</t>
    <rPh sb="25" eb="27">
      <t>カイスウ</t>
    </rPh>
    <phoneticPr fontId="1"/>
  </si>
  <si>
    <t>=100/( (1+E99/2)^(2*2) )</t>
    <phoneticPr fontId="1"/>
  </si>
  <si>
    <t>ゼロレートから割引債の値段を求める</t>
    <rPh sb="7" eb="10">
      <t>ワリビキサイ</t>
    </rPh>
    <rPh sb="11" eb="13">
      <t>ネダン</t>
    </rPh>
    <rPh sb="14" eb="15">
      <t>モト</t>
    </rPh>
    <phoneticPr fontId="1"/>
  </si>
  <si>
    <t>P = 100 / ( 1 + r /2) ^ (年の支払回数　* t )</t>
    <rPh sb="25" eb="26">
      <t>ネン</t>
    </rPh>
    <rPh sb="27" eb="29">
      <t>シハライ</t>
    </rPh>
    <rPh sb="29" eb="31">
      <t>カイスウ</t>
    </rPh>
    <phoneticPr fontId="1"/>
  </si>
  <si>
    <t>df1.0 = 99.125/100</t>
    <phoneticPr fontId="1"/>
  </si>
  <si>
    <t>df1.5 = 98.485/100</t>
    <phoneticPr fontId="1"/>
  </si>
  <si>
    <t>df2.0 = 97.674/100</t>
    <phoneticPr fontId="1"/>
  </si>
  <si>
    <t>（２）利付債の価格</t>
    <rPh sb="3" eb="5">
      <t>リツキ</t>
    </rPh>
    <rPh sb="5" eb="6">
      <t>サイ</t>
    </rPh>
    <rPh sb="7" eb="9">
      <t>カカク</t>
    </rPh>
    <phoneticPr fontId="1"/>
  </si>
  <si>
    <t>検算</t>
    <rPh sb="0" eb="2">
      <t>ケンザン</t>
    </rPh>
    <phoneticPr fontId="1"/>
  </si>
  <si>
    <t>=(C89-0.6*(E79+E80+E81) ) / 100.6</t>
    <phoneticPr fontId="1"/>
  </si>
  <si>
    <t>債権数理　公式</t>
    <rPh sb="0" eb="2">
      <t>サイケン</t>
    </rPh>
    <rPh sb="2" eb="4">
      <t>スウリ</t>
    </rPh>
    <rPh sb="5" eb="7">
      <t>コウシキ</t>
    </rPh>
    <phoneticPr fontId="1"/>
  </si>
  <si>
    <t>金利%</t>
    <rPh sb="0" eb="2">
      <t>キンリ</t>
    </rPh>
    <phoneticPr fontId="1"/>
  </si>
  <si>
    <t>年複利回数</t>
    <rPh sb="0" eb="1">
      <t>ネン</t>
    </rPh>
    <rPh sb="1" eb="3">
      <t>フクリ</t>
    </rPh>
    <rPh sb="3" eb="5">
      <t>カイスウ</t>
    </rPh>
    <phoneticPr fontId="1"/>
  </si>
  <si>
    <t>1年における複利回数</t>
    <rPh sb="1" eb="2">
      <t>ネン</t>
    </rPh>
    <rPh sb="6" eb="8">
      <t>フクリ</t>
    </rPh>
    <rPh sb="8" eb="10">
      <t>カイスウ</t>
    </rPh>
    <phoneticPr fontId="1"/>
  </si>
  <si>
    <t>元利合計額</t>
    <rPh sb="0" eb="2">
      <t>ガンリ</t>
    </rPh>
    <rPh sb="2" eb="4">
      <t>ゴウケイ</t>
    </rPh>
    <rPh sb="4" eb="5">
      <t>ガク</t>
    </rPh>
    <phoneticPr fontId="1"/>
  </si>
  <si>
    <t>期間 [年]</t>
    <rPh sb="0" eb="2">
      <t>キカン</t>
    </rPh>
    <rPh sb="4" eb="5">
      <t>ネン</t>
    </rPh>
    <phoneticPr fontId="1"/>
  </si>
  <si>
    <t>=A6 * ( (1+C6/D6)^(B6*D6) )</t>
    <phoneticPr fontId="1"/>
  </si>
  <si>
    <t>元本 [円]</t>
    <rPh sb="0" eb="2">
      <t>ガンポン</t>
    </rPh>
    <rPh sb="4" eb="5">
      <t>エン</t>
    </rPh>
    <phoneticPr fontId="1"/>
  </si>
  <si>
    <t>=A16 * EXP(B16*C16)</t>
    <phoneticPr fontId="1"/>
  </si>
  <si>
    <t>半年払い</t>
    <rPh sb="0" eb="2">
      <t>ハントシ</t>
    </rPh>
    <rPh sb="2" eb="3">
      <t>ハラ</t>
    </rPh>
    <phoneticPr fontId="1"/>
  </si>
  <si>
    <t>②価格パーの場合</t>
    <rPh sb="1" eb="3">
      <t>カカク</t>
    </rPh>
    <rPh sb="6" eb="8">
      <t>バアイ</t>
    </rPh>
    <phoneticPr fontId="1"/>
  </si>
  <si>
    <t>③半年払いの場合</t>
    <rPh sb="1" eb="3">
      <t>ハントシ</t>
    </rPh>
    <rPh sb="3" eb="4">
      <t>ハラ</t>
    </rPh>
    <rPh sb="6" eb="8">
      <t>バアイ</t>
    </rPh>
    <phoneticPr fontId="1"/>
  </si>
  <si>
    <t>①年払いの場合</t>
    <rPh sb="1" eb="2">
      <t>ネン</t>
    </rPh>
    <rPh sb="2" eb="3">
      <t>ハラ</t>
    </rPh>
    <rPh sb="5" eb="7">
      <t>バアイ</t>
    </rPh>
    <phoneticPr fontId="1"/>
  </si>
  <si>
    <t>クーポン CashFlow</t>
    <phoneticPr fontId="1"/>
  </si>
  <si>
    <t>=B41/D41</t>
    <phoneticPr fontId="1"/>
  </si>
  <si>
    <t>利付債の複利利回り</t>
    <rPh sb="0" eb="2">
      <t>リツキ</t>
    </rPh>
    <rPh sb="2" eb="3">
      <t>サイ</t>
    </rPh>
    <rPh sb="4" eb="6">
      <t>フクリ</t>
    </rPh>
    <rPh sb="6" eb="8">
      <t>リマワ</t>
    </rPh>
    <phoneticPr fontId="1"/>
  </si>
  <si>
    <t>複利計算  (複利を元に元利合計額を求める問題)</t>
    <rPh sb="0" eb="2">
      <t>フクリ</t>
    </rPh>
    <rPh sb="2" eb="4">
      <t>ケイサン</t>
    </rPh>
    <rPh sb="7" eb="9">
      <t>フクリ</t>
    </rPh>
    <rPh sb="10" eb="11">
      <t>モト</t>
    </rPh>
    <rPh sb="12" eb="14">
      <t>ガンリ</t>
    </rPh>
    <rPh sb="14" eb="16">
      <t>ゴウケイ</t>
    </rPh>
    <rPh sb="16" eb="17">
      <t>ガク</t>
    </rPh>
    <rPh sb="18" eb="19">
      <t>モト</t>
    </rPh>
    <rPh sb="21" eb="23">
      <t>モンダイ</t>
    </rPh>
    <phoneticPr fontId="1"/>
  </si>
  <si>
    <t>連続複利 (連続複利を元に元利合計額を求める問題)</t>
    <rPh sb="0" eb="2">
      <t>レンゾク</t>
    </rPh>
    <rPh sb="2" eb="4">
      <t>フクリ</t>
    </rPh>
    <rPh sb="6" eb="8">
      <t>レンゾク</t>
    </rPh>
    <rPh sb="8" eb="10">
      <t>フクリ</t>
    </rPh>
    <rPh sb="11" eb="12">
      <t>モト</t>
    </rPh>
    <rPh sb="13" eb="15">
      <t>ガンリ</t>
    </rPh>
    <rPh sb="15" eb="17">
      <t>ゴウケイ</t>
    </rPh>
    <rPh sb="17" eb="18">
      <t>ガク</t>
    </rPh>
    <rPh sb="19" eb="20">
      <t>モト</t>
    </rPh>
    <rPh sb="22" eb="24">
      <t>モンダイ</t>
    </rPh>
    <phoneticPr fontId="1"/>
  </si>
  <si>
    <r>
      <t xml:space="preserve"> (</t>
    </r>
    <r>
      <rPr>
        <b/>
        <u/>
        <sz val="9"/>
        <color rgb="FF0000FF"/>
        <rFont val="ＭＳ ゴシック"/>
        <family val="3"/>
        <charset val="128"/>
      </rPr>
      <t>利付債の理論価格</t>
    </r>
    <r>
      <rPr>
        <b/>
        <sz val="9"/>
        <color theme="1"/>
        <rFont val="ＭＳ ゴシック"/>
        <family val="3"/>
        <charset val="128"/>
      </rPr>
      <t>　＋　クーポンレートから、利付債の複利利回りを求める)</t>
    </r>
    <phoneticPr fontId="1"/>
  </si>
  <si>
    <t>100円の額面を、120円で買わないといけない。</t>
    <rPh sb="3" eb="4">
      <t>エン</t>
    </rPh>
    <rPh sb="5" eb="7">
      <t>ガクメン</t>
    </rPh>
    <rPh sb="12" eb="13">
      <t>エン</t>
    </rPh>
    <rPh sb="14" eb="15">
      <t>カ</t>
    </rPh>
    <phoneticPr fontId="1"/>
  </si>
  <si>
    <t>ということは、クーポンをいっぱいもらわないと理屈に合わない。</t>
    <rPh sb="22" eb="24">
      <t>リクツ</t>
    </rPh>
    <rPh sb="25" eb="26">
      <t>ア</t>
    </rPh>
    <phoneticPr fontId="1"/>
  </si>
  <si>
    <t>割引債と考えればよい</t>
    <rPh sb="0" eb="3">
      <t>ワリビキサイ</t>
    </rPh>
    <rPh sb="4" eb="5">
      <t>カンガ</t>
    </rPh>
    <phoneticPr fontId="1"/>
  </si>
  <si>
    <t>ゼロクーポンもある</t>
    <phoneticPr fontId="1"/>
  </si>
  <si>
    <t>割引債のスポットレート（ゼロレート）</t>
    <rPh sb="0" eb="3">
      <t>ワリビキサイ</t>
    </rPh>
    <phoneticPr fontId="1"/>
  </si>
  <si>
    <t xml:space="preserve"> (割引債の価格から、ゼロレートを求める)</t>
    <rPh sb="2" eb="5">
      <t>ワリビキサイ</t>
    </rPh>
    <rPh sb="6" eb="8">
      <t>カカク</t>
    </rPh>
    <phoneticPr fontId="1"/>
  </si>
  <si>
    <t>ゼロレートを求める式</t>
    <rPh sb="6" eb="7">
      <t>モト</t>
    </rPh>
    <rPh sb="9" eb="10">
      <t>シキ</t>
    </rPh>
    <phoneticPr fontId="1"/>
  </si>
  <si>
    <t>=( (100/A64) ^ ( 1/(C64*B64) )  - 1 ) * C64</t>
    <phoneticPr fontId="1"/>
  </si>
  <si>
    <t>1年複利ベース</t>
    <rPh sb="1" eb="2">
      <t>ネン</t>
    </rPh>
    <rPh sb="2" eb="4">
      <t>フクリ</t>
    </rPh>
    <phoneticPr fontId="1"/>
  </si>
  <si>
    <t>半年複利ベース</t>
    <rPh sb="0" eb="2">
      <t>ハントシ</t>
    </rPh>
    <rPh sb="2" eb="4">
      <t>フクリ</t>
    </rPh>
    <phoneticPr fontId="1"/>
  </si>
  <si>
    <t>3か月複利ベース</t>
    <rPh sb="2" eb="3">
      <t>ゲツ</t>
    </rPh>
    <rPh sb="3" eb="5">
      <t>フクリ</t>
    </rPh>
    <phoneticPr fontId="1"/>
  </si>
  <si>
    <t>1日複利ベース</t>
    <rPh sb="1" eb="2">
      <t>ヒ</t>
    </rPh>
    <rPh sb="2" eb="4">
      <t>フクリ</t>
    </rPh>
    <phoneticPr fontId="1"/>
  </si>
  <si>
    <t>1秒複利ベース</t>
    <rPh sb="1" eb="2">
      <t>ビョウ</t>
    </rPh>
    <rPh sb="2" eb="4">
      <t>フクリ</t>
    </rPh>
    <phoneticPr fontId="1"/>
  </si>
  <si>
    <t>割引債の価格</t>
    <rPh sb="0" eb="3">
      <t>ワリビキサイ</t>
    </rPh>
    <rPh sb="4" eb="6">
      <t>カカク</t>
    </rPh>
    <phoneticPr fontId="1"/>
  </si>
  <si>
    <t xml:space="preserve"> (割引債のゼロレートから、割引債の価格を求める)</t>
    <rPh sb="2" eb="5">
      <t>ワリビキサイ</t>
    </rPh>
    <rPh sb="14" eb="17">
      <t>ワリビキサイ</t>
    </rPh>
    <rPh sb="18" eb="20">
      <t>カカク</t>
    </rPh>
    <phoneticPr fontId="1"/>
  </si>
  <si>
    <t>=100 / ( ( 1 + D80/C80 )^(B80*C80) )</t>
    <phoneticPr fontId="1"/>
  </si>
  <si>
    <t>P = 100 / ( 1 + r ) ^ nt</t>
  </si>
  <si>
    <t xml:space="preserve"> (割引債の価格から、連続複利のゼロレートを求める)</t>
    <rPh sb="2" eb="5">
      <t>ワリビキサイ</t>
    </rPh>
    <rPh sb="6" eb="8">
      <t>カカク</t>
    </rPh>
    <rPh sb="11" eb="13">
      <t>レンゾク</t>
    </rPh>
    <rPh sb="13" eb="15">
      <t>フクリ</t>
    </rPh>
    <phoneticPr fontId="1"/>
  </si>
  <si>
    <t>連続複利のゼロレートを求める式</t>
    <rPh sb="0" eb="2">
      <t>レンゾク</t>
    </rPh>
    <rPh sb="2" eb="4">
      <t>フクリ</t>
    </rPh>
    <rPh sb="11" eb="12">
      <t>モト</t>
    </rPh>
    <rPh sb="14" eb="15">
      <t>シキ</t>
    </rPh>
    <phoneticPr fontId="1"/>
  </si>
  <si>
    <t>→ r = (1 / t) * LN ( 100 / P )</t>
    <phoneticPr fontId="1"/>
  </si>
  <si>
    <t>=(1/B93)*LN(100/A93)</t>
    <phoneticPr fontId="1"/>
  </si>
  <si>
    <t>r = (1 / t) * LN ( 100 / P )</t>
  </si>
  <si>
    <t xml:space="preserve"> (連続複利のゼロレートから、割引債の価格を求める)</t>
    <rPh sb="2" eb="4">
      <t>レンゾク</t>
    </rPh>
    <rPh sb="4" eb="6">
      <t>フクリ</t>
    </rPh>
    <rPh sb="15" eb="18">
      <t>ワリビキサイ</t>
    </rPh>
    <rPh sb="19" eb="21">
      <t>カカク</t>
    </rPh>
    <phoneticPr fontId="1"/>
  </si>
  <si>
    <t>P = 100 / e ^ rt</t>
  </si>
  <si>
    <t>=100/(EXP(C105*B105))</t>
    <phoneticPr fontId="1"/>
  </si>
  <si>
    <t>割引債の価格 (ゼロレートから価格を求める)</t>
    <rPh sb="0" eb="3">
      <t>ワリビキサイ</t>
    </rPh>
    <rPh sb="4" eb="6">
      <t>カカク</t>
    </rPh>
    <rPh sb="15" eb="17">
      <t>カカク</t>
    </rPh>
    <rPh sb="18" eb="19">
      <t>モト</t>
    </rPh>
    <phoneticPr fontId="1"/>
  </si>
  <si>
    <t>割引債の価格 (連続複利ゼロレートから価格を求める)</t>
    <rPh sb="0" eb="3">
      <t>ワリビキサイ</t>
    </rPh>
    <rPh sb="4" eb="6">
      <t>カカク</t>
    </rPh>
    <rPh sb="8" eb="10">
      <t>レンゾク</t>
    </rPh>
    <rPh sb="10" eb="12">
      <t>フクリ</t>
    </rPh>
    <phoneticPr fontId="1"/>
  </si>
  <si>
    <t>インプライドフォワード</t>
    <phoneticPr fontId="1"/>
  </si>
  <si>
    <t>時点T1</t>
    <rPh sb="0" eb="2">
      <t>ジテン</t>
    </rPh>
    <phoneticPr fontId="1"/>
  </si>
  <si>
    <t>時点T2</t>
    <rPh sb="0" eb="2">
      <t>ジテン</t>
    </rPh>
    <phoneticPr fontId="1"/>
  </si>
  <si>
    <t>ゼロレート２</t>
    <phoneticPr fontId="1"/>
  </si>
  <si>
    <t>年支払回数（複利回数）</t>
    <rPh sb="0" eb="1">
      <t>ネン</t>
    </rPh>
    <rPh sb="1" eb="3">
      <t>シハライ</t>
    </rPh>
    <rPh sb="3" eb="5">
      <t>カイスウ</t>
    </rPh>
    <rPh sb="6" eb="8">
      <t>フクリ</t>
    </rPh>
    <rPh sb="8" eb="10">
      <t>カイスウ</t>
    </rPh>
    <phoneticPr fontId="1"/>
  </si>
  <si>
    <t>=((((1+((D117)/E117))^(E117*C117))/((1+((B117)/E117))^(E117*A117)))^(1/((C117-A117)*E117))-1)*E117</t>
    <phoneticPr fontId="1"/>
  </si>
  <si>
    <t>無限</t>
    <rPh sb="0" eb="2">
      <t>ムゲン</t>
    </rPh>
    <phoneticPr fontId="1"/>
  </si>
  <si>
    <t>=( (C125*D125) - (A125*B125) ) / ( C125-A125)</t>
    <phoneticPr fontId="1"/>
  </si>
  <si>
    <t>＝</t>
    <phoneticPr fontId="1"/>
  </si>
  <si>
    <t>df0.5</t>
    <phoneticPr fontId="1"/>
  </si>
  <si>
    <t>df1.0</t>
    <phoneticPr fontId="1"/>
  </si>
  <si>
    <t>df1.5</t>
    <phoneticPr fontId="1"/>
  </si>
  <si>
    <t>割引債のディスカウントファクター</t>
    <rPh sb="0" eb="3">
      <t>ワリビキサイ</t>
    </rPh>
    <phoneticPr fontId="1"/>
  </si>
  <si>
    <t>df = P /100</t>
    <phoneticPr fontId="1"/>
  </si>
  <si>
    <t>割引債の理論価格</t>
    <rPh sb="0" eb="3">
      <t>ワリビキサイ</t>
    </rPh>
    <rPh sb="4" eb="6">
      <t>リロン</t>
    </rPh>
    <rPh sb="6" eb="8">
      <t>カカク</t>
    </rPh>
    <phoneticPr fontId="1"/>
  </si>
  <si>
    <t>P = 100 × df</t>
    <phoneticPr fontId="1"/>
  </si>
  <si>
    <t>無関係</t>
    <rPh sb="0" eb="3">
      <t>ムカンケイ</t>
    </rPh>
    <phoneticPr fontId="1"/>
  </si>
  <si>
    <t>利付債の理論価格を、キャッシュフローから求める</t>
    <rPh sb="0" eb="2">
      <t>リツキ</t>
    </rPh>
    <rPh sb="2" eb="3">
      <t>サイ</t>
    </rPh>
    <rPh sb="4" eb="6">
      <t>リロン</t>
    </rPh>
    <rPh sb="6" eb="8">
      <t>カカク</t>
    </rPh>
    <rPh sb="20" eb="21">
      <t>モト</t>
    </rPh>
    <phoneticPr fontId="1"/>
  </si>
  <si>
    <t>キャッシュフローのPV</t>
    <phoneticPr fontId="1"/>
  </si>
  <si>
    <t>利付債の理論価格</t>
    <rPh sb="0" eb="2">
      <t>リツキ</t>
    </rPh>
    <rPh sb="2" eb="3">
      <t>サイ</t>
    </rPh>
    <rPh sb="4" eb="6">
      <t>リロン</t>
    </rPh>
    <rPh sb="6" eb="8">
      <t>カカク</t>
    </rPh>
    <phoneticPr fontId="1"/>
  </si>
  <si>
    <t>PV=CF * df0.5</t>
    <phoneticPr fontId="1"/>
  </si>
  <si>
    <t>PV=CF * df1.0</t>
    <phoneticPr fontId="1"/>
  </si>
  <si>
    <t>PV=CF * df1.5</t>
    <phoneticPr fontId="1"/>
  </si>
  <si>
    <t>PV=CF * df2.0</t>
    <phoneticPr fontId="1"/>
  </si>
  <si>
    <t>=SUM(PV0.5+・・・+PV2.0)</t>
    <phoneticPr fontId="1"/>
  </si>
  <si>
    <t>P = (クーポン/年複利支払回数) * ( df0.5+・・・df2.0 ) + 100 * df2.0</t>
    <rPh sb="10" eb="11">
      <t>ネン</t>
    </rPh>
    <rPh sb="11" eb="13">
      <t>フクリ</t>
    </rPh>
    <rPh sb="13" eb="15">
      <t>シハライ</t>
    </rPh>
    <rPh sb="15" eb="17">
      <t>カイスウ</t>
    </rPh>
    <phoneticPr fontId="1"/>
  </si>
  <si>
    <t>年複利支払回数</t>
    <rPh sb="0" eb="1">
      <t>ネン</t>
    </rPh>
    <rPh sb="1" eb="3">
      <t>フクリ</t>
    </rPh>
    <rPh sb="3" eb="5">
      <t>シハライ</t>
    </rPh>
    <rPh sb="5" eb="7">
      <t>カイスウ</t>
    </rPh>
    <phoneticPr fontId="1"/>
  </si>
  <si>
    <t>利付債の理論価格を、公式から求める</t>
    <rPh sb="0" eb="2">
      <t>リツキ</t>
    </rPh>
    <rPh sb="2" eb="3">
      <t>サイ</t>
    </rPh>
    <rPh sb="4" eb="6">
      <t>リロン</t>
    </rPh>
    <rPh sb="6" eb="8">
      <t>カカク</t>
    </rPh>
    <rPh sb="10" eb="12">
      <t>コウシキ</t>
    </rPh>
    <rPh sb="14" eb="15">
      <t>モト</t>
    </rPh>
    <phoneticPr fontId="1"/>
  </si>
  <si>
    <t>②割引債の理論価格を求めよ　（利付債の理論価格がすべて分かっている場合）</t>
    <rPh sb="1" eb="3">
      <t>ワリビキ</t>
    </rPh>
    <rPh sb="3" eb="4">
      <t>サイ</t>
    </rPh>
    <rPh sb="5" eb="7">
      <t>リロン</t>
    </rPh>
    <rPh sb="7" eb="9">
      <t>カカク</t>
    </rPh>
    <rPh sb="10" eb="11">
      <t>モト</t>
    </rPh>
    <rPh sb="15" eb="17">
      <t>リツキ</t>
    </rPh>
    <rPh sb="17" eb="18">
      <t>サイ</t>
    </rPh>
    <rPh sb="19" eb="21">
      <t>リロン</t>
    </rPh>
    <rPh sb="21" eb="23">
      <t>カカク</t>
    </rPh>
    <rPh sb="27" eb="28">
      <t>ワ</t>
    </rPh>
    <rPh sb="33" eb="35">
      <t>バアイ</t>
    </rPh>
    <phoneticPr fontId="1"/>
  </si>
  <si>
    <t>債権の価格</t>
    <rPh sb="0" eb="2">
      <t>サイケン</t>
    </rPh>
    <rPh sb="3" eb="5">
      <t>カカク</t>
    </rPh>
    <phoneticPr fontId="1"/>
  </si>
  <si>
    <t>df</t>
    <phoneticPr fontId="1"/>
  </si>
  <si>
    <t>=(E189-(C189/D189)*SUM($F$185:F188)) / (100+C189/D189)</t>
    <phoneticPr fontId="1"/>
  </si>
  <si>
    <t>利付債の価格からdfを求めて、あとはその繰り返し。</t>
    <rPh sb="0" eb="2">
      <t>リツキ</t>
    </rPh>
    <rPh sb="2" eb="3">
      <t>サイ</t>
    </rPh>
    <rPh sb="4" eb="6">
      <t>カカク</t>
    </rPh>
    <rPh sb="11" eb="12">
      <t>モト</t>
    </rPh>
    <rPh sb="20" eb="21">
      <t>ク</t>
    </rPh>
    <rPh sb="22" eb="23">
      <t>カエ</t>
    </rPh>
    <phoneticPr fontId="1"/>
  </si>
  <si>
    <t>$の絶対値を使っているので、コピーしたば場合は</t>
    <rPh sb="2" eb="5">
      <t>ゼッタイチ</t>
    </rPh>
    <rPh sb="6" eb="7">
      <t>ツカ</t>
    </rPh>
    <rPh sb="20" eb="22">
      <t>バアイ</t>
    </rPh>
    <phoneticPr fontId="1"/>
  </si>
  <si>
    <t>dfの$箇所を修正しないとおかしくなる</t>
    <rPh sb="4" eb="6">
      <t>カショ</t>
    </rPh>
    <rPh sb="7" eb="9">
      <t>シュウセイ</t>
    </rPh>
    <phoneticPr fontId="1"/>
  </si>
  <si>
    <t>③割引債の価格（期間0.5年）から、ディスカウントファクターを求めて、最終的に利付債のクーポンを求める</t>
    <rPh sb="1" eb="4">
      <t>ワリビキサイ</t>
    </rPh>
    <rPh sb="5" eb="7">
      <t>カカク</t>
    </rPh>
    <rPh sb="8" eb="10">
      <t>キカン</t>
    </rPh>
    <rPh sb="13" eb="14">
      <t>ネン</t>
    </rPh>
    <rPh sb="31" eb="32">
      <t>モト</t>
    </rPh>
    <rPh sb="35" eb="38">
      <t>サイシュウテキ</t>
    </rPh>
    <rPh sb="39" eb="41">
      <t>リツキ</t>
    </rPh>
    <rPh sb="41" eb="42">
      <t>サイ</t>
    </rPh>
    <rPh sb="48" eb="49">
      <t>モト</t>
    </rPh>
    <phoneticPr fontId="1"/>
  </si>
  <si>
    <t>P = CF0.5*df0.5 + CF1.0*df1.0 + ・・・・(100＋CF2.0)＊ｄｆ2.0</t>
    <phoneticPr fontId="1"/>
  </si>
  <si>
    <t>ディスカウントファクターを求める式</t>
    <rPh sb="13" eb="14">
      <t>モト</t>
    </rPh>
    <rPh sb="16" eb="17">
      <t>シキ</t>
    </rPh>
    <phoneticPr fontId="1"/>
  </si>
  <si>
    <t>クーポンを求める式</t>
    <rPh sb="5" eb="6">
      <t>モト</t>
    </rPh>
    <rPh sb="8" eb="9">
      <t>シキ</t>
    </rPh>
    <phoneticPr fontId="1"/>
  </si>
  <si>
    <t>C/2*df0.5 + C/2*df1.0 + ・・・ + (100 + C/2)*df2.0 = 100</t>
    <phoneticPr fontId="1"/>
  </si>
  <si>
    <t>1日</t>
    <rPh sb="1" eb="2">
      <t>ヒ</t>
    </rPh>
    <phoneticPr fontId="1"/>
  </si>
  <si>
    <t>P = 100 / ( 1 + r /年支払回数) ^ (年支払回数 * t)</t>
    <rPh sb="19" eb="20">
      <t>ネン</t>
    </rPh>
    <rPh sb="20" eb="22">
      <t>シハライ</t>
    </rPh>
    <rPh sb="22" eb="24">
      <t>カイスウ</t>
    </rPh>
    <rPh sb="29" eb="30">
      <t>ネン</t>
    </rPh>
    <rPh sb="30" eb="32">
      <t>シハライ</t>
    </rPh>
    <rPh sb="32" eb="34">
      <t>カイスウ</t>
    </rPh>
    <phoneticPr fontId="1"/>
  </si>
  <si>
    <t>3か月複利とかの場合</t>
    <rPh sb="2" eb="3">
      <t>ゲツ</t>
    </rPh>
    <rPh sb="3" eb="5">
      <t>フクリ</t>
    </rPh>
    <rPh sb="8" eb="10">
      <t>バアイ</t>
    </rPh>
    <phoneticPr fontId="1"/>
  </si>
  <si>
    <t>( 1 + 1.5%/年複利回数 ) ^ (期間T1×年複利回数 )   *    ( 1 + X / 年複利回数 ) ^ (期間T×年複利回数)   =   ( 1 + 2% / 年複利回数 ) ^ (期間T2×年複利回数)</t>
    <rPh sb="11" eb="12">
      <t>ネン</t>
    </rPh>
    <rPh sb="12" eb="14">
      <t>フクリ</t>
    </rPh>
    <rPh sb="14" eb="16">
      <t>カイスウ</t>
    </rPh>
    <rPh sb="22" eb="24">
      <t>キカン</t>
    </rPh>
    <rPh sb="27" eb="28">
      <t>ネン</t>
    </rPh>
    <rPh sb="28" eb="30">
      <t>フクリ</t>
    </rPh>
    <rPh sb="30" eb="32">
      <t>カイスウ</t>
    </rPh>
    <phoneticPr fontId="1"/>
  </si>
  <si>
    <t>0.75 * df0.5 + ・・・ + 100.75*df1.5 = 100.4</t>
    <phoneticPr fontId="1"/>
  </si>
  <si>
    <t>100 * df0.5 = 99.6</t>
    <phoneticPr fontId="1"/>
  </si>
  <si>
    <t>0.4 * df0.5 + 100.4 * df1.0 = 99.785</t>
    <phoneticPr fontId="1"/>
  </si>
  <si>
    <t>0.6 * df0.5 + ・・・ + 100.6 * df2.0 = 99.8</t>
    <phoneticPr fontId="1"/>
  </si>
  <si>
    <t>LIBORT・SWAPレート体系</t>
    <rPh sb="14" eb="16">
      <t>タイケイ</t>
    </rPh>
    <phoneticPr fontId="1"/>
  </si>
  <si>
    <t>swap</t>
    <phoneticPr fontId="1"/>
  </si>
  <si>
    <t>金利スワップ（同一通貨）</t>
    <rPh sb="0" eb="2">
      <t>キンリ</t>
    </rPh>
    <rPh sb="7" eb="9">
      <t>ドウイツ</t>
    </rPh>
    <rPh sb="9" eb="11">
      <t>ツウカ</t>
    </rPh>
    <phoneticPr fontId="1"/>
  </si>
  <si>
    <t>クーポンスワップ（異通貨）</t>
    <rPh sb="9" eb="10">
      <t>コト</t>
    </rPh>
    <rPh sb="10" eb="12">
      <t>ツウカ</t>
    </rPh>
    <phoneticPr fontId="1"/>
  </si>
  <si>
    <t>通貨スワップ（異通貨）</t>
    <rPh sb="0" eb="2">
      <t>ツウカ</t>
    </rPh>
    <rPh sb="7" eb="8">
      <t>イ</t>
    </rPh>
    <rPh sb="8" eb="10">
      <t>ツウカ</t>
    </rPh>
    <phoneticPr fontId="1"/>
  </si>
  <si>
    <t>エクイティスワップ</t>
    <phoneticPr fontId="1"/>
  </si>
  <si>
    <t>コモディティスワップ</t>
    <phoneticPr fontId="1"/>
  </si>
  <si>
    <t>swapレート</t>
    <phoneticPr fontId="1"/>
  </si>
  <si>
    <t>プレーンバニラスワップ（LIBORと固定金利を交換するスワップ）の固定金利側の金利レートのこと。</t>
    <rPh sb="18" eb="20">
      <t>コテイ</t>
    </rPh>
    <rPh sb="20" eb="22">
      <t>キンリ</t>
    </rPh>
    <rPh sb="23" eb="25">
      <t>コウカン</t>
    </rPh>
    <rPh sb="33" eb="35">
      <t>コテイ</t>
    </rPh>
    <rPh sb="35" eb="37">
      <t>キンリ</t>
    </rPh>
    <rPh sb="37" eb="38">
      <t>ガワ</t>
    </rPh>
    <rPh sb="39" eb="41">
      <t>キンリ</t>
    </rPh>
    <phoneticPr fontId="1"/>
  </si>
  <si>
    <r>
      <t>つまり、</t>
    </r>
    <r>
      <rPr>
        <b/>
        <sz val="9"/>
        <color rgb="FFFF0000"/>
        <rFont val="ＭＳ Ｐゴシック"/>
        <family val="3"/>
        <charset val="128"/>
        <scheme val="minor"/>
      </rPr>
      <t>LIBOR（変動金利）と交換出来る固定金利</t>
    </r>
    <r>
      <rPr>
        <sz val="9"/>
        <color theme="1"/>
        <rFont val="ＭＳ Ｐゴシック"/>
        <family val="2"/>
        <charset val="128"/>
        <scheme val="minor"/>
      </rPr>
      <t>のこと。</t>
    </r>
    <rPh sb="10" eb="12">
      <t>ヘンドウ</t>
    </rPh>
    <rPh sb="12" eb="14">
      <t>キンリ</t>
    </rPh>
    <rPh sb="16" eb="18">
      <t>コウカン</t>
    </rPh>
    <rPh sb="18" eb="20">
      <t>デキ</t>
    </rPh>
    <rPh sb="21" eb="23">
      <t>コテイ</t>
    </rPh>
    <rPh sb="23" eb="25">
      <t>キンリ</t>
    </rPh>
    <phoneticPr fontId="1"/>
  </si>
  <si>
    <t>LIBORは、A/360ベース</t>
    <phoneticPr fontId="1"/>
  </si>
  <si>
    <t>A/365ベース</t>
    <phoneticPr fontId="1"/>
  </si>
  <si>
    <t>LIBOR金利（A/360）</t>
    <rPh sb="5" eb="7">
      <t>キンリ</t>
    </rPh>
    <phoneticPr fontId="1"/>
  </si>
  <si>
    <t xml:space="preserve">A/365 = LIBOR (A/360) % × (365/360) </t>
    <phoneticPr fontId="1"/>
  </si>
  <si>
    <t>swapプライシング</t>
    <phoneticPr fontId="1"/>
  </si>
  <si>
    <t>受取キャッシュフローの現在価値　-　支払キャッシュフローの現在価値</t>
    <rPh sb="0" eb="2">
      <t>ウケトリ</t>
    </rPh>
    <rPh sb="11" eb="13">
      <t>ゲンザイ</t>
    </rPh>
    <rPh sb="13" eb="15">
      <t>カチ</t>
    </rPh>
    <rPh sb="18" eb="20">
      <t>シハライ</t>
    </rPh>
    <rPh sb="29" eb="31">
      <t>ゲンザイ</t>
    </rPh>
    <rPh sb="31" eb="33">
      <t>カチ</t>
    </rPh>
    <phoneticPr fontId="1"/>
  </si>
  <si>
    <t>swapの約定</t>
    <rPh sb="5" eb="7">
      <t>ヤクジョウ</t>
    </rPh>
    <phoneticPr fontId="1"/>
  </si>
  <si>
    <t>時価評価額 = 時価評価損益</t>
    <rPh sb="0" eb="2">
      <t>ジカ</t>
    </rPh>
    <rPh sb="2" eb="5">
      <t>ヒョウカガク</t>
    </rPh>
    <rPh sb="8" eb="10">
      <t>ジカ</t>
    </rPh>
    <rPh sb="10" eb="12">
      <t>ヒョウカ</t>
    </rPh>
    <rPh sb="12" eb="14">
      <t>ソンエキ</t>
    </rPh>
    <phoneticPr fontId="1"/>
  </si>
  <si>
    <t>つまり、簿価は0となる。</t>
    <rPh sb="4" eb="6">
      <t>ボカ</t>
    </rPh>
    <phoneticPr fontId="1"/>
  </si>
  <si>
    <t>LIBOR=スワップレート体系</t>
    <rPh sb="13" eb="15">
      <t>タイケイ</t>
    </rPh>
    <phoneticPr fontId="1"/>
  </si>
  <si>
    <t>　(変動利付債の期間や、LIBOR期間などに関わらず、変動利付債は一律100円とする)</t>
    <rPh sb="2" eb="4">
      <t>ヘンドウ</t>
    </rPh>
    <rPh sb="4" eb="6">
      <t>リツキ</t>
    </rPh>
    <rPh sb="6" eb="7">
      <t>サイ</t>
    </rPh>
    <rPh sb="8" eb="10">
      <t>キカン</t>
    </rPh>
    <rPh sb="17" eb="19">
      <t>キカン</t>
    </rPh>
    <rPh sb="22" eb="23">
      <t>カカ</t>
    </rPh>
    <rPh sb="27" eb="29">
      <t>ヘンドウ</t>
    </rPh>
    <rPh sb="29" eb="31">
      <t>リツキ</t>
    </rPh>
    <rPh sb="31" eb="32">
      <t>サイ</t>
    </rPh>
    <rPh sb="33" eb="35">
      <t>イチリツ</t>
    </rPh>
    <rPh sb="38" eb="39">
      <t>エン</t>
    </rPh>
    <phoneticPr fontId="1"/>
  </si>
  <si>
    <t>②今、市場で約定されたプレーンバニラスワップ（LIBORと固定金利の交換）　===&gt;  常に現在価値は0円。</t>
    <rPh sb="1" eb="2">
      <t>イマ</t>
    </rPh>
    <rPh sb="3" eb="5">
      <t>シジョウ</t>
    </rPh>
    <rPh sb="6" eb="8">
      <t>ヤクジョウ</t>
    </rPh>
    <rPh sb="29" eb="31">
      <t>コテイ</t>
    </rPh>
    <rPh sb="31" eb="33">
      <t>キンリ</t>
    </rPh>
    <rPh sb="34" eb="36">
      <t>コウカン</t>
    </rPh>
    <rPh sb="44" eb="45">
      <t>ツネ</t>
    </rPh>
    <rPh sb="46" eb="48">
      <t>ゲンザイ</t>
    </rPh>
    <rPh sb="48" eb="50">
      <t>カチ</t>
    </rPh>
    <rPh sb="52" eb="53">
      <t>エン</t>
    </rPh>
    <phoneticPr fontId="1"/>
  </si>
  <si>
    <t>　(計算した結果0円ではなく、初めからプレーンバニラスワップの現在価値は0円とする)</t>
    <rPh sb="2" eb="4">
      <t>ケイサン</t>
    </rPh>
    <rPh sb="6" eb="8">
      <t>ケッカ</t>
    </rPh>
    <rPh sb="9" eb="10">
      <t>エン</t>
    </rPh>
    <rPh sb="15" eb="16">
      <t>ハジ</t>
    </rPh>
    <rPh sb="31" eb="33">
      <t>ゲンザイ</t>
    </rPh>
    <rPh sb="33" eb="35">
      <t>カチ</t>
    </rPh>
    <rPh sb="37" eb="38">
      <t>エン</t>
    </rPh>
    <phoneticPr fontId="1"/>
  </si>
  <si>
    <r>
      <t>③</t>
    </r>
    <r>
      <rPr>
        <b/>
        <sz val="10"/>
        <color rgb="FF0000FF"/>
        <rFont val="ＭＳ Ｐゴシック"/>
        <family val="3"/>
        <charset val="128"/>
        <scheme val="minor"/>
      </rPr>
      <t>スワップレートをクーポン</t>
    </r>
    <r>
      <rPr>
        <b/>
        <sz val="10"/>
        <color theme="1"/>
        <rFont val="ＭＳ Ｐゴシック"/>
        <family val="3"/>
        <charset val="128"/>
        <scheme val="minor"/>
      </rPr>
      <t>とする</t>
    </r>
    <r>
      <rPr>
        <b/>
        <sz val="10"/>
        <color rgb="FF0000FF"/>
        <rFont val="ＭＳ Ｐゴシック"/>
        <family val="3"/>
        <charset val="128"/>
        <scheme val="minor"/>
      </rPr>
      <t>固定利付債</t>
    </r>
    <r>
      <rPr>
        <b/>
        <sz val="10"/>
        <color theme="1"/>
        <rFont val="ＭＳ Ｐゴシック"/>
        <family val="3"/>
        <charset val="128"/>
        <scheme val="minor"/>
      </rPr>
      <t>　===&gt;  常に現在価値は</t>
    </r>
    <r>
      <rPr>
        <b/>
        <sz val="10"/>
        <color rgb="FF0000FF"/>
        <rFont val="ＭＳ Ｐゴシック"/>
        <family val="3"/>
        <charset val="128"/>
        <scheme val="minor"/>
      </rPr>
      <t>100円</t>
    </r>
    <r>
      <rPr>
        <b/>
        <sz val="10"/>
        <color theme="1"/>
        <rFont val="ＭＳ Ｐゴシック"/>
        <family val="3"/>
        <charset val="128"/>
        <scheme val="minor"/>
      </rPr>
      <t>。</t>
    </r>
    <rPh sb="16" eb="18">
      <t>コテイ</t>
    </rPh>
    <rPh sb="18" eb="20">
      <t>リツキ</t>
    </rPh>
    <rPh sb="20" eb="21">
      <t>サイ</t>
    </rPh>
    <rPh sb="28" eb="29">
      <t>ツネ</t>
    </rPh>
    <rPh sb="30" eb="32">
      <t>ゲンザイ</t>
    </rPh>
    <rPh sb="32" eb="34">
      <t>カチ</t>
    </rPh>
    <rPh sb="38" eb="39">
      <t>エン</t>
    </rPh>
    <phoneticPr fontId="1"/>
  </si>
  <si>
    <r>
      <t>①</t>
    </r>
    <r>
      <rPr>
        <b/>
        <sz val="10"/>
        <color rgb="FF0000FF"/>
        <rFont val="ＭＳ Ｐゴシック"/>
        <family val="3"/>
        <charset val="128"/>
        <scheme val="minor"/>
      </rPr>
      <t>クーポンがLIBORフラット</t>
    </r>
    <r>
      <rPr>
        <b/>
        <sz val="10"/>
        <color theme="1"/>
        <rFont val="ＭＳ Ｐゴシック"/>
        <family val="3"/>
        <charset val="128"/>
        <scheme val="minor"/>
      </rPr>
      <t xml:space="preserve">の場合、　===&gt;  </t>
    </r>
    <r>
      <rPr>
        <b/>
        <sz val="10"/>
        <color rgb="FF0000FF"/>
        <rFont val="ＭＳ Ｐゴシック"/>
        <family val="3"/>
        <charset val="128"/>
        <scheme val="minor"/>
      </rPr>
      <t>変動利付債</t>
    </r>
    <r>
      <rPr>
        <b/>
        <sz val="10"/>
        <color theme="1"/>
        <rFont val="ＭＳ Ｐゴシック"/>
        <family val="3"/>
        <charset val="128"/>
        <scheme val="minor"/>
      </rPr>
      <t>の価格は常に</t>
    </r>
    <r>
      <rPr>
        <b/>
        <sz val="10"/>
        <color rgb="FF0000FF"/>
        <rFont val="ＭＳ Ｐゴシック"/>
        <family val="3"/>
        <charset val="128"/>
        <scheme val="minor"/>
      </rPr>
      <t>100円</t>
    </r>
    <r>
      <rPr>
        <b/>
        <sz val="10"/>
        <color theme="1"/>
        <rFont val="ＭＳ Ｐゴシック"/>
        <family val="3"/>
        <charset val="128"/>
        <scheme val="minor"/>
      </rPr>
      <t>。</t>
    </r>
    <rPh sb="16" eb="18">
      <t>バアイ</t>
    </rPh>
    <rPh sb="26" eb="28">
      <t>ヘンドウ</t>
    </rPh>
    <rPh sb="28" eb="30">
      <t>リツキ</t>
    </rPh>
    <rPh sb="30" eb="31">
      <t>サイ</t>
    </rPh>
    <rPh sb="32" eb="34">
      <t>カカク</t>
    </rPh>
    <rPh sb="35" eb="36">
      <t>ツネ</t>
    </rPh>
    <rPh sb="40" eb="41">
      <t>エン</t>
    </rPh>
    <phoneticPr fontId="1"/>
  </si>
  <si>
    <t>12M</t>
    <phoneticPr fontId="1"/>
  </si>
  <si>
    <t>12M LIBOR</t>
    <phoneticPr fontId="1"/>
  </si>
  <si>
    <t>2Y SWAP(PA)</t>
    <phoneticPr fontId="1"/>
  </si>
  <si>
    <t>3Y SWAP(PA)</t>
    <phoneticPr fontId="1"/>
  </si>
  <si>
    <t>SWAPでBootStrap法（１年計算）</t>
    <rPh sb="14" eb="15">
      <t>ホウ</t>
    </rPh>
    <rPh sb="17" eb="18">
      <t>ネン</t>
    </rPh>
    <rPh sb="18" eb="20">
      <t>ケイサン</t>
    </rPh>
    <phoneticPr fontId="1"/>
  </si>
  <si>
    <t>DF</t>
  </si>
  <si>
    <t>=(100 - B43/1 * SUM($C$42:C42)) / ( 100 + B43/1)</t>
    <phoneticPr fontId="1"/>
  </si>
  <si>
    <t>=(100 - B44/1 * SUM($C$42:C43)) / ( 100 + B44/1)</t>
    <phoneticPr fontId="1"/>
  </si>
  <si>
    <t>期間3年、クーポン2.00%の固定利付債の現在価値</t>
    <rPh sb="0" eb="2">
      <t>キカン</t>
    </rPh>
    <rPh sb="3" eb="4">
      <t>ネン</t>
    </rPh>
    <rPh sb="15" eb="17">
      <t>コテイ</t>
    </rPh>
    <rPh sb="17" eb="19">
      <t>リツキ</t>
    </rPh>
    <rPh sb="19" eb="20">
      <t>サイ</t>
    </rPh>
    <rPh sb="21" eb="23">
      <t>ゲンザイ</t>
    </rPh>
    <rPh sb="23" eb="25">
      <t>カチ</t>
    </rPh>
    <phoneticPr fontId="1"/>
  </si>
  <si>
    <t>キャッシュフロー</t>
  </si>
  <si>
    <t>キャッシュフロー</t>
    <phoneticPr fontId="1"/>
  </si>
  <si>
    <t>現在価値</t>
    <rPh sb="0" eb="2">
      <t>ゲンザイ</t>
    </rPh>
    <rPh sb="2" eb="4">
      <t>カチ</t>
    </rPh>
    <phoneticPr fontId="1"/>
  </si>
  <si>
    <t>２Y</t>
    <phoneticPr fontId="1"/>
  </si>
  <si>
    <t>３Y</t>
    <phoneticPr fontId="1"/>
  </si>
  <si>
    <t>合計</t>
    <rPh sb="0" eb="2">
      <t>ゴウケイ</t>
    </rPh>
    <phoneticPr fontId="1"/>
  </si>
  <si>
    <t>期間２年</t>
    <rPh sb="0" eb="2">
      <t>キカン</t>
    </rPh>
    <rPh sb="3" eb="4">
      <t>ネン</t>
    </rPh>
    <phoneticPr fontId="1"/>
  </si>
  <si>
    <t>期間３年</t>
    <rPh sb="0" eb="2">
      <t>キカン</t>
    </rPh>
    <rPh sb="3" eb="4">
      <t>ネン</t>
    </rPh>
    <phoneticPr fontId="1"/>
  </si>
  <si>
    <t>=B48*C42</t>
    <phoneticPr fontId="1"/>
  </si>
  <si>
    <t>=B49*C43</t>
    <phoneticPr fontId="1"/>
  </si>
  <si>
    <t>=B50*C44</t>
    <phoneticPr fontId="1"/>
  </si>
  <si>
    <t>金利のRATE(数値）</t>
    <rPh sb="0" eb="2">
      <t>キンリ</t>
    </rPh>
    <rPh sb="8" eb="10">
      <t>スウチ</t>
    </rPh>
    <phoneticPr fontId="1"/>
  </si>
  <si>
    <t>=SUMPRODUCT(E48:E50,$C$42:$C$44)</t>
    <phoneticPr fontId="1"/>
  </si>
  <si>
    <t>=SUMPRODUCT(F48:F50,$C$42:$C$44)</t>
    <phoneticPr fontId="1"/>
  </si>
  <si>
    <t>クーポンレートと同じは、価格パー</t>
    <rPh sb="8" eb="9">
      <t>オナ</t>
    </rPh>
    <rPh sb="12" eb="14">
      <t>カカク</t>
    </rPh>
    <phoneticPr fontId="1"/>
  </si>
  <si>
    <t>ディスカウントファクターの式</t>
    <rPh sb="13" eb="14">
      <t>シキ</t>
    </rPh>
    <phoneticPr fontId="1"/>
  </si>
  <si>
    <t>100 / ( 100 + 100 * 1 * (365/360) )</t>
    <phoneticPr fontId="1"/>
  </si>
  <si>
    <t>2Y</t>
    <phoneticPr fontId="1"/>
  </si>
  <si>
    <t>( 100 - 1.50 * df0.5 ) / ( 100 + 1.50 )</t>
    <phoneticPr fontId="1"/>
  </si>
  <si>
    <t>3Y</t>
    <phoneticPr fontId="1"/>
  </si>
  <si>
    <t>( 100 - 2 * (df0.5+df1.0) ) / ( 100 + 2.0 )</t>
    <phoneticPr fontId="1"/>
  </si>
  <si>
    <t>固定利付債の価格</t>
    <rPh sb="0" eb="2">
      <t>コテイ</t>
    </rPh>
    <rPh sb="2" eb="4">
      <t>リツキ</t>
    </rPh>
    <rPh sb="4" eb="5">
      <t>サイ</t>
    </rPh>
    <rPh sb="6" eb="8">
      <t>カカク</t>
    </rPh>
    <phoneticPr fontId="1"/>
  </si>
  <si>
    <t>2 * df0.5 + 2 * df1.0 + 102 * df2.0</t>
    <phoneticPr fontId="1"/>
  </si>
  <si>
    <t>SWAPでBootStrap法（半年計算）</t>
    <rPh sb="14" eb="15">
      <t>ホウ</t>
    </rPh>
    <rPh sb="16" eb="18">
      <t>ハントシ</t>
    </rPh>
    <rPh sb="18" eb="20">
      <t>ケイサン</t>
    </rPh>
    <phoneticPr fontId="1"/>
  </si>
  <si>
    <t>LIBOR6M</t>
  </si>
  <si>
    <t>1Y SWAP(SA)</t>
  </si>
  <si>
    <t>1Y SWAP(SA)</t>
    <phoneticPr fontId="1"/>
  </si>
  <si>
    <t>1.5Y SWAP(SA)</t>
  </si>
  <si>
    <t>1.5Y SWAP(SA)</t>
    <phoneticPr fontId="1"/>
  </si>
  <si>
    <t>2Y SWAP(SA)</t>
  </si>
  <si>
    <t>2Y SWAP(SA)</t>
    <phoneticPr fontId="1"/>
  </si>
  <si>
    <t>2.5Y SWAP(SA)</t>
  </si>
  <si>
    <t>2.5Y SWAP(SA)</t>
    <phoneticPr fontId="1"/>
  </si>
  <si>
    <t>3Y SWAP(SA)</t>
  </si>
  <si>
    <t>3Y SWAP(SA)</t>
    <phoneticPr fontId="1"/>
  </si>
  <si>
    <t>ディスカウントファクターを求めて、　＝＝＝＞　固定利付債の現在価値を求める</t>
    <rPh sb="13" eb="14">
      <t>モト</t>
    </rPh>
    <rPh sb="23" eb="25">
      <t>コテイ</t>
    </rPh>
    <rPh sb="25" eb="27">
      <t>リツキ</t>
    </rPh>
    <rPh sb="27" eb="28">
      <t>サイ</t>
    </rPh>
    <rPh sb="29" eb="31">
      <t>ゲンザイ</t>
    </rPh>
    <rPh sb="31" eb="33">
      <t>カチ</t>
    </rPh>
    <rPh sb="34" eb="35">
      <t>モト</t>
    </rPh>
    <phoneticPr fontId="1"/>
  </si>
  <si>
    <t>=(100 - (B60/2) * SUM($C$59:C59) ) / ( 100 + B60/2 )</t>
  </si>
  <si>
    <t>=(100 - (B60/2) * SUM($C$59:C59) ) / ( 100 + B60/2 )</t>
    <phoneticPr fontId="1"/>
  </si>
  <si>
    <t>=(100 - (B61/2) * SUM($C$59:C60) ) / ( 100 + B61/2 )</t>
  </si>
  <si>
    <t>=(100 - (B61/2) * SUM($C$59:C60) ) / ( 100 + B61/2 )</t>
    <phoneticPr fontId="1"/>
  </si>
  <si>
    <t>=(100 - (B62/2) * SUM($C$59:C61) ) / ( 100 + B62/2 )</t>
  </si>
  <si>
    <t>=(100 - (B62/2) * SUM($C$59:C61) ) / ( 100 + B62/2 )</t>
    <phoneticPr fontId="1"/>
  </si>
  <si>
    <t>100 / (100 +  (0.50/100) * (182.5/360) )</t>
    <phoneticPr fontId="1"/>
  </si>
  <si>
    <t>(100 - (0.80/2) * df0.5 ) / ( 100 + 0.80/2 )</t>
    <phoneticPr fontId="1"/>
  </si>
  <si>
    <t>(100 - (1.20/2) * (df0.5+df1.0) ) / ( 100 + 1.20/2 )</t>
    <phoneticPr fontId="1"/>
  </si>
  <si>
    <t>既存スワップの時価評価</t>
    <rPh sb="0" eb="2">
      <t>キゾン</t>
    </rPh>
    <rPh sb="7" eb="9">
      <t>ジカ</t>
    </rPh>
    <rPh sb="9" eb="11">
      <t>ヒョウカ</t>
    </rPh>
    <phoneticPr fontId="1"/>
  </si>
  <si>
    <t>想定元本　＝　100億円</t>
    <rPh sb="0" eb="2">
      <t>ソウテイ</t>
    </rPh>
    <rPh sb="2" eb="4">
      <t>ガンポン</t>
    </rPh>
    <rPh sb="10" eb="12">
      <t>オクエン</t>
    </rPh>
    <phoneticPr fontId="1"/>
  </si>
  <si>
    <t>Y銀行受取金利 = 2.60% (SA)</t>
    <rPh sb="1" eb="3">
      <t>ギンコウ</t>
    </rPh>
    <rPh sb="3" eb="5">
      <t>ウケトリ</t>
    </rPh>
    <rPh sb="5" eb="7">
      <t>キンリ</t>
    </rPh>
    <phoneticPr fontId="1"/>
  </si>
  <si>
    <t xml:space="preserve">Y銀行支払金利 = LIBOR6M  </t>
    <rPh sb="1" eb="3">
      <t>ギンコウ</t>
    </rPh>
    <rPh sb="3" eb="5">
      <t>シハライ</t>
    </rPh>
    <rPh sb="5" eb="7">
      <t>キンリ</t>
    </rPh>
    <phoneticPr fontId="1"/>
  </si>
  <si>
    <t>→　３YSWAPレート = 2.00%</t>
  </si>
  <si>
    <t>→　３YSWAPレート = 2.00%</t>
    <phoneticPr fontId="1"/>
  </si>
  <si>
    <t>受取キャッシュフロー - 支払キャッシュフロー　= 2.60% - 2.00% = + 0.60%　（年の支払）</t>
    <rPh sb="0" eb="2">
      <t>ウケトリ</t>
    </rPh>
    <rPh sb="13" eb="15">
      <t>シハライ</t>
    </rPh>
    <rPh sb="51" eb="52">
      <t>ネン</t>
    </rPh>
    <rPh sb="53" eb="55">
      <t>シハライ</t>
    </rPh>
    <phoneticPr fontId="1"/>
  </si>
  <si>
    <t>=100 / (100 + B42*365/360)</t>
    <phoneticPr fontId="1"/>
  </si>
  <si>
    <t>=100 / (100 +  B59 * (182.5/360) )</t>
  </si>
  <si>
    <t>=100 / (100 +  B59 * (182.5/360) )</t>
    <phoneticPr fontId="1"/>
  </si>
  <si>
    <t>10000000000 * (0.6%/2) * ( df0.5 + df1.0 + ・・・　+ df3.0)</t>
    <phoneticPr fontId="1"/>
  </si>
  <si>
    <t>想定元本　＝　10億円</t>
    <rPh sb="0" eb="2">
      <t>ソウテイ</t>
    </rPh>
    <rPh sb="2" eb="4">
      <t>ガンポン</t>
    </rPh>
    <rPh sb="9" eb="11">
      <t>オクエン</t>
    </rPh>
    <phoneticPr fontId="1"/>
  </si>
  <si>
    <t>期間　＝　３年</t>
    <rPh sb="0" eb="2">
      <t>キカン</t>
    </rPh>
    <rPh sb="6" eb="7">
      <t>ネン</t>
    </rPh>
    <phoneticPr fontId="1"/>
  </si>
  <si>
    <t>Y銀行受取金利 = LIBOR6M</t>
    <rPh sb="1" eb="3">
      <t>ギンコウ</t>
    </rPh>
    <rPh sb="3" eb="5">
      <t>ウケトリ</t>
    </rPh>
    <rPh sb="5" eb="7">
      <t>キンリ</t>
    </rPh>
    <phoneticPr fontId="1"/>
  </si>
  <si>
    <t>Y銀行支払金利 = 1.8%(SA)</t>
    <rPh sb="1" eb="3">
      <t>ギンコウ</t>
    </rPh>
    <rPh sb="3" eb="5">
      <t>シハライ</t>
    </rPh>
    <rPh sb="5" eb="7">
      <t>キンリ</t>
    </rPh>
    <phoneticPr fontId="1"/>
  </si>
  <si>
    <r>
      <t>受取キャッシュフロー - 支払キャッシュフロー　= 2.00% - 1.80% = + 0.20%　</t>
    </r>
    <r>
      <rPr>
        <b/>
        <sz val="9"/>
        <color rgb="FF0000FF"/>
        <rFont val="ＭＳ Ｐゴシック"/>
        <family val="3"/>
        <charset val="128"/>
        <scheme val="minor"/>
      </rPr>
      <t>（年の支払）</t>
    </r>
    <rPh sb="0" eb="2">
      <t>ウケトリ</t>
    </rPh>
    <rPh sb="13" eb="15">
      <t>シハライ</t>
    </rPh>
    <rPh sb="51" eb="52">
      <t>ネン</t>
    </rPh>
    <rPh sb="53" eb="55">
      <t>シハライ</t>
    </rPh>
    <phoneticPr fontId="1"/>
  </si>
  <si>
    <t>1000000000 * (0.2%/2) * ( df0.5 + df1.0 + ・・・　+ df3.0)</t>
    <phoneticPr fontId="1"/>
  </si>
  <si>
    <t>練習問題２</t>
    <rPh sb="0" eb="2">
      <t>レンシュウ</t>
    </rPh>
    <rPh sb="2" eb="4">
      <t>モンダイ</t>
    </rPh>
    <phoneticPr fontId="1"/>
  </si>
  <si>
    <t>[1]既存スワップの時価評価</t>
    <phoneticPr fontId="1"/>
  </si>
  <si>
    <t>[2-1]一年毎のディスカウントファクター</t>
    <rPh sb="5" eb="7">
      <t>イチネン</t>
    </rPh>
    <rPh sb="7" eb="8">
      <t>ゴト</t>
    </rPh>
    <phoneticPr fontId="1"/>
  </si>
  <si>
    <t>４Y SWAP(PA)</t>
    <phoneticPr fontId="1"/>
  </si>
  <si>
    <t>５Y SWAP(PA)</t>
    <phoneticPr fontId="1"/>
  </si>
  <si>
    <t>=100 / (100 + B45*365/360)</t>
    <phoneticPr fontId="1"/>
  </si>
  <si>
    <t>=(100 - B46/1 * SUM($C$45:C45)) / ( 100 + B46/1)</t>
    <phoneticPr fontId="1"/>
  </si>
  <si>
    <t>=(100 - B47/1 * SUM($C$45:C46)) / ( 100 + B47/1)</t>
    <phoneticPr fontId="1"/>
  </si>
  <si>
    <t>４Y</t>
    <phoneticPr fontId="1"/>
  </si>
  <si>
    <t>５Y</t>
    <phoneticPr fontId="1"/>
  </si>
  <si>
    <r>
      <t>期間　＝　当初５年、</t>
    </r>
    <r>
      <rPr>
        <b/>
        <sz val="9"/>
        <color rgb="FF0000FF"/>
        <rFont val="ＭＳ Ｐゴシック"/>
        <family val="3"/>
        <charset val="128"/>
        <scheme val="minor"/>
      </rPr>
      <t>残存期間３年</t>
    </r>
    <rPh sb="0" eb="2">
      <t>キカン</t>
    </rPh>
    <rPh sb="5" eb="7">
      <t>トウショ</t>
    </rPh>
    <rPh sb="8" eb="9">
      <t>ネン</t>
    </rPh>
    <rPh sb="10" eb="12">
      <t>ザンゾン</t>
    </rPh>
    <rPh sb="12" eb="14">
      <t>キカン</t>
    </rPh>
    <rPh sb="15" eb="16">
      <t>ネン</t>
    </rPh>
    <phoneticPr fontId="1"/>
  </si>
  <si>
    <t>[2-2]半年毎のディスカウントファクター</t>
    <rPh sb="5" eb="7">
      <t>ハントシ</t>
    </rPh>
    <rPh sb="7" eb="8">
      <t>ゴト</t>
    </rPh>
    <phoneticPr fontId="1"/>
  </si>
  <si>
    <t>=100 / (100 +  B68 * (182.5/360) )</t>
    <phoneticPr fontId="1"/>
  </si>
  <si>
    <t>=(100 - (B69/2) * SUM($C$68:C68) ) / ( 100 + B69/2 )</t>
    <phoneticPr fontId="1"/>
  </si>
  <si>
    <t>期間3年、クーポン1.36%の固定利付債の現在価値</t>
    <rPh sb="0" eb="2">
      <t>キカン</t>
    </rPh>
    <rPh sb="3" eb="4">
      <t>ネン</t>
    </rPh>
    <rPh sb="15" eb="17">
      <t>コテイ</t>
    </rPh>
    <rPh sb="17" eb="19">
      <t>リツキ</t>
    </rPh>
    <rPh sb="19" eb="20">
      <t>サイ</t>
    </rPh>
    <rPh sb="21" eb="23">
      <t>ゲンザイ</t>
    </rPh>
    <rPh sb="23" eb="25">
      <t>カチ</t>
    </rPh>
    <phoneticPr fontId="1"/>
  </si>
  <si>
    <t>◆Swapの時価評価額計算（MTM） → BootStrap法</t>
    <rPh sb="6" eb="8">
      <t>ジカ</t>
    </rPh>
    <rPh sb="8" eb="11">
      <t>ヒョウカガク</t>
    </rPh>
    <rPh sb="11" eb="13">
      <t>ケイサン</t>
    </rPh>
    <rPh sb="30" eb="31">
      <t>ホウ</t>
    </rPh>
    <phoneticPr fontId="1"/>
  </si>
  <si>
    <t>ディスカウントファクターを求めて、　＝＝＝＞　Swapの時価評価額を求める</t>
    <rPh sb="13" eb="14">
      <t>モト</t>
    </rPh>
    <rPh sb="28" eb="30">
      <t>ジカ</t>
    </rPh>
    <rPh sb="30" eb="33">
      <t>ヒョウカガク</t>
    </rPh>
    <rPh sb="34" eb="35">
      <t>モト</t>
    </rPh>
    <phoneticPr fontId="1"/>
  </si>
  <si>
    <t>時価評価額の計算（CashFlow　×ｄｆ）</t>
    <rPh sb="0" eb="2">
      <t>ジカ</t>
    </rPh>
    <rPh sb="2" eb="5">
      <t>ヒョウカガク</t>
    </rPh>
    <rPh sb="6" eb="8">
      <t>ケイサン</t>
    </rPh>
    <phoneticPr fontId="1"/>
  </si>
  <si>
    <t>ディスカウントファクターを求めて、　＝＝＝＞　Swapの時価評価額を求める</t>
    <rPh sb="13" eb="14">
      <t>モト</t>
    </rPh>
    <phoneticPr fontId="1"/>
  </si>
  <si>
    <t>◆LIBOR金利の現在価値　（変動するものなので、簡単には求められない）</t>
    <rPh sb="6" eb="8">
      <t>キンリ</t>
    </rPh>
    <rPh sb="9" eb="11">
      <t>ゲンザイ</t>
    </rPh>
    <rPh sb="11" eb="13">
      <t>カチ</t>
    </rPh>
    <rPh sb="15" eb="17">
      <t>ヘンドウ</t>
    </rPh>
    <rPh sb="25" eb="27">
      <t>カンタン</t>
    </rPh>
    <rPh sb="29" eb="30">
      <t>モト</t>
    </rPh>
    <phoneticPr fontId="1"/>
  </si>
  <si>
    <t>無裁定理論より、導かれた公式</t>
    <rPh sb="0" eb="1">
      <t>ム</t>
    </rPh>
    <rPh sb="1" eb="3">
      <t>サイテイ</t>
    </rPh>
    <rPh sb="3" eb="5">
      <t>リロン</t>
    </rPh>
    <rPh sb="8" eb="9">
      <t>ミチビ</t>
    </rPh>
    <rPh sb="12" eb="14">
      <t>コウシキ</t>
    </rPh>
    <phoneticPr fontId="1"/>
  </si>
  <si>
    <t>元本　×　（ｄｆT1 - dfT2 )</t>
    <rPh sb="0" eb="2">
      <t>ガンポン</t>
    </rPh>
    <phoneticPr fontId="1"/>
  </si>
  <si>
    <t>[1]半年後に支払われるL6の現在価値</t>
    <rPh sb="3" eb="6">
      <t>ハントシゴ</t>
    </rPh>
    <rPh sb="7" eb="9">
      <t>シハラ</t>
    </rPh>
    <rPh sb="15" eb="17">
      <t>ゲンザイ</t>
    </rPh>
    <rPh sb="17" eb="19">
      <t>カチ</t>
    </rPh>
    <phoneticPr fontId="1"/>
  </si>
  <si>
    <t>元本　×　（ 1  - df0.5 )</t>
    <rPh sb="0" eb="2">
      <t>ガンポン</t>
    </rPh>
    <phoneticPr fontId="1"/>
  </si>
  <si>
    <t>[2]１年後に支払われるL6の現在価値</t>
    <rPh sb="4" eb="6">
      <t>ネンゴ</t>
    </rPh>
    <rPh sb="7" eb="9">
      <t>シハラ</t>
    </rPh>
    <rPh sb="15" eb="17">
      <t>ゲンザイ</t>
    </rPh>
    <rPh sb="17" eb="19">
      <t>カチ</t>
    </rPh>
    <phoneticPr fontId="1"/>
  </si>
  <si>
    <t>元本　×　（ df0.5  - df1.0 )</t>
    <rPh sb="0" eb="2">
      <t>ガンポン</t>
    </rPh>
    <phoneticPr fontId="1"/>
  </si>
  <si>
    <t>元本　×　（ df1.5  - df1.0 )</t>
    <rPh sb="0" eb="2">
      <t>ガンポン</t>
    </rPh>
    <phoneticPr fontId="1"/>
  </si>
  <si>
    <t>元本　×　（ df2.0  - df1.5 )</t>
    <rPh sb="0" eb="2">
      <t>ガンポン</t>
    </rPh>
    <phoneticPr fontId="1"/>
  </si>
  <si>
    <t>[3]1.5年後に支払われるL6の現在価値</t>
    <rPh sb="6" eb="8">
      <t>ネンゴ</t>
    </rPh>
    <rPh sb="9" eb="11">
      <t>シハラ</t>
    </rPh>
    <rPh sb="17" eb="19">
      <t>ゲンザイ</t>
    </rPh>
    <rPh sb="19" eb="21">
      <t>カチ</t>
    </rPh>
    <phoneticPr fontId="1"/>
  </si>
  <si>
    <t>[4]２年後に支払われるL6の現在価値</t>
    <rPh sb="4" eb="6">
      <t>ネンゴ</t>
    </rPh>
    <rPh sb="7" eb="9">
      <t>シハラ</t>
    </rPh>
    <rPh sb="15" eb="17">
      <t>ゲンザイ</t>
    </rPh>
    <rPh sb="17" eb="19">
      <t>カチ</t>
    </rPh>
    <phoneticPr fontId="1"/>
  </si>
  <si>
    <t>[5]2.5年後に支払われるL6の現在価値</t>
    <rPh sb="6" eb="8">
      <t>ネンゴ</t>
    </rPh>
    <rPh sb="9" eb="11">
      <t>シハラ</t>
    </rPh>
    <rPh sb="17" eb="19">
      <t>ゲンザイ</t>
    </rPh>
    <rPh sb="19" eb="21">
      <t>カチ</t>
    </rPh>
    <phoneticPr fontId="1"/>
  </si>
  <si>
    <t>元本　×　（ df2.5  - df2.0 )</t>
    <rPh sb="0" eb="2">
      <t>ガンポン</t>
    </rPh>
    <phoneticPr fontId="1"/>
  </si>
  <si>
    <t>元本　×　（ df2.0  - df1.0 )</t>
    <rPh sb="0" eb="2">
      <t>ガンポン</t>
    </rPh>
    <phoneticPr fontId="1"/>
  </si>
  <si>
    <t>元本　×　（ df1.5  - df1.25 )</t>
    <rPh sb="0" eb="2">
      <t>ガンポン</t>
    </rPh>
    <phoneticPr fontId="1"/>
  </si>
  <si>
    <r>
      <t>[7]1.5年後に支払われる</t>
    </r>
    <r>
      <rPr>
        <b/>
        <u/>
        <sz val="10"/>
        <color theme="1"/>
        <rFont val="ＭＳ Ｐゴシック"/>
        <family val="3"/>
        <charset val="128"/>
        <scheme val="minor"/>
      </rPr>
      <t>LIBOR3M</t>
    </r>
    <r>
      <rPr>
        <u/>
        <sz val="10"/>
        <color theme="1"/>
        <rFont val="ＭＳ Ｐゴシック"/>
        <family val="3"/>
        <charset val="128"/>
        <scheme val="minor"/>
      </rPr>
      <t>の現在価値</t>
    </r>
    <rPh sb="6" eb="8">
      <t>ネンゴ</t>
    </rPh>
    <rPh sb="9" eb="11">
      <t>シハラ</t>
    </rPh>
    <rPh sb="22" eb="24">
      <t>ゲンザイ</t>
    </rPh>
    <rPh sb="24" eb="26">
      <t>カチ</t>
    </rPh>
    <phoneticPr fontId="1"/>
  </si>
  <si>
    <r>
      <t>[6]２年後に支払われる</t>
    </r>
    <r>
      <rPr>
        <b/>
        <u/>
        <sz val="10"/>
        <color theme="1"/>
        <rFont val="ＭＳ Ｐゴシック"/>
        <family val="3"/>
        <charset val="128"/>
        <scheme val="minor"/>
      </rPr>
      <t>L12</t>
    </r>
    <r>
      <rPr>
        <u/>
        <sz val="10"/>
        <color theme="1"/>
        <rFont val="ＭＳ Ｐゴシック"/>
        <family val="3"/>
        <charset val="128"/>
        <scheme val="minor"/>
      </rPr>
      <t>の現在価値</t>
    </r>
    <rPh sb="4" eb="6">
      <t>ネンゴ</t>
    </rPh>
    <rPh sb="7" eb="9">
      <t>シハラ</t>
    </rPh>
    <rPh sb="16" eb="18">
      <t>ゲンザイ</t>
    </rPh>
    <rPh sb="18" eb="20">
      <t>カチ</t>
    </rPh>
    <phoneticPr fontId="1"/>
  </si>
  <si>
    <t>LIBORの現在価値</t>
    <rPh sb="6" eb="8">
      <t>ゲンザイ</t>
    </rPh>
    <rPh sb="8" eb="10">
      <t>カチ</t>
    </rPh>
    <phoneticPr fontId="1"/>
  </si>
  <si>
    <t>期間</t>
    <rPh sb="0" eb="2">
      <t>キカン</t>
    </rPh>
    <phoneticPr fontId="1"/>
  </si>
  <si>
    <t>df</t>
    <phoneticPr fontId="1"/>
  </si>
  <si>
    <t>　　（答え）　元本（１円）　×　( df2.0 - df1.0 )  = 0.9850 - 0.9750 = 0.0100</t>
    <rPh sb="3" eb="4">
      <t>コタ</t>
    </rPh>
    <rPh sb="7" eb="9">
      <t>ガンポン</t>
    </rPh>
    <rPh sb="11" eb="12">
      <t>エン</t>
    </rPh>
    <phoneticPr fontId="1"/>
  </si>
  <si>
    <r>
      <t>①</t>
    </r>
    <r>
      <rPr>
        <sz val="12"/>
        <color theme="3" tint="-0.499984740745262"/>
        <rFont val="ＭＳ Ｐゴシック"/>
        <family val="3"/>
        <charset val="128"/>
        <scheme val="minor"/>
      </rPr>
      <t>１年後スタート</t>
    </r>
    <r>
      <rPr>
        <sz val="12"/>
        <color theme="1"/>
        <rFont val="ＭＳ Ｐゴシック"/>
        <family val="3"/>
        <charset val="128"/>
        <scheme val="minor"/>
      </rPr>
      <t>、</t>
    </r>
    <r>
      <rPr>
        <sz val="12"/>
        <color theme="3" tint="-0.499984740745262"/>
        <rFont val="ＭＳ Ｐゴシック"/>
        <family val="3"/>
        <charset val="128"/>
        <scheme val="minor"/>
      </rPr>
      <t>期間１年</t>
    </r>
    <r>
      <rPr>
        <sz val="12"/>
        <color theme="1"/>
        <rFont val="ＭＳ Ｐゴシック"/>
        <family val="3"/>
        <charset val="128"/>
        <scheme val="minor"/>
      </rPr>
      <t>の金利スワップで支払われる</t>
    </r>
    <r>
      <rPr>
        <sz val="12"/>
        <color theme="3" tint="-0.499984740745262"/>
        <rFont val="ＭＳ Ｐゴシック"/>
        <family val="3"/>
        <charset val="128"/>
        <scheme val="minor"/>
      </rPr>
      <t>LIBOR6M</t>
    </r>
    <r>
      <rPr>
        <sz val="12"/>
        <color theme="1"/>
        <rFont val="ＭＳ Ｐゴシック"/>
        <family val="3"/>
        <charset val="128"/>
        <scheme val="minor"/>
      </rPr>
      <t>の現在価値</t>
    </r>
    <rPh sb="2" eb="4">
      <t>ネンゴ</t>
    </rPh>
    <rPh sb="9" eb="11">
      <t>キカン</t>
    </rPh>
    <rPh sb="12" eb="13">
      <t>ネン</t>
    </rPh>
    <rPh sb="14" eb="16">
      <t>キンリ</t>
    </rPh>
    <rPh sb="21" eb="23">
      <t>シハラ</t>
    </rPh>
    <rPh sb="34" eb="36">
      <t>ゲンザイ</t>
    </rPh>
    <rPh sb="36" eb="38">
      <t>カチ</t>
    </rPh>
    <phoneticPr fontId="1"/>
  </si>
  <si>
    <r>
      <rPr>
        <sz val="12"/>
        <color theme="3" tint="-0.499984740745262"/>
        <rFont val="ＭＳ Ｐゴシック"/>
        <family val="3"/>
        <charset val="128"/>
        <scheme val="minor"/>
      </rPr>
      <t>②１年後にレート決定され、２年後に支払われるLIBOR12M</t>
    </r>
    <r>
      <rPr>
        <sz val="12"/>
        <color theme="1"/>
        <rFont val="ＭＳ Ｐゴシック"/>
        <family val="3"/>
        <charset val="128"/>
        <scheme val="minor"/>
      </rPr>
      <t>の現在価値</t>
    </r>
    <rPh sb="2" eb="4">
      <t>ネンゴ</t>
    </rPh>
    <rPh sb="8" eb="10">
      <t>ケッテイ</t>
    </rPh>
    <rPh sb="14" eb="16">
      <t>ネンゴ</t>
    </rPh>
    <rPh sb="17" eb="19">
      <t>シハラ</t>
    </rPh>
    <rPh sb="31" eb="33">
      <t>ゲンザイ</t>
    </rPh>
    <rPh sb="33" eb="35">
      <t>カチ</t>
    </rPh>
    <phoneticPr fontId="1"/>
  </si>
  <si>
    <t>答えは同じになる。</t>
    <rPh sb="0" eb="1">
      <t>コタ</t>
    </rPh>
    <rPh sb="3" eb="4">
      <t>オナ</t>
    </rPh>
    <phoneticPr fontId="1"/>
  </si>
  <si>
    <t>つまり、LIBOR6MだろうがLIBOR12Mだろうが、LIBORスワップレート体系だと関係がなくなる。</t>
    <rPh sb="40" eb="42">
      <t>タイケイ</t>
    </rPh>
    <rPh sb="44" eb="46">
      <t>カンケイ</t>
    </rPh>
    <phoneticPr fontId="1"/>
  </si>
  <si>
    <r>
      <t>実際は、関係があって</t>
    </r>
    <r>
      <rPr>
        <b/>
        <sz val="9"/>
        <color rgb="FF0000FF"/>
        <rFont val="ＭＳ Ｐゴシック"/>
        <family val="3"/>
        <charset val="128"/>
        <scheme val="minor"/>
      </rPr>
      <t>テナー（LIBORの期間の差で、スワップする取引）</t>
    </r>
    <r>
      <rPr>
        <sz val="9"/>
        <color theme="1"/>
        <rFont val="ＭＳ Ｐゴシック"/>
        <family val="2"/>
        <charset val="128"/>
        <scheme val="minor"/>
      </rPr>
      <t>なども存在する。</t>
    </r>
    <rPh sb="0" eb="2">
      <t>ジッサイ</t>
    </rPh>
    <rPh sb="4" eb="6">
      <t>カンケイ</t>
    </rPh>
    <rPh sb="20" eb="22">
      <t>キカン</t>
    </rPh>
    <rPh sb="23" eb="24">
      <t>サ</t>
    </rPh>
    <rPh sb="32" eb="34">
      <t>トリヒキ</t>
    </rPh>
    <rPh sb="38" eb="40">
      <t>ソンザイ</t>
    </rPh>
    <phoneticPr fontId="1"/>
  </si>
  <si>
    <t>◆フォワードスワップの固定金利レートを求める</t>
    <rPh sb="11" eb="13">
      <t>コテイ</t>
    </rPh>
    <rPh sb="13" eb="15">
      <t>キンリ</t>
    </rPh>
    <rPh sb="19" eb="20">
      <t>モト</t>
    </rPh>
    <phoneticPr fontId="1"/>
  </si>
  <si>
    <t>&lt;例題5&gt;</t>
    <rPh sb="1" eb="3">
      <t>レイダイ</t>
    </rPh>
    <phoneticPr fontId="1"/>
  </si>
  <si>
    <t>「基本円金利体系」（例題２の金利）　体系を前提にして、以下のフォワード・スワップ（スワップ開始時点が将来時点であるスワップ）</t>
    <rPh sb="1" eb="3">
      <t>キホン</t>
    </rPh>
    <rPh sb="3" eb="4">
      <t>エン</t>
    </rPh>
    <rPh sb="4" eb="6">
      <t>キンリ</t>
    </rPh>
    <rPh sb="6" eb="8">
      <t>タイケイ</t>
    </rPh>
    <rPh sb="10" eb="12">
      <t>レイダイ</t>
    </rPh>
    <rPh sb="14" eb="16">
      <t>キンリ</t>
    </rPh>
    <rPh sb="18" eb="20">
      <t>タイケイ</t>
    </rPh>
    <rPh sb="21" eb="23">
      <t>ゼンテイ</t>
    </rPh>
    <rPh sb="27" eb="29">
      <t>イカ</t>
    </rPh>
    <rPh sb="45" eb="47">
      <t>カイシ</t>
    </rPh>
    <rPh sb="47" eb="49">
      <t>ジテン</t>
    </rPh>
    <rPh sb="50" eb="52">
      <t>ショウライ</t>
    </rPh>
    <rPh sb="52" eb="54">
      <t>ジテン</t>
    </rPh>
    <phoneticPr fontId="1"/>
  </si>
  <si>
    <t>の固定金利レートを求めよ。</t>
    <rPh sb="1" eb="3">
      <t>コテイ</t>
    </rPh>
    <rPh sb="3" eb="5">
      <t>キンリ</t>
    </rPh>
    <rPh sb="9" eb="10">
      <t>モト</t>
    </rPh>
    <phoneticPr fontId="1"/>
  </si>
  <si>
    <t>＜計算対象スワップ＞</t>
    <rPh sb="1" eb="3">
      <t>ケイサン</t>
    </rPh>
    <rPh sb="3" eb="5">
      <t>タイショウ</t>
    </rPh>
    <phoneticPr fontId="1"/>
  </si>
  <si>
    <t>支払金利</t>
    <rPh sb="0" eb="2">
      <t>シハライ</t>
    </rPh>
    <rPh sb="2" eb="4">
      <t>キンリ</t>
    </rPh>
    <phoneticPr fontId="1"/>
  </si>
  <si>
    <t>受取金利</t>
    <rPh sb="0" eb="2">
      <t>ウケトリ</t>
    </rPh>
    <rPh sb="2" eb="4">
      <t>キンリ</t>
    </rPh>
    <phoneticPr fontId="1"/>
  </si>
  <si>
    <t>１年後スタート、期間２年間</t>
    <rPh sb="1" eb="3">
      <t>ネンゴ</t>
    </rPh>
    <rPh sb="8" eb="10">
      <t>キカン</t>
    </rPh>
    <rPh sb="11" eb="13">
      <t>ネンカン</t>
    </rPh>
    <phoneticPr fontId="1"/>
  </si>
  <si>
    <t>変動金利　LIBOR６M</t>
    <rPh sb="0" eb="2">
      <t>ヘンドウ</t>
    </rPh>
    <rPh sb="2" eb="4">
      <t>キンリ</t>
    </rPh>
    <phoneticPr fontId="1"/>
  </si>
  <si>
    <t>固定金利　X％</t>
    <rPh sb="0" eb="2">
      <t>コテイ</t>
    </rPh>
    <rPh sb="2" eb="4">
      <t>キンリ</t>
    </rPh>
    <phoneticPr fontId="1"/>
  </si>
  <si>
    <t>②受取金利側</t>
    <rPh sb="1" eb="3">
      <t>ウケトリ</t>
    </rPh>
    <rPh sb="3" eb="5">
      <t>キンリ</t>
    </rPh>
    <rPh sb="5" eb="6">
      <t>ガワ</t>
    </rPh>
    <phoneticPr fontId="1"/>
  </si>
  <si>
    <t>①支払金利側　＝　L6の現在価値</t>
    <rPh sb="1" eb="3">
      <t>シハライ</t>
    </rPh>
    <rPh sb="3" eb="5">
      <t>キンリ</t>
    </rPh>
    <rPh sb="5" eb="6">
      <t>ガワ</t>
    </rPh>
    <rPh sb="12" eb="14">
      <t>ゲンザイ</t>
    </rPh>
    <rPh sb="14" eb="16">
      <t>カチ</t>
    </rPh>
    <phoneticPr fontId="1"/>
  </si>
  <si>
    <t>X%</t>
    <phoneticPr fontId="1"/>
  </si>
  <si>
    <t>受取・支払のCashFlowは等しいので、</t>
    <rPh sb="0" eb="2">
      <t>ウケトリ</t>
    </rPh>
    <rPh sb="3" eb="5">
      <t>シハライ</t>
    </rPh>
    <rPh sb="15" eb="16">
      <t>ヒト</t>
    </rPh>
    <phoneticPr fontId="1"/>
  </si>
  <si>
    <r>
      <t>100 × X%/200 × (</t>
    </r>
    <r>
      <rPr>
        <b/>
        <sz val="9"/>
        <color rgb="FF0000FF"/>
        <rFont val="ＭＳ Ｐゴシック"/>
        <family val="3"/>
        <charset val="128"/>
        <scheme val="minor"/>
      </rPr>
      <t>df1.5</t>
    </r>
    <r>
      <rPr>
        <sz val="9"/>
        <color theme="1"/>
        <rFont val="ＭＳ Ｐゴシック"/>
        <family val="2"/>
        <charset val="128"/>
        <scheme val="minor"/>
      </rPr>
      <t xml:space="preserve"> + df2.0 + df2.5 + df3.0 )</t>
    </r>
    <phoneticPr fontId="1"/>
  </si>
  <si>
    <r>
      <t>100　×　（</t>
    </r>
    <r>
      <rPr>
        <b/>
        <sz val="9"/>
        <color rgb="FF0000FF"/>
        <rFont val="ＭＳ Ｐゴシック"/>
        <family val="3"/>
        <charset val="128"/>
        <scheme val="minor"/>
      </rPr>
      <t>df1.0</t>
    </r>
    <r>
      <rPr>
        <sz val="9"/>
        <color theme="1"/>
        <rFont val="ＭＳ Ｐゴシック"/>
        <family val="2"/>
        <charset val="128"/>
        <scheme val="minor"/>
      </rPr>
      <t xml:space="preserve"> - df3.0 ) =</t>
    </r>
    <phoneticPr fontId="1"/>
  </si>
  <si>
    <t>◆インプライドフォワードレートを使って、LIBORの現在価値を求める</t>
    <rPh sb="16" eb="17">
      <t>ツカ</t>
    </rPh>
    <rPh sb="26" eb="28">
      <t>ゲンザイ</t>
    </rPh>
    <rPh sb="28" eb="30">
      <t>カチ</t>
    </rPh>
    <rPh sb="31" eb="32">
      <t>モト</t>
    </rPh>
    <phoneticPr fontId="1"/>
  </si>
  <si>
    <t>&lt;例題6&gt;</t>
    <rPh sb="1" eb="3">
      <t>レイダイ</t>
    </rPh>
    <phoneticPr fontId="1"/>
  </si>
  <si>
    <t>円のディスカウント・ファクター体系が以下の通りであるとする。このとき、</t>
    <rPh sb="0" eb="1">
      <t>エン</t>
    </rPh>
    <rPh sb="15" eb="17">
      <t>タイケイ</t>
    </rPh>
    <rPh sb="18" eb="20">
      <t>イカ</t>
    </rPh>
    <rPh sb="21" eb="22">
      <t>トオ</t>
    </rPh>
    <phoneticPr fontId="1"/>
  </si>
  <si>
    <t>(1)期間1年～1年半のインプライド・フォワードレートを求め、さらにもしその金利で実際に一年半後に金利支払いが行われたとすると、現在価値はいくら</t>
    <rPh sb="3" eb="5">
      <t>キカン</t>
    </rPh>
    <rPh sb="6" eb="7">
      <t>ネン</t>
    </rPh>
    <rPh sb="9" eb="11">
      <t>ネンハン</t>
    </rPh>
    <rPh sb="28" eb="29">
      <t>モト</t>
    </rPh>
    <rPh sb="38" eb="40">
      <t>キンリ</t>
    </rPh>
    <rPh sb="41" eb="43">
      <t>ジッサイ</t>
    </rPh>
    <rPh sb="44" eb="48">
      <t>イチネンハンゴ</t>
    </rPh>
    <rPh sb="49" eb="51">
      <t>キンリ</t>
    </rPh>
    <rPh sb="51" eb="53">
      <t>シハラ</t>
    </rPh>
    <rPh sb="55" eb="56">
      <t>オコナ</t>
    </rPh>
    <rPh sb="64" eb="66">
      <t>ゲンザイ</t>
    </rPh>
    <rPh sb="66" eb="68">
      <t>カチ</t>
    </rPh>
    <phoneticPr fontId="1"/>
  </si>
  <si>
    <t>　　になるか計算せよ。</t>
    <rPh sb="6" eb="8">
      <t>ケイサン</t>
    </rPh>
    <phoneticPr fontId="1"/>
  </si>
  <si>
    <t>(2)1年後にレート決定され、1年半後に支払いの行われるLIBOR6Mの現在価値を求めよ</t>
    <rPh sb="4" eb="6">
      <t>ネンゴ</t>
    </rPh>
    <rPh sb="10" eb="12">
      <t>ケッテイ</t>
    </rPh>
    <rPh sb="16" eb="19">
      <t>ネンハンゴ</t>
    </rPh>
    <rPh sb="20" eb="22">
      <t>シハラ</t>
    </rPh>
    <rPh sb="24" eb="25">
      <t>オコナ</t>
    </rPh>
    <rPh sb="36" eb="38">
      <t>ゲンザイ</t>
    </rPh>
    <rPh sb="38" eb="40">
      <t>カチ</t>
    </rPh>
    <rPh sb="41" eb="42">
      <t>モト</t>
    </rPh>
    <phoneticPr fontId="1"/>
  </si>
  <si>
    <t>1.5年</t>
    <rPh sb="3" eb="4">
      <t>ネン</t>
    </rPh>
    <phoneticPr fontId="1"/>
  </si>
  <si>
    <t>1年</t>
    <rPh sb="1" eb="2">
      <t>ネン</t>
    </rPh>
    <phoneticPr fontId="1"/>
  </si>
  <si>
    <t>ｄｆ</t>
    <phoneticPr fontId="1"/>
  </si>
  <si>
    <t>スポットレートrと、ディスカウントファクターの関係</t>
    <rPh sb="23" eb="25">
      <t>カンケイ</t>
    </rPh>
    <phoneticPr fontId="1"/>
  </si>
  <si>
    <t>dfは額面1円の割引債の値段と考えられる。</t>
    <rPh sb="3" eb="5">
      <t>ガクメン</t>
    </rPh>
    <rPh sb="6" eb="7">
      <t>エン</t>
    </rPh>
    <rPh sb="8" eb="11">
      <t>ワリビキサイ</t>
    </rPh>
    <rPh sb="12" eb="14">
      <t>ネダン</t>
    </rPh>
    <rPh sb="15" eb="16">
      <t>カンガ</t>
    </rPh>
    <phoneticPr fontId="1"/>
  </si>
  <si>
    <t>複利の計算式に当てはめると、以下になる。</t>
    <rPh sb="0" eb="2">
      <t>フクリ</t>
    </rPh>
    <rPh sb="3" eb="5">
      <t>ケイサン</t>
    </rPh>
    <rPh sb="5" eb="6">
      <t>シキ</t>
    </rPh>
    <rPh sb="7" eb="8">
      <t>ア</t>
    </rPh>
    <rPh sb="14" eb="16">
      <t>イカ</t>
    </rPh>
    <phoneticPr fontId="1"/>
  </si>
  <si>
    <t>割引債の値段 （= df )  =  1 /  (r/2) ^ (2*T)</t>
    <rPh sb="0" eb="3">
      <t>ワリビキサイ</t>
    </rPh>
    <rPh sb="4" eb="6">
      <t>ネダン</t>
    </rPh>
    <phoneticPr fontId="1"/>
  </si>
  <si>
    <t>（公式）df  とスポットレートの関係</t>
    <rPh sb="1" eb="3">
      <t>コウシキ</t>
    </rPh>
    <rPh sb="17" eb="19">
      <t>カンケイ</t>
    </rPh>
    <phoneticPr fontId="1"/>
  </si>
  <si>
    <t>（公式）df  とインプライドフォワードレートの関係</t>
    <rPh sb="1" eb="3">
      <t>コウシキ</t>
    </rPh>
    <rPh sb="24" eb="26">
      <t>カンケイ</t>
    </rPh>
    <phoneticPr fontId="1"/>
  </si>
  <si>
    <t>n年後　～　n+0.5年後のインプライドフォワードレート r</t>
    <rPh sb="1" eb="3">
      <t>ネンゴ</t>
    </rPh>
    <rPh sb="11" eb="13">
      <t>ネンゴ</t>
    </rPh>
    <phoneticPr fontId="1"/>
  </si>
  <si>
    <r>
      <t>df = 1 / (1+r/2) ^ (2*T) 　→　</t>
    </r>
    <r>
      <rPr>
        <sz val="20"/>
        <color rgb="FF0000FF"/>
        <rFont val="ＭＳ Ｐゴシック"/>
        <family val="3"/>
        <charset val="128"/>
        <scheme val="minor"/>
      </rPr>
      <t>(1+r/2)^(2*T)</t>
    </r>
    <r>
      <rPr>
        <sz val="20"/>
        <color theme="1"/>
        <rFont val="ＭＳ Ｐゴシック"/>
        <family val="2"/>
        <charset val="128"/>
        <scheme val="minor"/>
      </rPr>
      <t xml:space="preserve"> = 1/df</t>
    </r>
    <phoneticPr fontId="1"/>
  </si>
  <si>
    <t xml:space="preserve">                   ※スポットレートは、dfの逆数</t>
    <rPh sb="32" eb="34">
      <t>ギャクスウ</t>
    </rPh>
    <phoneticPr fontId="1"/>
  </si>
  <si>
    <r>
      <t>1/dfn　　×  ( 1 + r/2 ) = 1/dfn+0.5 →　</t>
    </r>
    <r>
      <rPr>
        <sz val="20"/>
        <color rgb="FF0000FF"/>
        <rFont val="ＭＳ Ｐゴシック"/>
        <family val="3"/>
        <charset val="128"/>
        <scheme val="minor"/>
      </rPr>
      <t>r = (dfn/dfn+0.5 - 1 ) × 2</t>
    </r>
    <phoneticPr fontId="1"/>
  </si>
  <si>
    <t>(1)インプライドフォワードレートで支払が行われたとすると、現在価値を計算する</t>
    <rPh sb="18" eb="20">
      <t>シハライ</t>
    </rPh>
    <rPh sb="21" eb="22">
      <t>オコナ</t>
    </rPh>
    <rPh sb="30" eb="32">
      <t>ゲンザイ</t>
    </rPh>
    <rPh sb="32" eb="34">
      <t>カチ</t>
    </rPh>
    <rPh sb="35" eb="37">
      <t>ケイサン</t>
    </rPh>
    <phoneticPr fontId="1"/>
  </si>
  <si>
    <t>インプライドフォワードレートを求める</t>
    <rPh sb="15" eb="16">
      <t>モト</t>
    </rPh>
    <phoneticPr fontId="1"/>
  </si>
  <si>
    <t>r = (df1.0/df1.5 - 1 ) × 2</t>
    <phoneticPr fontId="1"/>
  </si>
  <si>
    <t>現在価値 = 100(元本) × r(%：IFR)/200 * df1.5</t>
    <rPh sb="0" eb="2">
      <t>ゲンザイ</t>
    </rPh>
    <rPh sb="2" eb="4">
      <t>カチ</t>
    </rPh>
    <rPh sb="11" eb="13">
      <t>ガンポン</t>
    </rPh>
    <phoneticPr fontId="1"/>
  </si>
  <si>
    <t>(2)LIBORの価値をインプライドフォワードレートと比較する</t>
    <rPh sb="9" eb="11">
      <t>カチ</t>
    </rPh>
    <rPh sb="27" eb="29">
      <t>ヒカク</t>
    </rPh>
    <phoneticPr fontId="1"/>
  </si>
  <si>
    <t>LIBOR = 100 * (df1.0 - df1.5)</t>
    <phoneticPr fontId="1"/>
  </si>
  <si>
    <t>（公式）LIBORの現在価値をインプライドフォワードレートから求める</t>
    <rPh sb="1" eb="3">
      <t>コウシキ</t>
    </rPh>
    <rPh sb="10" eb="12">
      <t>ゲンザイ</t>
    </rPh>
    <rPh sb="12" eb="14">
      <t>カチ</t>
    </rPh>
    <rPh sb="31" eb="32">
      <t>モト</t>
    </rPh>
    <phoneticPr fontId="1"/>
  </si>
  <si>
    <t>LIBORの現在価値を求めるには、LIBORの金利支払いに対応する期間のインプライドフォワードレートを求め、そのレートに基づき支払われた金利の</t>
    <rPh sb="6" eb="8">
      <t>ゲンザイ</t>
    </rPh>
    <rPh sb="8" eb="10">
      <t>カチ</t>
    </rPh>
    <rPh sb="11" eb="12">
      <t>モト</t>
    </rPh>
    <rPh sb="23" eb="25">
      <t>キンリ</t>
    </rPh>
    <rPh sb="25" eb="27">
      <t>シハラ</t>
    </rPh>
    <rPh sb="29" eb="31">
      <t>タイオウ</t>
    </rPh>
    <rPh sb="33" eb="35">
      <t>キカン</t>
    </rPh>
    <rPh sb="51" eb="52">
      <t>モト</t>
    </rPh>
    <rPh sb="60" eb="61">
      <t>モト</t>
    </rPh>
    <rPh sb="63" eb="65">
      <t>シハラ</t>
    </rPh>
    <rPh sb="68" eb="70">
      <t>キンリ</t>
    </rPh>
    <phoneticPr fontId="1"/>
  </si>
  <si>
    <t>現在価値を求めてもよい</t>
    <rPh sb="0" eb="2">
      <t>ゲンザイ</t>
    </rPh>
    <rPh sb="2" eb="4">
      <t>カチ</t>
    </rPh>
    <rPh sb="5" eb="6">
      <t>モト</t>
    </rPh>
    <phoneticPr fontId="1"/>
  </si>
  <si>
    <t>IFR</t>
    <phoneticPr fontId="1"/>
  </si>
  <si>
    <t>PV</t>
    <phoneticPr fontId="1"/>
  </si>
  <si>
    <t>1.0-1.5</t>
    <phoneticPr fontId="1"/>
  </si>
  <si>
    <t>1.5-2.0</t>
    <phoneticPr fontId="1"/>
  </si>
  <si>
    <t>2.0-2.5</t>
    <phoneticPr fontId="1"/>
  </si>
  <si>
    <t>2.5-3.0</t>
    <phoneticPr fontId="1"/>
  </si>
  <si>
    <t>=(C156/C157 - 1 ) * 200</t>
    <phoneticPr fontId="1"/>
  </si>
  <si>
    <t>=100 * (H156/200) * C157</t>
    <phoneticPr fontId="1"/>
  </si>
  <si>
    <t>合計</t>
    <rPh sb="0" eb="2">
      <t>ゴウケイ</t>
    </rPh>
    <phoneticPr fontId="1"/>
  </si>
  <si>
    <t>◆アモチ付スワップ（インプライドフォワードレートを使って、固定金利X％を求める）</t>
    <rPh sb="4" eb="5">
      <t>ツキ</t>
    </rPh>
    <rPh sb="25" eb="26">
      <t>ツカ</t>
    </rPh>
    <rPh sb="29" eb="31">
      <t>コテイ</t>
    </rPh>
    <rPh sb="31" eb="33">
      <t>キンリ</t>
    </rPh>
    <rPh sb="36" eb="37">
      <t>モト</t>
    </rPh>
    <phoneticPr fontId="1"/>
  </si>
  <si>
    <t>&lt;例題7&gt;</t>
    <rPh sb="1" eb="3">
      <t>レイダイ</t>
    </rPh>
    <phoneticPr fontId="1"/>
  </si>
  <si>
    <t>次のアモチ付金利スワップの固定金利を求めよ。　（金利体系は、「基本円金利体系」とする。）</t>
    <rPh sb="0" eb="1">
      <t>ツギ</t>
    </rPh>
    <rPh sb="5" eb="6">
      <t>ツキ</t>
    </rPh>
    <rPh sb="6" eb="8">
      <t>キンリ</t>
    </rPh>
    <rPh sb="13" eb="15">
      <t>コテイ</t>
    </rPh>
    <rPh sb="15" eb="17">
      <t>キンリ</t>
    </rPh>
    <rPh sb="18" eb="19">
      <t>モト</t>
    </rPh>
    <rPh sb="24" eb="26">
      <t>キンリ</t>
    </rPh>
    <rPh sb="26" eb="28">
      <t>タイケイ</t>
    </rPh>
    <rPh sb="31" eb="33">
      <t>キホン</t>
    </rPh>
    <rPh sb="33" eb="34">
      <t>エン</t>
    </rPh>
    <rPh sb="34" eb="36">
      <t>キンリ</t>
    </rPh>
    <rPh sb="36" eb="38">
      <t>タイケイ</t>
    </rPh>
    <phoneticPr fontId="1"/>
  </si>
  <si>
    <t>想定元本</t>
    <rPh sb="0" eb="2">
      <t>ソウテイ</t>
    </rPh>
    <rPh sb="2" eb="4">
      <t>ガンポン</t>
    </rPh>
    <phoneticPr fontId="1"/>
  </si>
  <si>
    <t>変動金利</t>
    <rPh sb="0" eb="2">
      <t>ヘンドウ</t>
    </rPh>
    <rPh sb="2" eb="4">
      <t>キンリ</t>
    </rPh>
    <phoneticPr fontId="1"/>
  </si>
  <si>
    <t>固定金利</t>
    <rPh sb="0" eb="2">
      <t>コテイ</t>
    </rPh>
    <rPh sb="2" eb="4">
      <t>キンリ</t>
    </rPh>
    <phoneticPr fontId="1"/>
  </si>
  <si>
    <t>LIBOR6M（半年払い）</t>
    <rPh sb="8" eb="10">
      <t>ハントシ</t>
    </rPh>
    <rPh sb="10" eb="11">
      <t>バラ</t>
    </rPh>
    <phoneticPr fontId="1"/>
  </si>
  <si>
    <t>X%　　　　　（半年払い）</t>
    <rPh sb="8" eb="10">
      <t>ハントシ</t>
    </rPh>
    <rPh sb="10" eb="11">
      <t>ハラ</t>
    </rPh>
    <phoneticPr fontId="1"/>
  </si>
  <si>
    <t>6億円（ただし半年ごとに１億円ずつ元本減額）</t>
    <rPh sb="1" eb="3">
      <t>オクエン</t>
    </rPh>
    <rPh sb="7" eb="9">
      <t>ハントシ</t>
    </rPh>
    <rPh sb="13" eb="15">
      <t>オクエン</t>
    </rPh>
    <rPh sb="17" eb="19">
      <t>ガンポン</t>
    </rPh>
    <rPh sb="19" eb="21">
      <t>ゲンガク</t>
    </rPh>
    <phoneticPr fontId="1"/>
  </si>
  <si>
    <t>=(C239/C240 - 1 ) * 200</t>
    <phoneticPr fontId="1"/>
  </si>
  <si>
    <t>=(C240/C241 - 1 ) * 200</t>
    <phoneticPr fontId="1"/>
  </si>
  <si>
    <t>=(C242/C243 - 1 ) * 200</t>
    <phoneticPr fontId="1"/>
  </si>
  <si>
    <t>=(C243/C244 - 1 ) * 200</t>
    <phoneticPr fontId="1"/>
  </si>
  <si>
    <t>=(C241/C242 - 1 ) * 200</t>
    <phoneticPr fontId="1"/>
  </si>
  <si>
    <r>
      <t>=</t>
    </r>
    <r>
      <rPr>
        <b/>
        <sz val="9"/>
        <color rgb="FF0000FF"/>
        <rFont val="ＭＳ Ｐゴシック"/>
        <family val="3"/>
        <charset val="128"/>
        <scheme val="minor"/>
      </rPr>
      <t>B239</t>
    </r>
    <r>
      <rPr>
        <sz val="9"/>
        <color theme="1"/>
        <rFont val="ＭＳ Ｐゴシック"/>
        <family val="2"/>
        <charset val="128"/>
        <scheme val="minor"/>
      </rPr>
      <t>*365/360</t>
    </r>
    <phoneticPr fontId="1"/>
  </si>
  <si>
    <t>固定</t>
    <rPh sb="0" eb="2">
      <t>コテイ</t>
    </rPh>
    <phoneticPr fontId="1"/>
  </si>
  <si>
    <t>IFRの現在価値</t>
    <rPh sb="4" eb="6">
      <t>ゲンザイ</t>
    </rPh>
    <rPh sb="6" eb="8">
      <t>カチ</t>
    </rPh>
    <phoneticPr fontId="1"/>
  </si>
  <si>
    <t>固定金利の現在価値</t>
    <rPh sb="0" eb="2">
      <t>コテイ</t>
    </rPh>
    <rPh sb="2" eb="4">
      <t>キンリ</t>
    </rPh>
    <rPh sb="5" eb="7">
      <t>ゲンザイ</t>
    </rPh>
    <rPh sb="7" eb="9">
      <t>カチ</t>
    </rPh>
    <phoneticPr fontId="1"/>
  </si>
  <si>
    <t>固定金利X％</t>
    <rPh sb="0" eb="2">
      <t>コテイ</t>
    </rPh>
    <rPh sb="2" eb="4">
      <t>キンリ</t>
    </rPh>
    <phoneticPr fontId="1"/>
  </si>
  <si>
    <t>変動金利の現在価値 / 固定金利を1%と仮定した場合の固定金利の現在価値</t>
    <rPh sb="0" eb="2">
      <t>ヘンドウ</t>
    </rPh>
    <rPh sb="2" eb="4">
      <t>キンリ</t>
    </rPh>
    <rPh sb="5" eb="7">
      <t>ゲンザイ</t>
    </rPh>
    <rPh sb="7" eb="9">
      <t>カチ</t>
    </rPh>
    <rPh sb="12" eb="14">
      <t>コテイ</t>
    </rPh>
    <rPh sb="14" eb="16">
      <t>キンリ</t>
    </rPh>
    <rPh sb="20" eb="22">
      <t>カテイ</t>
    </rPh>
    <rPh sb="24" eb="26">
      <t>バアイ</t>
    </rPh>
    <rPh sb="27" eb="29">
      <t>コテイ</t>
    </rPh>
    <rPh sb="29" eb="31">
      <t>キンリ</t>
    </rPh>
    <rPh sb="32" eb="34">
      <t>ゲンザイ</t>
    </rPh>
    <rPh sb="34" eb="36">
      <t>カチ</t>
    </rPh>
    <phoneticPr fontId="1"/>
  </si>
  <si>
    <t>=B247 * (C247/200) * C239</t>
    <phoneticPr fontId="1"/>
  </si>
  <si>
    <t>=B247 * ( D247/200) * C239</t>
    <phoneticPr fontId="1"/>
  </si>
  <si>
    <t>練習問題３</t>
    <rPh sb="0" eb="2">
      <t>レンシュウ</t>
    </rPh>
    <rPh sb="2" eb="4">
      <t>モンダイ</t>
    </rPh>
    <phoneticPr fontId="1"/>
  </si>
  <si>
    <t>LIBOR6</t>
  </si>
  <si>
    <t>LIBOR6</t>
    <phoneticPr fontId="1"/>
  </si>
  <si>
    <t>swap1y</t>
  </si>
  <si>
    <t>swap1y</t>
    <phoneticPr fontId="1"/>
  </si>
  <si>
    <t>swap1.5y</t>
  </si>
  <si>
    <t>swap1.5y</t>
    <phoneticPr fontId="1"/>
  </si>
  <si>
    <t>swap2y</t>
  </si>
  <si>
    <t>swap2.5y</t>
  </si>
  <si>
    <t>swap2.5y</t>
    <phoneticPr fontId="1"/>
  </si>
  <si>
    <t>swap3y</t>
  </si>
  <si>
    <t>swap4y</t>
  </si>
  <si>
    <t>swap3.5y</t>
  </si>
  <si>
    <t>swap3.5y</t>
    <phoneticPr fontId="1"/>
  </si>
  <si>
    <t>swap4.5y</t>
  </si>
  <si>
    <t>swap4.5y</t>
    <phoneticPr fontId="1"/>
  </si>
  <si>
    <t>swap5y</t>
  </si>
  <si>
    <t>swap5y</t>
    <phoneticPr fontId="1"/>
  </si>
  <si>
    <t>=100 / (100 +  B94 * (182.5/360) )</t>
    <phoneticPr fontId="1"/>
  </si>
  <si>
    <t>=(100 - (B95/2) * SUM($C$94:C94) ) / ( 100 + B95/2 )</t>
    <phoneticPr fontId="1"/>
  </si>
  <si>
    <t>(1)ｄｆを求める</t>
    <rPh sb="6" eb="7">
      <t>モト</t>
    </rPh>
    <phoneticPr fontId="1"/>
  </si>
  <si>
    <t>(2)固定金利Xを求める</t>
    <rPh sb="3" eb="5">
      <t>コテイ</t>
    </rPh>
    <rPh sb="5" eb="7">
      <t>キンリ</t>
    </rPh>
    <rPh sb="9" eb="10">
      <t>モト</t>
    </rPh>
    <phoneticPr fontId="1"/>
  </si>
  <si>
    <t>２年後スタート、スワップ期間３年</t>
    <rPh sb="1" eb="3">
      <t>ネンゴ</t>
    </rPh>
    <rPh sb="12" eb="14">
      <t>キカン</t>
    </rPh>
    <rPh sb="15" eb="16">
      <t>ネン</t>
    </rPh>
    <phoneticPr fontId="1"/>
  </si>
  <si>
    <t>LIBOR6M</t>
    <phoneticPr fontId="1"/>
  </si>
  <si>
    <t>①LIBORの現在価値をDFより直接求める</t>
    <rPh sb="7" eb="9">
      <t>ゲンザイ</t>
    </rPh>
    <rPh sb="9" eb="11">
      <t>カチ</t>
    </rPh>
    <rPh sb="16" eb="18">
      <t>チョクセツ</t>
    </rPh>
    <rPh sb="18" eb="19">
      <t>モト</t>
    </rPh>
    <phoneticPr fontId="1"/>
  </si>
  <si>
    <t>変動金利側（LIBOR）の現在価値</t>
    <rPh sb="0" eb="2">
      <t>ヘンドウ</t>
    </rPh>
    <rPh sb="2" eb="4">
      <t>キンリ</t>
    </rPh>
    <rPh sb="4" eb="5">
      <t>ガワ</t>
    </rPh>
    <rPh sb="13" eb="15">
      <t>ゲンザイ</t>
    </rPh>
    <rPh sb="15" eb="17">
      <t>カチ</t>
    </rPh>
    <phoneticPr fontId="1"/>
  </si>
  <si>
    <t>100 × ( df2.0 - df5.0)</t>
    <phoneticPr fontId="1"/>
  </si>
  <si>
    <t>固定金利側の現在価値</t>
    <rPh sb="0" eb="2">
      <t>コテイ</t>
    </rPh>
    <rPh sb="2" eb="4">
      <t>キンリ</t>
    </rPh>
    <rPh sb="4" eb="5">
      <t>ガワ</t>
    </rPh>
    <rPh sb="6" eb="8">
      <t>ゲンザイ</t>
    </rPh>
    <rPh sb="8" eb="10">
      <t>カチ</t>
    </rPh>
    <phoneticPr fontId="1"/>
  </si>
  <si>
    <t>100 × （X%/200） × (df2.5 + df3.0 + df3.5 + df4.0 + df4.5 + df5.0)</t>
    <phoneticPr fontId="1"/>
  </si>
  <si>
    <t>変動金利側と固定金利側のCashFlowが等しいので、</t>
    <rPh sb="0" eb="2">
      <t>ヘンドウ</t>
    </rPh>
    <rPh sb="2" eb="4">
      <t>キンリ</t>
    </rPh>
    <rPh sb="4" eb="5">
      <t>ガワ</t>
    </rPh>
    <rPh sb="6" eb="8">
      <t>コテイ</t>
    </rPh>
    <rPh sb="8" eb="10">
      <t>キンリ</t>
    </rPh>
    <rPh sb="10" eb="11">
      <t>ガワ</t>
    </rPh>
    <rPh sb="21" eb="22">
      <t>ヒト</t>
    </rPh>
    <phoneticPr fontId="1"/>
  </si>
  <si>
    <t>X% = 100 * (df2.0 -df5.9 ) / ( 0.5* (df2.5 + df3.0 + df3.5 + df4.0 + df4.5 + df5.0) )</t>
    <phoneticPr fontId="1"/>
  </si>
  <si>
    <t>②LIBORをインプライドフォワードレートに置き換えて変動金利再度の現在価値を算出</t>
    <rPh sb="22" eb="23">
      <t>オ</t>
    </rPh>
    <rPh sb="24" eb="25">
      <t>カ</t>
    </rPh>
    <rPh sb="27" eb="29">
      <t>ヘンドウ</t>
    </rPh>
    <rPh sb="29" eb="31">
      <t>キンリ</t>
    </rPh>
    <rPh sb="31" eb="33">
      <t>サイド</t>
    </rPh>
    <rPh sb="34" eb="36">
      <t>ゲンザイ</t>
    </rPh>
    <rPh sb="36" eb="38">
      <t>カチ</t>
    </rPh>
    <rPh sb="39" eb="41">
      <t>サンシュツ</t>
    </rPh>
    <phoneticPr fontId="1"/>
  </si>
  <si>
    <t>◆異通貨間のスワップ評価の考え方</t>
    <rPh sb="1" eb="2">
      <t>イ</t>
    </rPh>
    <rPh sb="2" eb="4">
      <t>ツウカ</t>
    </rPh>
    <rPh sb="4" eb="5">
      <t>カン</t>
    </rPh>
    <rPh sb="10" eb="12">
      <t>ヒョウカ</t>
    </rPh>
    <rPh sb="13" eb="14">
      <t>カンガ</t>
    </rPh>
    <rPh sb="15" eb="16">
      <t>カタ</t>
    </rPh>
    <phoneticPr fontId="1"/>
  </si>
  <si>
    <t>BootStrap法で計算すれば全く問題ない</t>
    <rPh sb="9" eb="10">
      <t>ホウ</t>
    </rPh>
    <rPh sb="11" eb="13">
      <t>ケイサン</t>
    </rPh>
    <rPh sb="16" eb="17">
      <t>マッタ</t>
    </rPh>
    <rPh sb="18" eb="20">
      <t>モンダイ</t>
    </rPh>
    <phoneticPr fontId="1"/>
  </si>
  <si>
    <t>ドルのキャッシュフロー　×　ドルのディスカウントファクター　×　ドル円為替直物レート</t>
    <rPh sb="34" eb="35">
      <t>エン</t>
    </rPh>
    <rPh sb="35" eb="37">
      <t>カワセ</t>
    </rPh>
    <rPh sb="37" eb="38">
      <t>チョク</t>
    </rPh>
    <rPh sb="38" eb="39">
      <t>ブツ</t>
    </rPh>
    <phoneticPr fontId="1"/>
  </si>
  <si>
    <t>&lt;例題8&gt;</t>
    <rPh sb="1" eb="3">
      <t>レイダイ</t>
    </rPh>
    <phoneticPr fontId="1"/>
  </si>
  <si>
    <t>X銀行の以下の既存クーポン・スワップの時価評価額を求めよ。</t>
    <rPh sb="1" eb="3">
      <t>ギンコウ</t>
    </rPh>
    <rPh sb="4" eb="6">
      <t>イカ</t>
    </rPh>
    <rPh sb="7" eb="9">
      <t>キゾン</t>
    </rPh>
    <rPh sb="19" eb="21">
      <t>ジカ</t>
    </rPh>
    <rPh sb="21" eb="24">
      <t>ヒョウカガク</t>
    </rPh>
    <rPh sb="25" eb="26">
      <t>モト</t>
    </rPh>
    <phoneticPr fontId="1"/>
  </si>
  <si>
    <t>ただし、現時点での円金利は「基本円金利体系」とし、ドル金利は以下のとおりである。</t>
    <rPh sb="4" eb="7">
      <t>ゲンジテン</t>
    </rPh>
    <rPh sb="9" eb="10">
      <t>エン</t>
    </rPh>
    <rPh sb="10" eb="12">
      <t>キンリ</t>
    </rPh>
    <rPh sb="14" eb="16">
      <t>キホン</t>
    </rPh>
    <rPh sb="16" eb="17">
      <t>エン</t>
    </rPh>
    <rPh sb="17" eb="19">
      <t>キンリ</t>
    </rPh>
    <rPh sb="19" eb="21">
      <t>タイケイ</t>
    </rPh>
    <rPh sb="27" eb="29">
      <t>キンリ</t>
    </rPh>
    <rPh sb="30" eb="32">
      <t>イカ</t>
    </rPh>
    <phoneticPr fontId="1"/>
  </si>
  <si>
    <t>為替直物レートは、１ドル＝１１０円とする</t>
    <rPh sb="0" eb="2">
      <t>カワセ</t>
    </rPh>
    <rPh sb="2" eb="3">
      <t>チョク</t>
    </rPh>
    <rPh sb="3" eb="4">
      <t>ブツ</t>
    </rPh>
    <rPh sb="16" eb="17">
      <t>エン</t>
    </rPh>
    <phoneticPr fontId="1"/>
  </si>
  <si>
    <t>残存期間</t>
    <rPh sb="0" eb="2">
      <t>ザンゾン</t>
    </rPh>
    <rPh sb="2" eb="4">
      <t>キカン</t>
    </rPh>
    <phoneticPr fontId="1"/>
  </si>
  <si>
    <t>円想定元本</t>
    <rPh sb="0" eb="1">
      <t>エン</t>
    </rPh>
    <rPh sb="1" eb="3">
      <t>ソウテイ</t>
    </rPh>
    <rPh sb="3" eb="5">
      <t>ガンポン</t>
    </rPh>
    <phoneticPr fontId="1"/>
  </si>
  <si>
    <t>ドル想定元本</t>
    <rPh sb="2" eb="4">
      <t>ソウテイ</t>
    </rPh>
    <rPh sb="4" eb="6">
      <t>ガンポン</t>
    </rPh>
    <phoneticPr fontId="1"/>
  </si>
  <si>
    <t>X銀行受取金利</t>
    <rPh sb="1" eb="3">
      <t>ギンコウ</t>
    </rPh>
    <rPh sb="3" eb="5">
      <t>ウケトリ</t>
    </rPh>
    <rPh sb="5" eb="7">
      <t>キンリ</t>
    </rPh>
    <phoneticPr fontId="1"/>
  </si>
  <si>
    <t>MTM　=　受取CashFlow －　支払CashFlow</t>
    <rPh sb="6" eb="8">
      <t>ウケトリ</t>
    </rPh>
    <rPh sb="19" eb="21">
      <t>シハライ</t>
    </rPh>
    <phoneticPr fontId="1"/>
  </si>
  <si>
    <t>X銀行支払金利</t>
    <rPh sb="1" eb="3">
      <t>ギンコウ</t>
    </rPh>
    <rPh sb="3" eb="5">
      <t>シハライ</t>
    </rPh>
    <rPh sb="5" eb="7">
      <t>キンリ</t>
    </rPh>
    <phoneticPr fontId="1"/>
  </si>
  <si>
    <t>３年</t>
    <rPh sb="1" eb="2">
      <t>ネン</t>
    </rPh>
    <phoneticPr fontId="1"/>
  </si>
  <si>
    <t>１０億円</t>
    <rPh sb="2" eb="4">
      <t>オクエン</t>
    </rPh>
    <phoneticPr fontId="1"/>
  </si>
  <si>
    <t>ドル2.40%</t>
    <phoneticPr fontId="1"/>
  </si>
  <si>
    <t>円2.00%</t>
    <rPh sb="0" eb="1">
      <t>エン</t>
    </rPh>
    <phoneticPr fontId="1"/>
  </si>
  <si>
    <t>円</t>
    <rPh sb="0" eb="1">
      <t>エン</t>
    </rPh>
    <phoneticPr fontId="1"/>
  </si>
  <si>
    <t>ドル</t>
  </si>
  <si>
    <t>ドル</t>
    <phoneticPr fontId="1"/>
  </si>
  <si>
    <t>円：支払金利</t>
    <rPh sb="0" eb="1">
      <t>エン</t>
    </rPh>
    <rPh sb="2" eb="4">
      <t>シハライ</t>
    </rPh>
    <rPh sb="4" eb="6">
      <t>キンリ</t>
    </rPh>
    <phoneticPr fontId="1"/>
  </si>
  <si>
    <t>=100 / (100 +  B286 * (182.5/360) )</t>
    <phoneticPr fontId="1"/>
  </si>
  <si>
    <t>=(100 - (B287/2) * SUM($C$286:C286) ) / ( 100 + B287/2 )</t>
    <phoneticPr fontId="1"/>
  </si>
  <si>
    <t>=(100 - (B288/2) * SUM($C$286:C287) ) / ( 100 + B288/2 )</t>
    <phoneticPr fontId="1"/>
  </si>
  <si>
    <t>=100 / (100 +  B295 * (182.5/360) )</t>
    <phoneticPr fontId="1"/>
  </si>
  <si>
    <t>=(100 - (B296/2) * SUM($C$295:C295) ) / ( 100 + B296/2 )</t>
    <phoneticPr fontId="1"/>
  </si>
  <si>
    <t>=(100 - (B297/2) * SUM($C$295:C296) ) / ( 100 + B297/2 )</t>
    <phoneticPr fontId="1"/>
  </si>
  <si>
    <t>10億　× 2.00%/200 × (df0.5 ＋ ・・・ df3.0)</t>
    <rPh sb="2" eb="3">
      <t>オク</t>
    </rPh>
    <phoneticPr fontId="1"/>
  </si>
  <si>
    <t>円：受取金利</t>
    <rPh sb="0" eb="1">
      <t>エン</t>
    </rPh>
    <rPh sb="2" eb="4">
      <t>ウケトリ</t>
    </rPh>
    <rPh sb="4" eb="6">
      <t>キンリ</t>
    </rPh>
    <phoneticPr fontId="1"/>
  </si>
  <si>
    <t>時価評価</t>
    <rPh sb="0" eb="2">
      <t>ジカ</t>
    </rPh>
    <rPh sb="2" eb="4">
      <t>ヒョウカ</t>
    </rPh>
    <phoneticPr fontId="1"/>
  </si>
  <si>
    <t>１０百万ドル (約定時の為替レート　1ドル=100円）</t>
    <rPh sb="2" eb="3">
      <t>ヒャク</t>
    </rPh>
    <rPh sb="3" eb="4">
      <t>マン</t>
    </rPh>
    <rPh sb="8" eb="10">
      <t>ヤクジョウ</t>
    </rPh>
    <rPh sb="10" eb="11">
      <t>ジ</t>
    </rPh>
    <rPh sb="12" eb="14">
      <t>カワセ</t>
    </rPh>
    <rPh sb="25" eb="26">
      <t>エン</t>
    </rPh>
    <phoneticPr fontId="1"/>
  </si>
  <si>
    <t>10百万 × 2.40%/200 * (df0.5 + ・・・ + df3.0) ×　110</t>
    <rPh sb="2" eb="3">
      <t>ヒャク</t>
    </rPh>
    <rPh sb="3" eb="4">
      <t>マン</t>
    </rPh>
    <phoneticPr fontId="1"/>
  </si>
  <si>
    <t>◆通貨スワップの円固定金利X％を求める</t>
    <rPh sb="1" eb="3">
      <t>ツウカ</t>
    </rPh>
    <rPh sb="8" eb="9">
      <t>エン</t>
    </rPh>
    <rPh sb="9" eb="11">
      <t>コテイ</t>
    </rPh>
    <rPh sb="11" eb="13">
      <t>キンリ</t>
    </rPh>
    <rPh sb="16" eb="17">
      <t>モト</t>
    </rPh>
    <phoneticPr fontId="1"/>
  </si>
  <si>
    <t>練習問題４</t>
    <rPh sb="0" eb="2">
      <t>レンシュウ</t>
    </rPh>
    <rPh sb="2" eb="4">
      <t>モンダイ</t>
    </rPh>
    <phoneticPr fontId="1"/>
  </si>
  <si>
    <t>円元本</t>
    <rPh sb="0" eb="1">
      <t>エン</t>
    </rPh>
    <rPh sb="1" eb="3">
      <t>ガンポン</t>
    </rPh>
    <phoneticPr fontId="1"/>
  </si>
  <si>
    <t>ドル元本</t>
    <rPh sb="2" eb="4">
      <t>ガンポン</t>
    </rPh>
    <phoneticPr fontId="1"/>
  </si>
  <si>
    <t>交換ドル金利</t>
    <rPh sb="0" eb="2">
      <t>コウカン</t>
    </rPh>
    <rPh sb="4" eb="6">
      <t>キンリ</t>
    </rPh>
    <phoneticPr fontId="1"/>
  </si>
  <si>
    <t>交換円金利</t>
    <rPh sb="0" eb="2">
      <t>コウカン</t>
    </rPh>
    <rPh sb="2" eb="3">
      <t>エン</t>
    </rPh>
    <rPh sb="3" eb="5">
      <t>キンリ</t>
    </rPh>
    <phoneticPr fontId="1"/>
  </si>
  <si>
    <t>１０億円相当のドル</t>
    <rPh sb="2" eb="4">
      <t>オクエン</t>
    </rPh>
    <rPh sb="4" eb="6">
      <t>ソウトウ</t>
    </rPh>
    <phoneticPr fontId="1"/>
  </si>
  <si>
    <t>3年</t>
    <rPh sb="1" eb="2">
      <t>ネン</t>
    </rPh>
    <phoneticPr fontId="1"/>
  </si>
  <si>
    <r>
      <t>(1)以下の</t>
    </r>
    <r>
      <rPr>
        <b/>
        <sz val="10"/>
        <color rgb="FF0000FF"/>
        <rFont val="ＭＳ Ｐゴシック"/>
        <family val="3"/>
        <charset val="128"/>
        <scheme val="minor"/>
      </rPr>
      <t>クーポンスワップ</t>
    </r>
    <r>
      <rPr>
        <sz val="9"/>
        <color theme="1"/>
        <rFont val="ＭＳ Ｐゴシック"/>
        <family val="2"/>
        <charset val="128"/>
        <scheme val="minor"/>
      </rPr>
      <t>を約定した場合の円固定金利X％を求めよ</t>
    </r>
    <rPh sb="3" eb="5">
      <t>イカ</t>
    </rPh>
    <rPh sb="15" eb="17">
      <t>ヤクジョウ</t>
    </rPh>
    <rPh sb="19" eb="21">
      <t>バアイ</t>
    </rPh>
    <rPh sb="22" eb="23">
      <t>エン</t>
    </rPh>
    <rPh sb="23" eb="25">
      <t>コテイ</t>
    </rPh>
    <rPh sb="25" eb="27">
      <t>キンリ</t>
    </rPh>
    <rPh sb="30" eb="31">
      <t>モト</t>
    </rPh>
    <phoneticPr fontId="1"/>
  </si>
  <si>
    <t>8.00%/200 × （ｄｆ0.5 + ・・・ + df3.0 ) = X%/200 × (df0.5 + ・・・ + df3.0)</t>
    <phoneticPr fontId="1"/>
  </si>
  <si>
    <r>
      <t>(2)以下の</t>
    </r>
    <r>
      <rPr>
        <b/>
        <sz val="9"/>
        <color rgb="FF0000FF"/>
        <rFont val="ＭＳ Ｐゴシック"/>
        <family val="3"/>
        <charset val="128"/>
        <scheme val="minor"/>
      </rPr>
      <t>通貨</t>
    </r>
    <r>
      <rPr>
        <b/>
        <sz val="10"/>
        <color rgb="FF0000FF"/>
        <rFont val="ＭＳ Ｐゴシック"/>
        <family val="3"/>
        <charset val="128"/>
        <scheme val="minor"/>
      </rPr>
      <t>スワップ</t>
    </r>
    <r>
      <rPr>
        <sz val="9"/>
        <color theme="1"/>
        <rFont val="ＭＳ Ｐゴシック"/>
        <family val="2"/>
        <charset val="128"/>
        <scheme val="minor"/>
      </rPr>
      <t>を約定した場合の円固定金利X％を求めよ</t>
    </r>
    <rPh sb="3" eb="5">
      <t>イカ</t>
    </rPh>
    <rPh sb="6" eb="8">
      <t>ツウカ</t>
    </rPh>
    <rPh sb="13" eb="15">
      <t>ヤクジョウ</t>
    </rPh>
    <rPh sb="17" eb="19">
      <t>バアイ</t>
    </rPh>
    <rPh sb="20" eb="21">
      <t>エン</t>
    </rPh>
    <rPh sb="21" eb="23">
      <t>コテイ</t>
    </rPh>
    <rPh sb="23" eb="25">
      <t>キンリ</t>
    </rPh>
    <rPh sb="28" eb="29">
      <t>モト</t>
    </rPh>
    <phoneticPr fontId="1"/>
  </si>
  <si>
    <t>Y%</t>
    <phoneticPr fontId="1"/>
  </si>
  <si>
    <t>CashFlow</t>
    <phoneticPr fontId="1"/>
  </si>
  <si>
    <t>通貨スワップの場合、LIBOR or スワップレートで交換すれば、</t>
    <rPh sb="0" eb="2">
      <t>ツウカ</t>
    </rPh>
    <rPh sb="7" eb="9">
      <t>バアイ</t>
    </rPh>
    <rPh sb="27" eb="29">
      <t>コウカン</t>
    </rPh>
    <phoneticPr fontId="1"/>
  </si>
  <si>
    <t>CashFlowは0になるので、スワップが成立する。</t>
    <rPh sb="21" eb="23">
      <t>セイリツ</t>
    </rPh>
    <phoneticPr fontId="1"/>
  </si>
  <si>
    <t>第３日　確認試験</t>
    <rPh sb="0" eb="1">
      <t>ダイ</t>
    </rPh>
    <rPh sb="2" eb="3">
      <t>ヒ</t>
    </rPh>
    <rPh sb="4" eb="6">
      <t>カクニン</t>
    </rPh>
    <rPh sb="6" eb="8">
      <t>シケン</t>
    </rPh>
    <phoneticPr fontId="1"/>
  </si>
  <si>
    <t>問題１</t>
    <rPh sb="0" eb="2">
      <t>モンダイ</t>
    </rPh>
    <phoneticPr fontId="1"/>
  </si>
  <si>
    <t>受取固定金利</t>
    <rPh sb="0" eb="2">
      <t>ウケトリ</t>
    </rPh>
    <rPh sb="2" eb="4">
      <t>コテイ</t>
    </rPh>
    <rPh sb="4" eb="6">
      <t>キンリ</t>
    </rPh>
    <phoneticPr fontId="1"/>
  </si>
  <si>
    <t>支払変動金利</t>
    <rPh sb="0" eb="2">
      <t>シハライ</t>
    </rPh>
    <rPh sb="2" eb="4">
      <t>ヘンドウ</t>
    </rPh>
    <rPh sb="4" eb="6">
      <t>キンリ</t>
    </rPh>
    <phoneticPr fontId="1"/>
  </si>
  <si>
    <t>1.5年後スタート、1.5年</t>
    <rPh sb="3" eb="5">
      <t>ネンゴ</t>
    </rPh>
    <rPh sb="13" eb="14">
      <t>ネン</t>
    </rPh>
    <phoneticPr fontId="1"/>
  </si>
  <si>
    <t>X％</t>
    <phoneticPr fontId="1"/>
  </si>
  <si>
    <t>変動金利側</t>
    <rPh sb="0" eb="2">
      <t>ヘンドウ</t>
    </rPh>
    <rPh sb="2" eb="4">
      <t>キンリ</t>
    </rPh>
    <rPh sb="4" eb="5">
      <t>ガワ</t>
    </rPh>
    <phoneticPr fontId="1"/>
  </si>
  <si>
    <t>CashFlow変動金利側</t>
    <rPh sb="8" eb="10">
      <t>ヘンドウ</t>
    </rPh>
    <rPh sb="10" eb="12">
      <t>キンリ</t>
    </rPh>
    <rPh sb="12" eb="13">
      <t>ガワ</t>
    </rPh>
    <phoneticPr fontId="1"/>
  </si>
  <si>
    <t>LIBORの現在価値 = ( df1.5 - df3.0 )</t>
    <rPh sb="6" eb="8">
      <t>ゲンザイ</t>
    </rPh>
    <rPh sb="8" eb="10">
      <t>カチ</t>
    </rPh>
    <phoneticPr fontId="1"/>
  </si>
  <si>
    <t>CashFlow固定金利側</t>
    <rPh sb="8" eb="10">
      <t>コテイ</t>
    </rPh>
    <rPh sb="10" eb="12">
      <t>キンリ</t>
    </rPh>
    <rPh sb="12" eb="13">
      <t>ガワ</t>
    </rPh>
    <phoneticPr fontId="1"/>
  </si>
  <si>
    <t>( X% / 200 ) × (df2.0 + df2.5 + df3.0)</t>
    <phoneticPr fontId="1"/>
  </si>
  <si>
    <t>問題２</t>
    <rPh sb="0" eb="2">
      <t>モンダイ</t>
    </rPh>
    <phoneticPr fontId="1"/>
  </si>
  <si>
    <t>-</t>
    <phoneticPr fontId="1"/>
  </si>
  <si>
    <t>第４日　確認試験</t>
    <rPh sb="0" eb="1">
      <t>ダイ</t>
    </rPh>
    <rPh sb="2" eb="3">
      <t>ヒ</t>
    </rPh>
    <rPh sb="4" eb="6">
      <t>カクニン</t>
    </rPh>
    <rPh sb="6" eb="8">
      <t>シケン</t>
    </rPh>
    <phoneticPr fontId="1"/>
  </si>
  <si>
    <t>問１</t>
    <rPh sb="0" eb="1">
      <t>トイ</t>
    </rPh>
    <phoneticPr fontId="1"/>
  </si>
  <si>
    <t>元本交換</t>
    <rPh sb="0" eb="2">
      <t>ガンポン</t>
    </rPh>
    <rPh sb="2" eb="4">
      <t>コウカン</t>
    </rPh>
    <phoneticPr fontId="1"/>
  </si>
  <si>
    <t>円金利</t>
    <rPh sb="0" eb="1">
      <t>エン</t>
    </rPh>
    <rPh sb="1" eb="3">
      <t>キンリ</t>
    </rPh>
    <phoneticPr fontId="1"/>
  </si>
  <si>
    <t>ドル金利</t>
    <rPh sb="2" eb="4">
      <t>キンリ</t>
    </rPh>
    <phoneticPr fontId="1"/>
  </si>
  <si>
    <t>1.0億</t>
    <rPh sb="3" eb="4">
      <t>オク</t>
    </rPh>
    <phoneticPr fontId="1"/>
  </si>
  <si>
    <t>1.0億円相当ドル</t>
    <rPh sb="3" eb="5">
      <t>オクエン</t>
    </rPh>
    <rPh sb="5" eb="7">
      <t>ソウトウ</t>
    </rPh>
    <phoneticPr fontId="1"/>
  </si>
  <si>
    <t>開始時とエンド時に交換する</t>
    <rPh sb="0" eb="2">
      <t>カイシ</t>
    </rPh>
    <rPh sb="2" eb="3">
      <t>ジ</t>
    </rPh>
    <rPh sb="7" eb="8">
      <t>ジ</t>
    </rPh>
    <rPh sb="9" eb="11">
      <t>コウカン</t>
    </rPh>
    <phoneticPr fontId="1"/>
  </si>
  <si>
    <t>固定1.30%</t>
    <rPh sb="0" eb="2">
      <t>コテイ</t>
    </rPh>
    <phoneticPr fontId="1"/>
  </si>
  <si>
    <t>通貨スワップのドル固定金利X％</t>
    <rPh sb="0" eb="2">
      <t>ツウカ</t>
    </rPh>
    <rPh sb="9" eb="11">
      <t>コテイ</t>
    </rPh>
    <rPh sb="11" eb="13">
      <t>キンリ</t>
    </rPh>
    <phoneticPr fontId="1"/>
  </si>
  <si>
    <t>通貨スワップは、スワップレート or LIBORがレートであれば、双方のCashFlowを鑑みれば、交換可能となる</t>
    <rPh sb="0" eb="2">
      <t>ツウカ</t>
    </rPh>
    <rPh sb="33" eb="35">
      <t>ソウホウ</t>
    </rPh>
    <rPh sb="45" eb="46">
      <t>カンガ</t>
    </rPh>
    <rPh sb="50" eb="52">
      <t>コウカン</t>
    </rPh>
    <rPh sb="52" eb="54">
      <t>カノウ</t>
    </rPh>
    <phoneticPr fontId="1"/>
  </si>
  <si>
    <t>答え</t>
    <rPh sb="0" eb="1">
      <t>コタ</t>
    </rPh>
    <phoneticPr fontId="1"/>
  </si>
  <si>
    <t>2年</t>
    <rPh sb="1" eb="2">
      <t>ネン</t>
    </rPh>
    <phoneticPr fontId="1"/>
  </si>
  <si>
    <t>問２</t>
    <rPh sb="0" eb="1">
      <t>トイ</t>
    </rPh>
    <phoneticPr fontId="1"/>
  </si>
  <si>
    <t>df1.0</t>
    <phoneticPr fontId="1"/>
  </si>
  <si>
    <t>df1.5</t>
    <phoneticPr fontId="1"/>
  </si>
  <si>
    <t>固定金利側</t>
    <rPh sb="0" eb="2">
      <t>コテイ</t>
    </rPh>
    <rPh sb="2" eb="4">
      <t>キンリ</t>
    </rPh>
    <rPh sb="4" eb="5">
      <t>ガワ</t>
    </rPh>
    <phoneticPr fontId="1"/>
  </si>
  <si>
    <t>X% / 200 × df1.5</t>
    <phoneticPr fontId="1"/>
  </si>
  <si>
    <t>( df1.0 - df1.5 )</t>
    <phoneticPr fontId="1"/>
  </si>
  <si>
    <t>別の解方</t>
    <rPh sb="0" eb="1">
      <t>ベツ</t>
    </rPh>
    <rPh sb="2" eb="3">
      <t>カイ</t>
    </rPh>
    <rPh sb="3" eb="4">
      <t>カタ</t>
    </rPh>
    <phoneticPr fontId="1"/>
  </si>
  <si>
    <t>1.0年～1.5年のインプライドフォワードレートを求めればよい</t>
    <rPh sb="3" eb="4">
      <t>ネン</t>
    </rPh>
    <rPh sb="8" eb="9">
      <t>ネン</t>
    </rPh>
    <rPh sb="25" eb="26">
      <t>モト</t>
    </rPh>
    <phoneticPr fontId="1"/>
  </si>
  <si>
    <t>インプライドフォワードレート</t>
    <phoneticPr fontId="1"/>
  </si>
  <si>
    <t>→LIBORの現在価値とインプライド・フォワードレートで支払わるキャッシュフローの現在価値は同じ　→　LIBORとインプライドフォワードレートは交換できる</t>
    <rPh sb="7" eb="9">
      <t>ゲンザイ</t>
    </rPh>
    <rPh sb="9" eb="11">
      <t>カチ</t>
    </rPh>
    <rPh sb="28" eb="30">
      <t>シハラ</t>
    </rPh>
    <rPh sb="41" eb="43">
      <t>ゲンザイ</t>
    </rPh>
    <rPh sb="43" eb="45">
      <t>カチ</t>
    </rPh>
    <rPh sb="46" eb="47">
      <t>オナ</t>
    </rPh>
    <rPh sb="72" eb="74">
      <t>コウカン</t>
    </rPh>
    <phoneticPr fontId="1"/>
  </si>
  <si>
    <t>公理</t>
    <rPh sb="0" eb="2">
      <t>コウリ</t>
    </rPh>
    <phoneticPr fontId="1"/>
  </si>
  <si>
    <t>宿題スワップ</t>
    <rPh sb="0" eb="2">
      <t>シュクダイ</t>
    </rPh>
    <phoneticPr fontId="1"/>
  </si>
  <si>
    <t>問1</t>
    <rPh sb="0" eb="1">
      <t>トイ</t>
    </rPh>
    <phoneticPr fontId="1"/>
  </si>
  <si>
    <t>DF</t>
    <phoneticPr fontId="1"/>
  </si>
  <si>
    <t>=100 / (100 +  B256 * (182.5/360) )</t>
    <phoneticPr fontId="1"/>
  </si>
  <si>
    <t>=(100 - (B257/2) * SUM($C$256:C256) ) / ( 100 + B257/2 )</t>
    <phoneticPr fontId="1"/>
  </si>
  <si>
    <t>（１）ディスカウントファクターを半年刻みで求める</t>
    <rPh sb="16" eb="18">
      <t>ハントシ</t>
    </rPh>
    <rPh sb="18" eb="19">
      <t>キザ</t>
    </rPh>
    <rPh sb="21" eb="22">
      <t>モト</t>
    </rPh>
    <phoneticPr fontId="1"/>
  </si>
  <si>
    <t>（２）Swapの時価評価を求める</t>
    <rPh sb="8" eb="10">
      <t>ジカ</t>
    </rPh>
    <rPh sb="10" eb="12">
      <t>ヒョウカ</t>
    </rPh>
    <rPh sb="13" eb="14">
      <t>モト</t>
    </rPh>
    <phoneticPr fontId="1"/>
  </si>
  <si>
    <t>LIBOR６M</t>
    <phoneticPr fontId="1"/>
  </si>
  <si>
    <t>30億円</t>
    <rPh sb="2" eb="4">
      <t>オクエン</t>
    </rPh>
    <phoneticPr fontId="1"/>
  </si>
  <si>
    <t>LIBORの現在価値　＝　30億円　×　（ 1 - df5.0 )</t>
    <rPh sb="6" eb="8">
      <t>ゲンザイ</t>
    </rPh>
    <rPh sb="8" eb="10">
      <t>カチ</t>
    </rPh>
    <rPh sb="15" eb="17">
      <t>オクエン</t>
    </rPh>
    <phoneticPr fontId="1"/>
  </si>
  <si>
    <t>30億円　×　1.35%/200 × ( df0.5 + ・・・ + df5.0　）</t>
    <rPh sb="2" eb="3">
      <t>オク</t>
    </rPh>
    <rPh sb="3" eb="4">
      <t>エン</t>
    </rPh>
    <phoneticPr fontId="1"/>
  </si>
  <si>
    <t>千円</t>
    <rPh sb="0" eb="2">
      <t>センエン</t>
    </rPh>
    <phoneticPr fontId="1"/>
  </si>
  <si>
    <t>30億　×　(1.21 - 1.35) /200 × (df0.5 + ・・・ + df5.0)</t>
    <rPh sb="2" eb="3">
      <t>オク</t>
    </rPh>
    <phoneticPr fontId="1"/>
  </si>
  <si>
    <t>LIBORをスワップレートに置き換えて考えて、差分から求める</t>
    <rPh sb="14" eb="15">
      <t>オ</t>
    </rPh>
    <rPh sb="16" eb="17">
      <t>カ</t>
    </rPh>
    <rPh sb="19" eb="20">
      <t>カンガ</t>
    </rPh>
    <rPh sb="23" eb="25">
      <t>サブン</t>
    </rPh>
    <rPh sb="27" eb="28">
      <t>モト</t>
    </rPh>
    <phoneticPr fontId="1"/>
  </si>
  <si>
    <t>問2</t>
    <rPh sb="0" eb="1">
      <t>トイ</t>
    </rPh>
    <phoneticPr fontId="1"/>
  </si>
  <si>
    <t>(1)ディスカウントファクター計算の前提となった金利のうち、期間3.0年のスワップレートは何%だったか計算せよ</t>
    <rPh sb="15" eb="17">
      <t>ケイサン</t>
    </rPh>
    <rPh sb="18" eb="20">
      <t>ゼンテイ</t>
    </rPh>
    <rPh sb="24" eb="26">
      <t>キンリ</t>
    </rPh>
    <rPh sb="30" eb="32">
      <t>キカン</t>
    </rPh>
    <rPh sb="35" eb="36">
      <t>ネン</t>
    </rPh>
    <rPh sb="45" eb="46">
      <t>ナン</t>
    </rPh>
    <rPh sb="51" eb="53">
      <t>ケイサン</t>
    </rPh>
    <phoneticPr fontId="1"/>
  </si>
  <si>
    <t>Rate</t>
    <phoneticPr fontId="1"/>
  </si>
  <si>
    <t>= ( (100/C289) -  100 ) * (360/182.5)</t>
  </si>
  <si>
    <t>r</t>
    <phoneticPr fontId="1"/>
  </si>
  <si>
    <t>=(2*100*(1-C290)) / SUM($C$289:C290)</t>
  </si>
  <si>
    <t>(2)以下のフォワードスワップを約定する場合、固定金利は何%になるか</t>
    <rPh sb="3" eb="5">
      <t>イカ</t>
    </rPh>
    <rPh sb="16" eb="18">
      <t>ヤクジョウ</t>
    </rPh>
    <rPh sb="20" eb="22">
      <t>バアイ</t>
    </rPh>
    <rPh sb="23" eb="25">
      <t>コテイ</t>
    </rPh>
    <rPh sb="25" eb="27">
      <t>キンリ</t>
    </rPh>
    <rPh sb="28" eb="29">
      <t>ナン</t>
    </rPh>
    <phoneticPr fontId="1"/>
  </si>
  <si>
    <t>2.0年後スタート、スワップ期間1.0年</t>
    <rPh sb="3" eb="5">
      <t>ネンゴ</t>
    </rPh>
    <rPh sb="14" eb="16">
      <t>キカン</t>
    </rPh>
    <rPh sb="19" eb="20">
      <t>ネン</t>
    </rPh>
    <phoneticPr fontId="1"/>
  </si>
  <si>
    <t>固定金利のCashFlow</t>
    <rPh sb="0" eb="2">
      <t>コテイ</t>
    </rPh>
    <rPh sb="2" eb="4">
      <t>キンリ</t>
    </rPh>
    <phoneticPr fontId="1"/>
  </si>
  <si>
    <t>X%/200 × (df2.5 + df3.0)</t>
    <phoneticPr fontId="1"/>
  </si>
  <si>
    <t>変動金利のCashFlow</t>
    <rPh sb="0" eb="2">
      <t>ヘンドウ</t>
    </rPh>
    <rPh sb="2" eb="4">
      <t>キンリ</t>
    </rPh>
    <phoneticPr fontId="1"/>
  </si>
  <si>
    <t>df2.0 - df3.0</t>
    <phoneticPr fontId="1"/>
  </si>
  <si>
    <t>=(2*100*(1-C294)) / SUM($C$289:C294)</t>
  </si>
  <si>
    <t>問4</t>
    <rPh sb="0" eb="1">
      <t>トイ</t>
    </rPh>
    <phoneticPr fontId="1"/>
  </si>
  <si>
    <t>ｄｆ</t>
    <phoneticPr fontId="1"/>
  </si>
  <si>
    <t>IFRのPV</t>
    <phoneticPr fontId="1"/>
  </si>
  <si>
    <t>固定金利レート</t>
    <rPh sb="0" eb="2">
      <t>コテイ</t>
    </rPh>
    <rPh sb="2" eb="4">
      <t>キンリ</t>
    </rPh>
    <phoneticPr fontId="1"/>
  </si>
  <si>
    <t>インプライドフォワードレートから、固定金利のPVを求める</t>
    <rPh sb="17" eb="19">
      <t>コテイ</t>
    </rPh>
    <rPh sb="19" eb="21">
      <t>キンリ</t>
    </rPh>
    <rPh sb="25" eb="26">
      <t>モト</t>
    </rPh>
    <phoneticPr fontId="1"/>
  </si>
  <si>
    <t>想定がんぽん</t>
    <rPh sb="0" eb="2">
      <t>ソウテイ</t>
    </rPh>
    <phoneticPr fontId="1"/>
  </si>
  <si>
    <t>問5</t>
    <rPh sb="0" eb="1">
      <t>トイ</t>
    </rPh>
    <phoneticPr fontId="1"/>
  </si>
  <si>
    <t>(1)X銀行の以下のクーポンスワップの時価評価額を計算せよ</t>
    <rPh sb="4" eb="6">
      <t>ギンコウ</t>
    </rPh>
    <rPh sb="7" eb="9">
      <t>イカ</t>
    </rPh>
    <rPh sb="19" eb="21">
      <t>ジカ</t>
    </rPh>
    <rPh sb="21" eb="24">
      <t>ヒョウカガク</t>
    </rPh>
    <rPh sb="25" eb="27">
      <t>ケイサン</t>
    </rPh>
    <phoneticPr fontId="1"/>
  </si>
  <si>
    <t>残存期間３年</t>
    <rPh sb="0" eb="2">
      <t>ザンゾン</t>
    </rPh>
    <rPh sb="2" eb="4">
      <t>キカン</t>
    </rPh>
    <rPh sb="5" eb="6">
      <t>ネン</t>
    </rPh>
    <phoneticPr fontId="1"/>
  </si>
  <si>
    <t>受取金利：円固定</t>
    <rPh sb="0" eb="2">
      <t>ウケトリ</t>
    </rPh>
    <rPh sb="2" eb="4">
      <t>キンリ</t>
    </rPh>
    <rPh sb="5" eb="6">
      <t>エン</t>
    </rPh>
    <rPh sb="6" eb="8">
      <t>コテイ</t>
    </rPh>
    <phoneticPr fontId="1"/>
  </si>
  <si>
    <t>支払金利：ドル固定</t>
    <rPh sb="0" eb="2">
      <t>シハライ</t>
    </rPh>
    <rPh sb="2" eb="4">
      <t>キンリ</t>
    </rPh>
    <rPh sb="7" eb="9">
      <t>コテイ</t>
    </rPh>
    <phoneticPr fontId="1"/>
  </si>
  <si>
    <t>20億円</t>
    <rPh sb="2" eb="4">
      <t>オクエン</t>
    </rPh>
    <phoneticPr fontId="1"/>
  </si>
  <si>
    <t>25百万ドル</t>
    <rPh sb="2" eb="4">
      <t>ヒャクマン</t>
    </rPh>
    <phoneticPr fontId="1"/>
  </si>
  <si>
    <t>2.50% (年一回払い）</t>
    <rPh sb="7" eb="8">
      <t>ネン</t>
    </rPh>
    <rPh sb="8" eb="10">
      <t>イッカイ</t>
    </rPh>
    <rPh sb="10" eb="11">
      <t>ハラ</t>
    </rPh>
    <phoneticPr fontId="1"/>
  </si>
  <si>
    <t>2.80% (年一回払い）</t>
    <rPh sb="7" eb="8">
      <t>ネン</t>
    </rPh>
    <rPh sb="8" eb="10">
      <t>イッカイ</t>
    </rPh>
    <rPh sb="10" eb="11">
      <t>ハラ</t>
    </rPh>
    <phoneticPr fontId="1"/>
  </si>
  <si>
    <t>ドル：支払金利</t>
    <rPh sb="3" eb="5">
      <t>シハライ</t>
    </rPh>
    <rPh sb="5" eb="7">
      <t>キンリ</t>
    </rPh>
    <phoneticPr fontId="1"/>
  </si>
  <si>
    <t>20億　× 2.50%/100 × (df1.0 + df2.0 + df3.0)</t>
    <rPh sb="2" eb="3">
      <t>オク</t>
    </rPh>
    <phoneticPr fontId="1"/>
  </si>
  <si>
    <t>25百万 × 2.80%/100 * (df1.0 + df2.0 + df3.0) ×　100</t>
    <rPh sb="2" eb="3">
      <t>ヒャク</t>
    </rPh>
    <rPh sb="3" eb="4">
      <t>マン</t>
    </rPh>
    <phoneticPr fontId="1"/>
  </si>
  <si>
    <t>10億円</t>
    <rPh sb="2" eb="4">
      <t>オクエン</t>
    </rPh>
    <phoneticPr fontId="1"/>
  </si>
  <si>
    <t>10億円相当のドル</t>
    <rPh sb="2" eb="4">
      <t>オクエン</t>
    </rPh>
    <rPh sb="4" eb="6">
      <t>ソウトウ</t>
    </rPh>
    <phoneticPr fontId="1"/>
  </si>
  <si>
    <t>1.36%(半年払い）</t>
    <rPh sb="6" eb="8">
      <t>ハントシ</t>
    </rPh>
    <rPh sb="8" eb="9">
      <t>バラ</t>
    </rPh>
    <phoneticPr fontId="1"/>
  </si>
  <si>
    <t>X = 3%</t>
    <phoneticPr fontId="1"/>
  </si>
  <si>
    <r>
      <t>(2)X銀行の以下の</t>
    </r>
    <r>
      <rPr>
        <sz val="9"/>
        <color rgb="FF0000FF"/>
        <rFont val="ＭＳ Ｐゴシック"/>
        <family val="3"/>
        <charset val="128"/>
        <scheme val="minor"/>
      </rPr>
      <t>通貨スワップ</t>
    </r>
    <r>
      <rPr>
        <sz val="9"/>
        <color theme="1"/>
        <rFont val="ＭＳ Ｐゴシック"/>
        <family val="2"/>
        <charset val="128"/>
        <scheme val="minor"/>
      </rPr>
      <t>の時価評価額を計算せよ</t>
    </r>
    <rPh sb="4" eb="6">
      <t>ギンコウ</t>
    </rPh>
    <rPh sb="7" eb="9">
      <t>イカ</t>
    </rPh>
    <rPh sb="10" eb="12">
      <t>ツウカ</t>
    </rPh>
    <rPh sb="17" eb="19">
      <t>ジカ</t>
    </rPh>
    <rPh sb="19" eb="22">
      <t>ヒョウカガク</t>
    </rPh>
    <rPh sb="23" eb="25">
      <t>ケイサン</t>
    </rPh>
    <phoneticPr fontId="1"/>
  </si>
  <si>
    <t>宿題１月7日のやつ</t>
    <rPh sb="0" eb="2">
      <t>シュクダイ</t>
    </rPh>
    <rPh sb="3" eb="4">
      <t>ガツ</t>
    </rPh>
    <rPh sb="5" eb="6">
      <t>ヒ</t>
    </rPh>
    <phoneticPr fontId="1"/>
  </si>
  <si>
    <t>問題３　まずは満期時元利合計額を求めて、そこからDFを求める</t>
    <rPh sb="0" eb="2">
      <t>モンダイ</t>
    </rPh>
    <rPh sb="7" eb="10">
      <t>マンキジ</t>
    </rPh>
    <rPh sb="10" eb="12">
      <t>ガンリ</t>
    </rPh>
    <rPh sb="12" eb="14">
      <t>ゴウケイ</t>
    </rPh>
    <rPh sb="14" eb="15">
      <t>ガク</t>
    </rPh>
    <rPh sb="16" eb="17">
      <t>モト</t>
    </rPh>
    <rPh sb="27" eb="28">
      <t>モト</t>
    </rPh>
    <phoneticPr fontId="1"/>
  </si>
  <si>
    <t>①変動利付債の理論価格を求めよ　（割引債の理論価格がすべて分かっている場合）</t>
    <rPh sb="1" eb="3">
      <t>ヘンドウ</t>
    </rPh>
    <rPh sb="3" eb="5">
      <t>リツキ</t>
    </rPh>
    <rPh sb="5" eb="6">
      <t>サイ</t>
    </rPh>
    <rPh sb="7" eb="9">
      <t>リロン</t>
    </rPh>
    <rPh sb="9" eb="11">
      <t>カカク</t>
    </rPh>
    <rPh sb="12" eb="13">
      <t>モト</t>
    </rPh>
    <rPh sb="17" eb="20">
      <t>ワリビキサイ</t>
    </rPh>
    <rPh sb="21" eb="23">
      <t>リロン</t>
    </rPh>
    <rPh sb="23" eb="25">
      <t>カカク</t>
    </rPh>
    <rPh sb="29" eb="30">
      <t>ワ</t>
    </rPh>
    <rPh sb="35" eb="37">
      <t>バアイ</t>
    </rPh>
    <phoneticPr fontId="1"/>
  </si>
  <si>
    <t>BootStrap法 　（変動利付債の理論価格）</t>
    <rPh sb="9" eb="10">
      <t>ホウ</t>
    </rPh>
    <rPh sb="13" eb="15">
      <t>ヘンドウ</t>
    </rPh>
    <rPh sb="15" eb="17">
      <t>リツキ</t>
    </rPh>
    <rPh sb="17" eb="18">
      <t>サイ</t>
    </rPh>
    <rPh sb="19" eb="21">
      <t>リロン</t>
    </rPh>
    <rPh sb="21" eb="23">
      <t>カカク</t>
    </rPh>
    <phoneticPr fontId="1"/>
  </si>
  <si>
    <t>固定利付債のDFは超簡単</t>
    <rPh sb="0" eb="2">
      <t>コテイ</t>
    </rPh>
    <rPh sb="2" eb="4">
      <t>リツキ</t>
    </rPh>
    <rPh sb="4" eb="5">
      <t>サイ</t>
    </rPh>
    <rPh sb="9" eb="10">
      <t>チョウ</t>
    </rPh>
    <rPh sb="10" eb="12">
      <t>カンタン</t>
    </rPh>
    <phoneticPr fontId="1"/>
  </si>
  <si>
    <t>df</t>
    <phoneticPr fontId="1"/>
  </si>
  <si>
    <t xml:space="preserve"> 固定利付債の金利　 = 1 /df </t>
    <rPh sb="1" eb="3">
      <t>コテイ</t>
    </rPh>
    <rPh sb="3" eb="5">
      <t>リツキ</t>
    </rPh>
    <rPh sb="5" eb="6">
      <t>サイ</t>
    </rPh>
    <rPh sb="7" eb="9">
      <t>キンリ</t>
    </rPh>
    <phoneticPr fontId="1"/>
  </si>
  <si>
    <t>問題４　割引債の値段からゼロレートを求める</t>
    <rPh sb="0" eb="2">
      <t>モンダイ</t>
    </rPh>
    <rPh sb="4" eb="7">
      <t>ワリビキサイ</t>
    </rPh>
    <rPh sb="8" eb="10">
      <t>ネダン</t>
    </rPh>
    <rPh sb="18" eb="19">
      <t>モト</t>
    </rPh>
    <phoneticPr fontId="1"/>
  </si>
  <si>
    <t>問題５　インプライドフォワードレートを求める</t>
    <rPh sb="0" eb="2">
      <t>モンダイ</t>
    </rPh>
    <rPh sb="19" eb="20">
      <t>モト</t>
    </rPh>
    <phoneticPr fontId="1"/>
  </si>
  <si>
    <t>問題６　</t>
    <rPh sb="0" eb="2">
      <t>モンダイ</t>
    </rPh>
    <phoneticPr fontId="1"/>
  </si>
  <si>
    <t>確率・統計</t>
    <rPh sb="0" eb="2">
      <t>カクリツ</t>
    </rPh>
    <rPh sb="3" eb="5">
      <t>トウケイ</t>
    </rPh>
    <phoneticPr fontId="1"/>
  </si>
  <si>
    <t>①期待値・分散・標準偏差</t>
    <rPh sb="1" eb="4">
      <t>キタイチ</t>
    </rPh>
    <rPh sb="5" eb="7">
      <t>ブンサン</t>
    </rPh>
    <rPh sb="8" eb="10">
      <t>ヒョウジュン</t>
    </rPh>
    <rPh sb="10" eb="12">
      <t>ヘンサ</t>
    </rPh>
    <phoneticPr fontId="1"/>
  </si>
  <si>
    <t>期待値　＝　値×確率の平均値　＝　リターンの平均値　＝　どらぐらいのリターンを得られるかの平均</t>
    <rPh sb="0" eb="3">
      <t>キタイチ</t>
    </rPh>
    <rPh sb="6" eb="7">
      <t>アタイ</t>
    </rPh>
    <rPh sb="8" eb="10">
      <t>カクリツ</t>
    </rPh>
    <rPh sb="11" eb="14">
      <t>ヘイキンチ</t>
    </rPh>
    <rPh sb="22" eb="25">
      <t>ヘイキンチ</t>
    </rPh>
    <rPh sb="39" eb="40">
      <t>エ</t>
    </rPh>
    <rPh sb="45" eb="47">
      <t>ヘイキン</t>
    </rPh>
    <phoneticPr fontId="1"/>
  </si>
  <si>
    <t>　　　　　 →　1×1/6 + 　2×1/6 + 　3×1/6 + 　4×1/6 + 　5×1/6 + 　6×1/6  = 3.5</t>
    <phoneticPr fontId="1"/>
  </si>
  <si>
    <t>分散　　　＝　( 値 - 期待値E　)＾２　×　確率　の平均値　＝　どれぐらいリターンの平均（期待値）より散らばっているか</t>
    <rPh sb="0" eb="2">
      <t>ブンサン</t>
    </rPh>
    <rPh sb="9" eb="10">
      <t>アタイ</t>
    </rPh>
    <rPh sb="13" eb="16">
      <t>キタイチ</t>
    </rPh>
    <rPh sb="24" eb="26">
      <t>カクリツ</t>
    </rPh>
    <rPh sb="28" eb="31">
      <t>ヘイキンチ</t>
    </rPh>
    <rPh sb="44" eb="46">
      <t>ヘイキン</t>
    </rPh>
    <rPh sb="47" eb="50">
      <t>キタイチ</t>
    </rPh>
    <rPh sb="53" eb="54">
      <t>チ</t>
    </rPh>
    <phoneticPr fontId="1"/>
  </si>
  <si>
    <t>　　　　　 →　(1 - 3.5)^2 × 1/6 + (2 - 3.5)^2 × 1/6 + (3 - 3.5)^2 × 1/6 + (4 - 3.5)^2 × 1/6 + (5 - 3.5)^2 × 1/6 +  (6 - 3.5)^2 × 1/6</t>
    <phoneticPr fontId="1"/>
  </si>
  <si>
    <t xml:space="preserve">           ※二乗しないと、リターン自体が平均値なので、結果としていつも0になってしまうから</t>
    <rPh sb="12" eb="14">
      <t>ニジョウ</t>
    </rPh>
    <rPh sb="23" eb="25">
      <t>ジタイ</t>
    </rPh>
    <rPh sb="26" eb="29">
      <t>ヘイキンチ</t>
    </rPh>
    <rPh sb="33" eb="35">
      <t>ケッカ</t>
    </rPh>
    <phoneticPr fontId="1"/>
  </si>
  <si>
    <t>標準偏差　　＝　　分散の0.5乗　（ルート）</t>
    <rPh sb="0" eb="2">
      <t>ヒョウジュン</t>
    </rPh>
    <rPh sb="2" eb="4">
      <t>ヘンサ</t>
    </rPh>
    <rPh sb="9" eb="11">
      <t>ブンサン</t>
    </rPh>
    <rPh sb="15" eb="16">
      <t>ジョウ</t>
    </rPh>
    <phoneticPr fontId="1"/>
  </si>
  <si>
    <t>[1]サイコロ</t>
    <phoneticPr fontId="1"/>
  </si>
  <si>
    <t>普通のサイコロ</t>
    <rPh sb="0" eb="2">
      <t>フツウ</t>
    </rPh>
    <phoneticPr fontId="1"/>
  </si>
  <si>
    <t>変なサイコロ１</t>
    <rPh sb="0" eb="1">
      <t>ヘン</t>
    </rPh>
    <phoneticPr fontId="1"/>
  </si>
  <si>
    <t>変なサイコロ２</t>
    <rPh sb="0" eb="1">
      <t>ヘン</t>
    </rPh>
    <phoneticPr fontId="1"/>
  </si>
  <si>
    <t>変なサイコロ３</t>
    <rPh sb="0" eb="1">
      <t>ヘン</t>
    </rPh>
    <phoneticPr fontId="1"/>
  </si>
  <si>
    <t>期待値</t>
    <rPh sb="0" eb="3">
      <t>キタイチ</t>
    </rPh>
    <phoneticPr fontId="1"/>
  </si>
  <si>
    <t>分散</t>
    <rPh sb="0" eb="2">
      <t>ブンサン</t>
    </rPh>
    <phoneticPr fontId="1"/>
  </si>
  <si>
    <t>標準偏差</t>
    <rPh sb="0" eb="2">
      <t>ヒョウジュン</t>
    </rPh>
    <rPh sb="2" eb="4">
      <t>ヘンサ</t>
    </rPh>
    <phoneticPr fontId="1"/>
  </si>
  <si>
    <t>=AVERAGE(E20:E25)</t>
    <phoneticPr fontId="1"/>
  </si>
  <si>
    <t>=VARP(E20:E25)</t>
  </si>
  <si>
    <t>=E28^0.5</t>
    <phoneticPr fontId="1"/>
  </si>
  <si>
    <t>②期待値と分散の公式</t>
    <rPh sb="1" eb="4">
      <t>キタイチ</t>
    </rPh>
    <rPh sb="5" eb="7">
      <t>ブンサン</t>
    </rPh>
    <rPh sb="8" eb="10">
      <t>コウシキ</t>
    </rPh>
    <phoneticPr fontId="1"/>
  </si>
  <si>
    <t>[1] E( a + X ) = a + E(X)</t>
    <phoneticPr fontId="1"/>
  </si>
  <si>
    <t>[2] VAR( a + X ) = VAR(X)</t>
    <phoneticPr fontId="1"/>
  </si>
  <si>
    <t>[3] E(a * X ) = a * E(X)</t>
    <phoneticPr fontId="1"/>
  </si>
  <si>
    <t>[4] VAR(a * X ) = a^2 * VAR(X)</t>
    <phoneticPr fontId="1"/>
  </si>
  <si>
    <t>[5] VAR(X) = E(X^2) + ( E(X) ) ^2</t>
    <phoneticPr fontId="1"/>
  </si>
  <si>
    <t>[6] E( X + Y ) = E(X) + E(Y)</t>
    <phoneticPr fontId="1"/>
  </si>
  <si>
    <t>&lt;確認問題１&gt;</t>
    <rPh sb="1" eb="3">
      <t>カクニン</t>
    </rPh>
    <rPh sb="3" eb="5">
      <t>モンダイ</t>
    </rPh>
    <phoneticPr fontId="1"/>
  </si>
  <si>
    <t>①２つのサイコロを振った目の和の確率分布に基づき、分散・標準偏差を求めよ</t>
    <rPh sb="9" eb="10">
      <t>フ</t>
    </rPh>
    <rPh sb="12" eb="13">
      <t>メ</t>
    </rPh>
    <rPh sb="14" eb="15">
      <t>ワ</t>
    </rPh>
    <rPh sb="16" eb="18">
      <t>カクリツ</t>
    </rPh>
    <rPh sb="18" eb="20">
      <t>ブンプ</t>
    </rPh>
    <rPh sb="21" eb="22">
      <t>モト</t>
    </rPh>
    <rPh sb="25" eb="27">
      <t>ブンサン</t>
    </rPh>
    <rPh sb="28" eb="30">
      <t>ヒョウジュン</t>
    </rPh>
    <rPh sb="30" eb="32">
      <t>ヘンサ</t>
    </rPh>
    <rPh sb="33" eb="34">
      <t>モト</t>
    </rPh>
    <phoneticPr fontId="1"/>
  </si>
  <si>
    <t>値</t>
    <rPh sb="0" eb="1">
      <t>アタイ</t>
    </rPh>
    <phoneticPr fontId="1"/>
  </si>
  <si>
    <t>確率変数</t>
    <rPh sb="0" eb="2">
      <t>カクリツ</t>
    </rPh>
    <rPh sb="2" eb="4">
      <t>ヘンスウ</t>
    </rPh>
    <phoneticPr fontId="1"/>
  </si>
  <si>
    <t>1/36</t>
    <phoneticPr fontId="1"/>
  </si>
  <si>
    <t>2/36</t>
  </si>
  <si>
    <t>2/36</t>
    <phoneticPr fontId="1"/>
  </si>
  <si>
    <t>3/36</t>
    <phoneticPr fontId="1"/>
  </si>
  <si>
    <t>4/36</t>
    <phoneticPr fontId="1"/>
  </si>
  <si>
    <t>6/36</t>
    <phoneticPr fontId="1"/>
  </si>
  <si>
    <t>5/36</t>
    <phoneticPr fontId="1"/>
  </si>
  <si>
    <t>=2*(1/36) + 3*(2/36) + 4*(3/36) + 5*(4/36) + 6*(5/36) + 7*(6/36) + 8*(5/36) + 9*(4/36) + 10*(3/36) + 11*(2/36) + 12*(1/36)</t>
    <phoneticPr fontId="1"/>
  </si>
  <si>
    <t>=(2-7)^2 * (1/36) + (3-7)^2 * (2/36) + (4-7)^2 * (3/36) + (5-7)^2 * (4/36) + (6-7)^2 * (5/36) + (7-7)^2 * (6/36) + (8-7)^2 * (5/36) + (9-7)^2 * (4/36) + (10-7)^2 * (3/36) + (11-7)^2 * (2/36) + (12-7)^2 * (1/36)</t>
  </si>
  <si>
    <t>②サイコロの目がすべてｎ倍のサイコロ</t>
    <rPh sb="6" eb="7">
      <t>メ</t>
    </rPh>
    <rPh sb="12" eb="13">
      <t>バイ</t>
    </rPh>
    <phoneticPr fontId="1"/>
  </si>
  <si>
    <t>E(ｎX) = n * E(X) = 3.5n</t>
    <phoneticPr fontId="1"/>
  </si>
  <si>
    <t>VAR(nX) = n^2 * VAR(X) = 2.917 * n^2</t>
    <phoneticPr fontId="1"/>
  </si>
  <si>
    <t>σ(nX) = n * σ(X) = 1.708n</t>
    <phoneticPr fontId="1"/>
  </si>
  <si>
    <t>③サイコロの目がすべてn+3倍になっている</t>
    <rPh sb="6" eb="7">
      <t>メ</t>
    </rPh>
    <rPh sb="14" eb="15">
      <t>バイ</t>
    </rPh>
    <phoneticPr fontId="1"/>
  </si>
  <si>
    <t>E(　nX + 3 ) = 3 + n * E(X) = 3 + 3.5n</t>
    <phoneticPr fontId="1"/>
  </si>
  <si>
    <t>VAR(nX + 3) = n^2 * VAR(X) = 2.917 * n^2</t>
    <phoneticPr fontId="1"/>
  </si>
  <si>
    <t>σ(nX + 3) = n * σ(X) = 1.708n</t>
    <phoneticPr fontId="1"/>
  </si>
  <si>
    <t>&lt;確認問題2&gt;</t>
    <rPh sb="1" eb="3">
      <t>カクニン</t>
    </rPh>
    <rPh sb="3" eb="5">
      <t>モンダイ</t>
    </rPh>
    <phoneticPr fontId="1"/>
  </si>
  <si>
    <t>ある確率変数Xが期待値μ、標準偏差σの正規分布に従うということを</t>
    <rPh sb="2" eb="4">
      <t>カクリツ</t>
    </rPh>
    <rPh sb="4" eb="6">
      <t>ヘンスウ</t>
    </rPh>
    <rPh sb="8" eb="11">
      <t>キタイチ</t>
    </rPh>
    <rPh sb="13" eb="15">
      <t>ヒョウジュン</t>
    </rPh>
    <rPh sb="15" eb="17">
      <t>ヘンサ</t>
    </rPh>
    <rPh sb="19" eb="21">
      <t>セイキ</t>
    </rPh>
    <rPh sb="21" eb="23">
      <t>ブンプ</t>
    </rPh>
    <rPh sb="24" eb="25">
      <t>シタガ</t>
    </rPh>
    <phoneticPr fontId="1"/>
  </si>
  <si>
    <t>X　~ N(μ.σ)とあらわす</t>
    <phoneticPr fontId="1"/>
  </si>
  <si>
    <t>以下であるか</t>
    <rPh sb="0" eb="2">
      <t>イカ</t>
    </rPh>
    <phoneticPr fontId="1"/>
  </si>
  <si>
    <t>期待値μ</t>
    <rPh sb="0" eb="3">
      <t>キタイチ</t>
    </rPh>
    <phoneticPr fontId="1"/>
  </si>
  <si>
    <t>標準偏差σ</t>
    <rPh sb="0" eb="2">
      <t>ヒョウジュン</t>
    </rPh>
    <rPh sb="2" eb="4">
      <t>ヘンサ</t>
    </rPh>
    <phoneticPr fontId="1"/>
  </si>
  <si>
    <t>K</t>
    <phoneticPr fontId="1"/>
  </si>
  <si>
    <t>確率値NORMSDIST</t>
    <rPh sb="0" eb="2">
      <t>カクリツ</t>
    </rPh>
    <rPh sb="2" eb="3">
      <t>アタイ</t>
    </rPh>
    <phoneticPr fontId="1"/>
  </si>
  <si>
    <t>P(A &lt; 3.0 ) A ~ N (  0.5 , 1.0 )</t>
    <phoneticPr fontId="1"/>
  </si>
  <si>
    <t>P(A &lt; 1.6 ) A ~ N (  1.0 , 0.5 )</t>
    <phoneticPr fontId="1"/>
  </si>
  <si>
    <t>P(A &lt; 1.4 ) A ~ N (  -1.0 , 2.0 )</t>
    <phoneticPr fontId="1"/>
  </si>
  <si>
    <t>P(A &gt; -1.5 ) A ~ N (  1.0 , 1.0 )</t>
    <phoneticPr fontId="1"/>
  </si>
  <si>
    <t>3.0 = 0.5 + 1.0 × K</t>
    <phoneticPr fontId="1"/>
  </si>
  <si>
    <t>値 = 期待値　＋　標準偏差　×　K</t>
    <rPh sb="0" eb="1">
      <t>アタイ</t>
    </rPh>
    <rPh sb="4" eb="7">
      <t>キタイチ</t>
    </rPh>
    <rPh sb="10" eb="12">
      <t>ヒョウジュン</t>
    </rPh>
    <rPh sb="12" eb="14">
      <t>ヘンサ</t>
    </rPh>
    <phoneticPr fontId="1"/>
  </si>
  <si>
    <t>確率値</t>
    <rPh sb="0" eb="2">
      <t>カクリツ</t>
    </rPh>
    <rPh sb="2" eb="3">
      <t>アタイ</t>
    </rPh>
    <phoneticPr fontId="1"/>
  </si>
  <si>
    <t>NORMSDIST(K)</t>
    <phoneticPr fontId="1"/>
  </si>
  <si>
    <t>確率値（以上の場合）</t>
    <rPh sb="0" eb="2">
      <t>カクリツ</t>
    </rPh>
    <rPh sb="2" eb="3">
      <t>アタイ</t>
    </rPh>
    <rPh sb="4" eb="6">
      <t>イジョウ</t>
    </rPh>
    <rPh sb="7" eb="9">
      <t>バアイ</t>
    </rPh>
    <phoneticPr fontId="1"/>
  </si>
  <si>
    <t>NORMSDIST(K × -1)</t>
    <phoneticPr fontId="1"/>
  </si>
  <si>
    <t>5日　確認試験</t>
    <rPh sb="1" eb="2">
      <t>ヒ</t>
    </rPh>
    <rPh sb="3" eb="5">
      <t>カクニン</t>
    </rPh>
    <rPh sb="5" eb="7">
      <t>シケン</t>
    </rPh>
    <phoneticPr fontId="1"/>
  </si>
  <si>
    <t>以下のようなくじがある。</t>
    <rPh sb="0" eb="2">
      <t>イカ</t>
    </rPh>
    <phoneticPr fontId="1"/>
  </si>
  <si>
    <t>このくじを１回引いてもらえる賞金の金額を確率変数とした場合、その期待値と標準偏差の値はいくらか？</t>
    <rPh sb="6" eb="7">
      <t>カイ</t>
    </rPh>
    <rPh sb="7" eb="8">
      <t>ヒ</t>
    </rPh>
    <rPh sb="14" eb="16">
      <t>ショウキン</t>
    </rPh>
    <rPh sb="17" eb="19">
      <t>キンガク</t>
    </rPh>
    <rPh sb="20" eb="22">
      <t>カクリツ</t>
    </rPh>
    <rPh sb="22" eb="24">
      <t>ヘンスウ</t>
    </rPh>
    <rPh sb="27" eb="29">
      <t>バアイ</t>
    </rPh>
    <rPh sb="32" eb="34">
      <t>キタイ</t>
    </rPh>
    <rPh sb="34" eb="35">
      <t>アタイ</t>
    </rPh>
    <rPh sb="36" eb="38">
      <t>ヒョウジュン</t>
    </rPh>
    <rPh sb="38" eb="40">
      <t>ヘンサ</t>
    </rPh>
    <rPh sb="41" eb="42">
      <t>アタイ</t>
    </rPh>
    <phoneticPr fontId="1"/>
  </si>
  <si>
    <t>賞金</t>
    <rPh sb="0" eb="2">
      <t>ショウキン</t>
    </rPh>
    <phoneticPr fontId="1"/>
  </si>
  <si>
    <t>あたる確率</t>
    <rPh sb="3" eb="5">
      <t>カクリツ</t>
    </rPh>
    <phoneticPr fontId="1"/>
  </si>
  <si>
    <t>=A8*B8 + A9*B9 + A10*B10 + A11*B11 + A12*B12</t>
  </si>
  <si>
    <t>=(A8-D9)^2*B8 + (A9-D9)^2*B9 + (A10-D9)^2*B10 + (A11-D9)^2*B11 + (A12-D9)^2*B12</t>
  </si>
  <si>
    <t>=D12^0.5</t>
  </si>
  <si>
    <t>Xが期待値1.5、標準偏差4.0の確率変数</t>
    <rPh sb="2" eb="5">
      <t>キタイチ</t>
    </rPh>
    <rPh sb="9" eb="11">
      <t>ヒョウジュン</t>
    </rPh>
    <rPh sb="11" eb="13">
      <t>ヘンサ</t>
    </rPh>
    <rPh sb="17" eb="19">
      <t>カクリツ</t>
    </rPh>
    <rPh sb="19" eb="21">
      <t>ヘンスウ</t>
    </rPh>
    <phoneticPr fontId="1"/>
  </si>
  <si>
    <t>Y = 3.0 + 1.5X</t>
    <phoneticPr fontId="1"/>
  </si>
  <si>
    <t>E(Y) = E(3.0 + 1.5X) = 3 + 1.5*E(X) = 3 + 1.5*1.5  = 6.75</t>
    <phoneticPr fontId="1"/>
  </si>
  <si>
    <t>VAR(Y) = VAR(3.0 + 1.5X) = 1.5^2 * VAR(X) = 1.5^2 * 16 = 36</t>
    <phoneticPr fontId="1"/>
  </si>
  <si>
    <t>σ（Y) = σ（3.0 + 1.5X)  = 1.5 * σ(X) = 6</t>
    <phoneticPr fontId="1"/>
  </si>
  <si>
    <t>問3</t>
    <rPh sb="0" eb="1">
      <t>トイ</t>
    </rPh>
    <phoneticPr fontId="1"/>
  </si>
  <si>
    <t>X</t>
    <phoneticPr fontId="1"/>
  </si>
  <si>
    <t>Y</t>
    <phoneticPr fontId="1"/>
  </si>
  <si>
    <t>①P(X &lt; 4.25 ) = P( Y &lt; ？　）</t>
    <phoneticPr fontId="1"/>
  </si>
  <si>
    <t>①のX</t>
    <phoneticPr fontId="1"/>
  </si>
  <si>
    <t>①のY</t>
    <phoneticPr fontId="1"/>
  </si>
  <si>
    <t>これはつまり、両者のKが同じであるということ</t>
    <rPh sb="7" eb="9">
      <t>リョウシャ</t>
    </rPh>
    <rPh sb="12" eb="13">
      <t>オナ</t>
    </rPh>
    <phoneticPr fontId="1"/>
  </si>
  <si>
    <t>値 = 期待値μ　＋　K　×　標準偏差σ</t>
    <rPh sb="0" eb="1">
      <t>アタイ</t>
    </rPh>
    <rPh sb="4" eb="7">
      <t>キタイチ</t>
    </rPh>
    <rPh sb="15" eb="17">
      <t>ヒョウジュン</t>
    </rPh>
    <rPh sb="17" eb="19">
      <t>ヘンサ</t>
    </rPh>
    <phoneticPr fontId="1"/>
  </si>
  <si>
    <t>②P(X &gt; -1.25 ) = P( Y &gt; ？　）</t>
    <phoneticPr fontId="1"/>
  </si>
  <si>
    <t>②のX</t>
    <phoneticPr fontId="1"/>
  </si>
  <si>
    <t>②のY</t>
    <phoneticPr fontId="1"/>
  </si>
  <si>
    <t>宿題</t>
    <rPh sb="0" eb="2">
      <t>シュクダイ</t>
    </rPh>
    <phoneticPr fontId="1"/>
  </si>
  <si>
    <t>Z = 3 + 3X</t>
    <phoneticPr fontId="1"/>
  </si>
  <si>
    <t>W = 2X + 3Y</t>
    <phoneticPr fontId="1"/>
  </si>
  <si>
    <t>期待値と分散を求めよ</t>
    <rPh sb="0" eb="3">
      <t>キタイチ</t>
    </rPh>
    <rPh sb="4" eb="6">
      <t>ブンサン</t>
    </rPh>
    <rPh sb="7" eb="8">
      <t>モト</t>
    </rPh>
    <phoneticPr fontId="1"/>
  </si>
  <si>
    <t>E(Z) = E(3 + 3X) = 3 + 3E(X) = 3 + 3*1.8</t>
    <phoneticPr fontId="1"/>
  </si>
  <si>
    <t>VAR(Z) = VAR(3+3X) = 3^2 * VAR(X) = 9 * 2.8^2</t>
    <phoneticPr fontId="1"/>
  </si>
  <si>
    <t>E(W) = E(2X + 3Y) = E(2X) + E(3Y) = 2*E(X) + 3*E(Y)</t>
    <phoneticPr fontId="1"/>
  </si>
  <si>
    <r>
      <t>VAR(W) = E(W^2) + (E(w))^2 = E(4X^2 + 12</t>
    </r>
    <r>
      <rPr>
        <b/>
        <sz val="11"/>
        <color rgb="FF0000FF"/>
        <rFont val="ＭＳ Ｐゴシック"/>
        <family val="3"/>
        <charset val="128"/>
        <scheme val="minor"/>
      </rPr>
      <t>XY</t>
    </r>
    <r>
      <rPr>
        <sz val="11"/>
        <color theme="1"/>
        <rFont val="ＭＳ Ｐゴシック"/>
        <family val="2"/>
        <charset val="128"/>
        <scheme val="minor"/>
      </rPr>
      <t xml:space="preserve"> + 9Y^2) + (E(W))^2</t>
    </r>
    <phoneticPr fontId="1"/>
  </si>
  <si>
    <t>P(A &lt; 1.8 ) A ~ N (  1.0 , 1.2 )</t>
    <phoneticPr fontId="1"/>
  </si>
  <si>
    <t>P(A &lt; 2.5 ) A ~ N (  0.5 , 3.0 )</t>
    <phoneticPr fontId="1"/>
  </si>
  <si>
    <t>P(A &lt; -1.5 ) A ~ N (  -0.5 , 1.5 )</t>
    <phoneticPr fontId="1"/>
  </si>
  <si>
    <t>P(A &gt; -3.0 ) A ~ N (  1.0 , 6.0 )</t>
    <phoneticPr fontId="1"/>
  </si>
  <si>
    <t>Var</t>
    <phoneticPr fontId="1"/>
  </si>
  <si>
    <t>209/9/1</t>
    <phoneticPr fontId="1"/>
  </si>
  <si>
    <t>209/9/2</t>
  </si>
  <si>
    <t>209/9/3</t>
  </si>
  <si>
    <t>209/9/4</t>
  </si>
  <si>
    <t>209/9/5</t>
  </si>
  <si>
    <t>209/9/6</t>
  </si>
  <si>
    <t>209/9/7</t>
  </si>
  <si>
    <t>209/9/8</t>
  </si>
  <si>
    <t>209/9/9</t>
  </si>
  <si>
    <t>209/9/10</t>
  </si>
  <si>
    <t>209/9/11</t>
  </si>
  <si>
    <t>209/9/12</t>
  </si>
  <si>
    <t>209/9/13</t>
  </si>
  <si>
    <t>209/9/14</t>
  </si>
  <si>
    <t>209/9/15</t>
  </si>
  <si>
    <t>209/9/16</t>
  </si>
  <si>
    <t>209/9/17</t>
  </si>
  <si>
    <t>209/9/18</t>
  </si>
  <si>
    <t>209/9/19</t>
  </si>
  <si>
    <t>209/9/20</t>
  </si>
  <si>
    <t>期日</t>
    <rPh sb="0" eb="2">
      <t>キジツ</t>
    </rPh>
    <phoneticPr fontId="1"/>
  </si>
  <si>
    <t>株価</t>
    <rPh sb="0" eb="2">
      <t>カブカ</t>
    </rPh>
    <phoneticPr fontId="1"/>
  </si>
  <si>
    <t>リターン（変動率）</t>
    <rPh sb="5" eb="7">
      <t>ヘンドウ</t>
    </rPh>
    <rPh sb="7" eb="8">
      <t>リツ</t>
    </rPh>
    <phoneticPr fontId="1"/>
  </si>
  <si>
    <t>=100*(B133-B132)/B132</t>
  </si>
  <si>
    <t>=100*(B134-B133)/B133</t>
  </si>
  <si>
    <t>①ヒストリカルシミュレーション法</t>
    <rPh sb="15" eb="16">
      <t>ホウ</t>
    </rPh>
    <phoneticPr fontId="1"/>
  </si>
  <si>
    <t>1番目</t>
    <rPh sb="1" eb="3">
      <t>バンメ</t>
    </rPh>
    <phoneticPr fontId="1"/>
  </si>
  <si>
    <t>2番目</t>
    <rPh sb="1" eb="3">
      <t>バンメ</t>
    </rPh>
    <phoneticPr fontId="1"/>
  </si>
  <si>
    <t>3番目</t>
    <rPh sb="1" eb="3">
      <t>バンメ</t>
    </rPh>
    <phoneticPr fontId="1"/>
  </si>
  <si>
    <t>4番目</t>
    <rPh sb="1" eb="3">
      <t>バンメ</t>
    </rPh>
    <phoneticPr fontId="1"/>
  </si>
  <si>
    <t>5番目</t>
    <rPh sb="1" eb="3">
      <t>バンメ</t>
    </rPh>
    <phoneticPr fontId="1"/>
  </si>
  <si>
    <t>6番目</t>
    <rPh sb="1" eb="3">
      <t>バンメ</t>
    </rPh>
    <phoneticPr fontId="1"/>
  </si>
  <si>
    <t>7番目</t>
    <rPh sb="1" eb="3">
      <t>バンメ</t>
    </rPh>
    <phoneticPr fontId="1"/>
  </si>
  <si>
    <t>8番目</t>
    <rPh sb="1" eb="3">
      <t>バンメ</t>
    </rPh>
    <phoneticPr fontId="1"/>
  </si>
  <si>
    <t>9番目</t>
    <rPh sb="1" eb="3">
      <t>バンメ</t>
    </rPh>
    <phoneticPr fontId="1"/>
  </si>
  <si>
    <t>10番目</t>
    <rPh sb="2" eb="4">
      <t>バンメ</t>
    </rPh>
    <phoneticPr fontId="1"/>
  </si>
  <si>
    <t>仮に1000個データがあったとすると、10番目が99%目の悪い値になる</t>
    <rPh sb="0" eb="1">
      <t>カリ</t>
    </rPh>
    <rPh sb="6" eb="7">
      <t>コ</t>
    </rPh>
    <rPh sb="21" eb="23">
      <t>バンメ</t>
    </rPh>
    <rPh sb="27" eb="28">
      <t>メ</t>
    </rPh>
    <rPh sb="29" eb="30">
      <t>ワル</t>
    </rPh>
    <rPh sb="31" eb="32">
      <t>アタイ</t>
    </rPh>
    <phoneticPr fontId="1"/>
  </si>
  <si>
    <t>[1]10番目の変動率を取得</t>
    <rPh sb="5" eb="7">
      <t>バンメ</t>
    </rPh>
    <rPh sb="8" eb="11">
      <t>ヘンドウリツ</t>
    </rPh>
    <rPh sb="12" eb="14">
      <t>シュトク</t>
    </rPh>
    <phoneticPr fontId="1"/>
  </si>
  <si>
    <t>[2]信頼水準99%のVARを計算</t>
    <rPh sb="3" eb="5">
      <t>シンライ</t>
    </rPh>
    <rPh sb="5" eb="7">
      <t>スイジュン</t>
    </rPh>
    <rPh sb="15" eb="17">
      <t>ケイサン</t>
    </rPh>
    <phoneticPr fontId="1"/>
  </si>
  <si>
    <t>１億　× -0.80%</t>
    <rPh sb="1" eb="2">
      <t>オク</t>
    </rPh>
    <phoneticPr fontId="1"/>
  </si>
  <si>
    <t>②分散共分散法（デルタ法）</t>
    <rPh sb="1" eb="3">
      <t>ブンサン</t>
    </rPh>
    <rPh sb="3" eb="6">
      <t>キョウブンサン</t>
    </rPh>
    <rPh sb="6" eb="7">
      <t>ホウ</t>
    </rPh>
    <rPh sb="11" eb="12">
      <t>ホウ</t>
    </rPh>
    <phoneticPr fontId="1"/>
  </si>
  <si>
    <t>[1]リターンより分散・標準偏差を求める</t>
    <rPh sb="9" eb="11">
      <t>ブンサン</t>
    </rPh>
    <rPh sb="12" eb="14">
      <t>ヒョウジュン</t>
    </rPh>
    <rPh sb="14" eb="16">
      <t>ヘンサ</t>
    </rPh>
    <rPh sb="17" eb="18">
      <t>モト</t>
    </rPh>
    <phoneticPr fontId="1"/>
  </si>
  <si>
    <t>分散</t>
    <rPh sb="0" eb="2">
      <t>ブンサン</t>
    </rPh>
    <phoneticPr fontId="1"/>
  </si>
  <si>
    <t>標準偏差</t>
    <rPh sb="0" eb="2">
      <t>ヒョウジュン</t>
    </rPh>
    <rPh sb="2" eb="4">
      <t>ヘンサ</t>
    </rPh>
    <phoneticPr fontId="1"/>
  </si>
  <si>
    <t>[2]-2.33 × 標準偏差を求める</t>
    <rPh sb="11" eb="13">
      <t>ヒョウジュン</t>
    </rPh>
    <rPh sb="13" eb="15">
      <t>ヘンサ</t>
    </rPh>
    <rPh sb="16" eb="17">
      <t>モト</t>
    </rPh>
    <phoneticPr fontId="1"/>
  </si>
  <si>
    <t>[3]信頼水準99%のVARを計算</t>
    <rPh sb="3" eb="5">
      <t>シンライ</t>
    </rPh>
    <rPh sb="5" eb="7">
      <t>スイジュン</t>
    </rPh>
    <rPh sb="15" eb="17">
      <t>ケイサン</t>
    </rPh>
    <phoneticPr fontId="1"/>
  </si>
  <si>
    <t>1億　× -4.125/100</t>
    <rPh sb="1" eb="2">
      <t>オク</t>
    </rPh>
    <phoneticPr fontId="1"/>
  </si>
  <si>
    <t>%</t>
    <phoneticPr fontId="1"/>
  </si>
  <si>
    <t>ベーシスポイントバリューとは、金利（利回り）が0.01%動いた時の、価格変化額のこと</t>
    <rPh sb="15" eb="17">
      <t>キンリ</t>
    </rPh>
    <rPh sb="18" eb="20">
      <t>リマワ</t>
    </rPh>
    <rPh sb="28" eb="29">
      <t>ウゴ</t>
    </rPh>
    <rPh sb="31" eb="32">
      <t>トキ</t>
    </rPh>
    <rPh sb="34" eb="36">
      <t>カカク</t>
    </rPh>
    <rPh sb="36" eb="38">
      <t>ヘンカ</t>
    </rPh>
    <rPh sb="38" eb="39">
      <t>ガク</t>
    </rPh>
    <phoneticPr fontId="1"/>
  </si>
  <si>
    <t>P = 100 / (1+r)^n</t>
    <phoneticPr fontId="1"/>
  </si>
  <si>
    <t>これが、割引債の価格と金利（利回り）の関係式</t>
    <rPh sb="4" eb="7">
      <t>ワリビキサイ</t>
    </rPh>
    <rPh sb="8" eb="10">
      <t>カカク</t>
    </rPh>
    <rPh sb="11" eb="13">
      <t>キンリ</t>
    </rPh>
    <rPh sb="14" eb="16">
      <t>リマワ</t>
    </rPh>
    <rPh sb="19" eb="21">
      <t>カンケイ</t>
    </rPh>
    <rPh sb="21" eb="22">
      <t>シキ</t>
    </rPh>
    <phoneticPr fontId="1"/>
  </si>
  <si>
    <t>→　金利（利回り）が上がれば、価格は下がるということ　（まさにイールドカーブである）</t>
    <rPh sb="2" eb="4">
      <t>キンリ</t>
    </rPh>
    <rPh sb="5" eb="7">
      <t>リマワ</t>
    </rPh>
    <rPh sb="10" eb="11">
      <t>ア</t>
    </rPh>
    <rPh sb="15" eb="17">
      <t>カカク</t>
    </rPh>
    <rPh sb="18" eb="19">
      <t>サ</t>
    </rPh>
    <phoneticPr fontId="1"/>
  </si>
  <si>
    <t>期間２年、（１年複利）利回り3.0%の割引債</t>
    <rPh sb="0" eb="2">
      <t>キカン</t>
    </rPh>
    <rPh sb="3" eb="4">
      <t>ネン</t>
    </rPh>
    <rPh sb="7" eb="8">
      <t>ネン</t>
    </rPh>
    <rPh sb="8" eb="10">
      <t>フクリ</t>
    </rPh>
    <rPh sb="11" eb="13">
      <t>リマワ</t>
    </rPh>
    <rPh sb="19" eb="22">
      <t>ワリビキサイ</t>
    </rPh>
    <phoneticPr fontId="1"/>
  </si>
  <si>
    <t>①BPVを求める</t>
    <rPh sb="5" eb="6">
      <t>モト</t>
    </rPh>
    <phoneticPr fontId="1"/>
  </si>
  <si>
    <t>BPV</t>
    <phoneticPr fontId="1"/>
  </si>
  <si>
    <t>■例題</t>
    <rPh sb="1" eb="3">
      <t>レイダイ</t>
    </rPh>
    <phoneticPr fontId="1"/>
  </si>
  <si>
    <t>保有期間と信頼水準を元に、起こりうるある一定範囲の損益のなかで、最悪の損失金額をVarと呼ぶ</t>
    <rPh sb="0" eb="2">
      <t>ホユウ</t>
    </rPh>
    <rPh sb="2" eb="4">
      <t>キカン</t>
    </rPh>
    <rPh sb="5" eb="7">
      <t>シンライ</t>
    </rPh>
    <rPh sb="7" eb="9">
      <t>スイジュン</t>
    </rPh>
    <rPh sb="10" eb="11">
      <t>モト</t>
    </rPh>
    <rPh sb="13" eb="14">
      <t>オ</t>
    </rPh>
    <rPh sb="20" eb="22">
      <t>イッテイ</t>
    </rPh>
    <rPh sb="22" eb="24">
      <t>ハンイ</t>
    </rPh>
    <rPh sb="25" eb="27">
      <t>ソンエキ</t>
    </rPh>
    <rPh sb="32" eb="34">
      <t>サイアク</t>
    </rPh>
    <rPh sb="35" eb="37">
      <t>ソンシツ</t>
    </rPh>
    <rPh sb="37" eb="39">
      <t>キンガク</t>
    </rPh>
    <rPh sb="44" eb="45">
      <t>ヨ</t>
    </rPh>
    <phoneticPr fontId="1"/>
  </si>
  <si>
    <t>Basis Point Value　（BPV or PV01）</t>
    <phoneticPr fontId="1"/>
  </si>
  <si>
    <t>94.241 - 94.260</t>
    <phoneticPr fontId="1"/>
  </si>
  <si>
    <t>10Basisの変化額</t>
    <rPh sb="8" eb="10">
      <t>ヘンカ</t>
    </rPh>
    <rPh sb="10" eb="11">
      <t>ガク</t>
    </rPh>
    <phoneticPr fontId="1"/>
  </si>
  <si>
    <t>BPV ×　10</t>
    <phoneticPr fontId="1"/>
  </si>
  <si>
    <t>※近似値</t>
    <rPh sb="1" eb="4">
      <t>キンジチ</t>
    </rPh>
    <phoneticPr fontId="1"/>
  </si>
  <si>
    <t>期間１０年、（１年複利）利回り3.0%の割引債</t>
    <rPh sb="0" eb="2">
      <t>キカン</t>
    </rPh>
    <rPh sb="4" eb="5">
      <t>ネン</t>
    </rPh>
    <rPh sb="8" eb="9">
      <t>ネン</t>
    </rPh>
    <rPh sb="9" eb="11">
      <t>フクリ</t>
    </rPh>
    <rPh sb="12" eb="14">
      <t>リマワ</t>
    </rPh>
    <rPh sb="20" eb="23">
      <t>ワリビキサイ</t>
    </rPh>
    <phoneticPr fontId="1"/>
  </si>
  <si>
    <t>74.337-74.409</t>
    <phoneticPr fontId="1"/>
  </si>
  <si>
    <t>※重要</t>
    <rPh sb="1" eb="3">
      <t>ジュウヨウ</t>
    </rPh>
    <phoneticPr fontId="1"/>
  </si>
  <si>
    <t>期間が長くなると、その分価格の変化額は大きくなる</t>
    <rPh sb="0" eb="2">
      <t>キカン</t>
    </rPh>
    <rPh sb="3" eb="4">
      <t>ナガ</t>
    </rPh>
    <rPh sb="11" eb="12">
      <t>ブン</t>
    </rPh>
    <rPh sb="12" eb="14">
      <t>カカク</t>
    </rPh>
    <rPh sb="15" eb="17">
      <t>ヘンカ</t>
    </rPh>
    <rPh sb="17" eb="18">
      <t>ガク</t>
    </rPh>
    <rPh sb="19" eb="20">
      <t>オオ</t>
    </rPh>
    <phoneticPr fontId="1"/>
  </si>
  <si>
    <t>つまり、BPVの値も大きい</t>
    <rPh sb="8" eb="9">
      <t>アタイ</t>
    </rPh>
    <rPh sb="10" eb="11">
      <t>オオ</t>
    </rPh>
    <phoneticPr fontId="1"/>
  </si>
  <si>
    <t>これは債権を考えるときに非常に重要な考えになる</t>
    <rPh sb="3" eb="5">
      <t>サイケン</t>
    </rPh>
    <rPh sb="6" eb="7">
      <t>カンガ</t>
    </rPh>
    <rPh sb="12" eb="14">
      <t>ヒジョウ</t>
    </rPh>
    <rPh sb="15" eb="17">
      <t>ジュウヨウ</t>
    </rPh>
    <rPh sb="18" eb="19">
      <t>カンガ</t>
    </rPh>
    <phoneticPr fontId="1"/>
  </si>
  <si>
    <t>デュレーション</t>
    <phoneticPr fontId="1"/>
  </si>
  <si>
    <t>ベーシスポイントバリューと同様に、イールドカーブ（債権の利回り・価格曲線）に、現状の利回り時点で引いた接線の傾きのこと</t>
    <rPh sb="13" eb="15">
      <t>ドウヨウ</t>
    </rPh>
    <rPh sb="25" eb="27">
      <t>サイケン</t>
    </rPh>
    <rPh sb="28" eb="30">
      <t>リマワ</t>
    </rPh>
    <rPh sb="32" eb="34">
      <t>カカク</t>
    </rPh>
    <rPh sb="34" eb="36">
      <t>キョクセン</t>
    </rPh>
    <rPh sb="39" eb="41">
      <t>ゲンジョウ</t>
    </rPh>
    <rPh sb="42" eb="44">
      <t>リマワ</t>
    </rPh>
    <rPh sb="45" eb="47">
      <t>ジテン</t>
    </rPh>
    <rPh sb="48" eb="49">
      <t>ヒ</t>
    </rPh>
    <rPh sb="51" eb="53">
      <t>セッセン</t>
    </rPh>
    <rPh sb="54" eb="55">
      <t>カタム</t>
    </rPh>
    <phoneticPr fontId="1"/>
  </si>
  <si>
    <t>■BPVとディレーションの関係（大体同じような意味と捉えて問題ない）</t>
    <rPh sb="13" eb="15">
      <t>カンケイ</t>
    </rPh>
    <rPh sb="16" eb="18">
      <t>ダイタイ</t>
    </rPh>
    <rPh sb="18" eb="19">
      <t>オンナ</t>
    </rPh>
    <rPh sb="23" eb="25">
      <t>イミ</t>
    </rPh>
    <rPh sb="26" eb="27">
      <t>トラ</t>
    </rPh>
    <rPh sb="29" eb="31">
      <t>モンダイ</t>
    </rPh>
    <phoneticPr fontId="1"/>
  </si>
  <si>
    <t>■利回りと債権の価格の関係式</t>
    <rPh sb="1" eb="3">
      <t>リマワ</t>
    </rPh>
    <rPh sb="5" eb="7">
      <t>サイケン</t>
    </rPh>
    <rPh sb="8" eb="10">
      <t>カカク</t>
    </rPh>
    <rPh sb="11" eb="13">
      <t>カンケイ</t>
    </rPh>
    <rPh sb="13" eb="14">
      <t>シキ</t>
    </rPh>
    <phoneticPr fontId="1"/>
  </si>
  <si>
    <t>D = -n × 100 / (1 + r ) ^n+1</t>
    <phoneticPr fontId="1"/>
  </si>
  <si>
    <t>[1] 割引債の１年払いのディレーションの公式</t>
    <rPh sb="4" eb="7">
      <t>ワリビキサイ</t>
    </rPh>
    <rPh sb="9" eb="10">
      <t>ネン</t>
    </rPh>
    <rPh sb="10" eb="11">
      <t>ハラ</t>
    </rPh>
    <rPh sb="21" eb="23">
      <t>コウシキ</t>
    </rPh>
    <phoneticPr fontId="1"/>
  </si>
  <si>
    <t>[2]割引債の半年払いのディレーションの公式</t>
    <rPh sb="3" eb="6">
      <t>ワリビキサイ</t>
    </rPh>
    <rPh sb="7" eb="9">
      <t>ハントシ</t>
    </rPh>
    <rPh sb="9" eb="10">
      <t>ハラ</t>
    </rPh>
    <rPh sb="20" eb="22">
      <t>コウシキ</t>
    </rPh>
    <phoneticPr fontId="1"/>
  </si>
  <si>
    <t>D = -n × 100 / (1 + r/2 ) ^2n+1</t>
    <phoneticPr fontId="1"/>
  </si>
  <si>
    <t>[3]利付債（クーポン１年払い）のデュレーションの公式</t>
    <rPh sb="3" eb="5">
      <t>リツキ</t>
    </rPh>
    <rPh sb="5" eb="6">
      <t>サイ</t>
    </rPh>
    <rPh sb="12" eb="13">
      <t>ネン</t>
    </rPh>
    <rPh sb="13" eb="14">
      <t>ハラ</t>
    </rPh>
    <rPh sb="25" eb="27">
      <t>コウシキ</t>
    </rPh>
    <phoneticPr fontId="1"/>
  </si>
  <si>
    <t>D = -1 ×C/(1+r)^2 + -2 ×C/(1+r)^3 + ・・・ + -n × ( C + 100 ) / (1+r)^n+1</t>
    <phoneticPr fontId="1"/>
  </si>
  <si>
    <t>[4]利付債（クーポン１年払い）のデュレーションの公式</t>
    <rPh sb="3" eb="5">
      <t>リツキ</t>
    </rPh>
    <rPh sb="5" eb="6">
      <t>サイ</t>
    </rPh>
    <rPh sb="12" eb="13">
      <t>ネン</t>
    </rPh>
    <rPh sb="13" eb="14">
      <t>ハラ</t>
    </rPh>
    <rPh sb="25" eb="27">
      <t>コウシキ</t>
    </rPh>
    <phoneticPr fontId="1"/>
  </si>
  <si>
    <t>D = -0.5 ×(C/2) / (1+r/2)^2 + -1 ×(C/2) /(1+r/2)^3 + ・・・ + -n × ( C/2 + 100 ) / (1+r/2)^2n+1</t>
    <phoneticPr fontId="1"/>
  </si>
  <si>
    <t>修正デュレーション</t>
    <rPh sb="0" eb="2">
      <t>シュウセイ</t>
    </rPh>
    <phoneticPr fontId="1"/>
  </si>
  <si>
    <t>修正デュレーションは、一定の利回り変化があった場合の価格変動率（額ではない）を、近似的に表現するための概念</t>
    <rPh sb="0" eb="2">
      <t>シュウセイ</t>
    </rPh>
    <rPh sb="11" eb="13">
      <t>イッテイ</t>
    </rPh>
    <rPh sb="14" eb="16">
      <t>リマワ</t>
    </rPh>
    <rPh sb="17" eb="19">
      <t>ヘンカ</t>
    </rPh>
    <rPh sb="23" eb="25">
      <t>バアイ</t>
    </rPh>
    <rPh sb="26" eb="28">
      <t>カカク</t>
    </rPh>
    <rPh sb="28" eb="30">
      <t>ヘンドウ</t>
    </rPh>
    <rPh sb="30" eb="31">
      <t>リツ</t>
    </rPh>
    <rPh sb="32" eb="33">
      <t>ガク</t>
    </rPh>
    <rPh sb="40" eb="43">
      <t>キンジテキ</t>
    </rPh>
    <rPh sb="44" eb="46">
      <t>ヒョウゲン</t>
    </rPh>
    <rPh sb="51" eb="53">
      <t>ガイネン</t>
    </rPh>
    <phoneticPr fontId="1"/>
  </si>
  <si>
    <t>Dmod = - D / P</t>
    <phoneticPr fontId="1"/>
  </si>
  <si>
    <r>
      <t xml:space="preserve">価格変化 = </t>
    </r>
    <r>
      <rPr>
        <u/>
        <sz val="18"/>
        <color rgb="FFFF0000"/>
        <rFont val="ＭＳ Ｐゴシック"/>
        <family val="3"/>
        <charset val="128"/>
        <scheme val="minor"/>
      </rPr>
      <t>利回り変化　×　ディレーション</t>
    </r>
    <r>
      <rPr>
        <sz val="18"/>
        <color rgb="FFFF0000"/>
        <rFont val="ＭＳ Ｐゴシック"/>
        <family val="3"/>
        <charset val="128"/>
        <scheme val="minor"/>
      </rPr>
      <t>　=　</t>
    </r>
    <r>
      <rPr>
        <u/>
        <sz val="18"/>
        <color rgb="FFFF0000"/>
        <rFont val="ＭＳ Ｐゴシック"/>
        <family val="3"/>
        <charset val="128"/>
        <scheme val="minor"/>
      </rPr>
      <t>α　×　0.01 ×　ディレーション</t>
    </r>
    <r>
      <rPr>
        <sz val="18"/>
        <color rgb="FFFF0000"/>
        <rFont val="ＭＳ Ｐゴシック"/>
        <family val="3"/>
        <charset val="128"/>
        <scheme val="minor"/>
      </rPr>
      <t>　＝　</t>
    </r>
    <r>
      <rPr>
        <u/>
        <sz val="18"/>
        <color rgb="FFFF0000"/>
        <rFont val="ＭＳ Ｐゴシック"/>
        <family val="3"/>
        <charset val="128"/>
        <scheme val="minor"/>
      </rPr>
      <t>α　×　BPV</t>
    </r>
    <rPh sb="0" eb="2">
      <t>カカク</t>
    </rPh>
    <rPh sb="2" eb="4">
      <t>ヘンカ</t>
    </rPh>
    <rPh sb="7" eb="9">
      <t>リマワ</t>
    </rPh>
    <rPh sb="10" eb="12">
      <t>ヘンカ</t>
    </rPh>
    <phoneticPr fontId="1"/>
  </si>
  <si>
    <t>■価格変化率</t>
    <rPh sb="1" eb="3">
      <t>カカク</t>
    </rPh>
    <rPh sb="3" eb="5">
      <t>ヘンカ</t>
    </rPh>
    <rPh sb="5" eb="6">
      <t>リツ</t>
    </rPh>
    <phoneticPr fontId="1"/>
  </si>
  <si>
    <r>
      <t xml:space="preserve">価格変化率 = </t>
    </r>
    <r>
      <rPr>
        <u/>
        <sz val="18"/>
        <color rgb="FFFF0000"/>
        <rFont val="ＭＳ Ｐゴシック"/>
        <family val="3"/>
        <charset val="128"/>
        <scheme val="minor"/>
      </rPr>
      <t>-1 ×　利回り変化　×　修正デュレーション</t>
    </r>
    <rPh sb="0" eb="2">
      <t>カカク</t>
    </rPh>
    <rPh sb="2" eb="4">
      <t>ヘンカ</t>
    </rPh>
    <rPh sb="4" eb="5">
      <t>リツ</t>
    </rPh>
    <rPh sb="13" eb="15">
      <t>リマワ</t>
    </rPh>
    <rPh sb="16" eb="18">
      <t>ヘンカ</t>
    </rPh>
    <rPh sb="21" eb="23">
      <t>シュウセイ</t>
    </rPh>
    <phoneticPr fontId="1"/>
  </si>
  <si>
    <t>マコーレーデュレーション</t>
    <phoneticPr fontId="1"/>
  </si>
  <si>
    <t>修正デュレーションに（1 + r )をかけたもの。債権の平均回収期間を示す。</t>
    <rPh sb="0" eb="2">
      <t>シュウセイ</t>
    </rPh>
    <rPh sb="25" eb="27">
      <t>サイケン</t>
    </rPh>
    <rPh sb="28" eb="30">
      <t>ヘイキン</t>
    </rPh>
    <rPh sb="30" eb="32">
      <t>カイシュウ</t>
    </rPh>
    <rPh sb="32" eb="34">
      <t>キカン</t>
    </rPh>
    <rPh sb="35" eb="36">
      <t>シメ</t>
    </rPh>
    <phoneticPr fontId="1"/>
  </si>
  <si>
    <t>Dmac = ( 1 + r )  ×　Dmod</t>
    <phoneticPr fontId="1"/>
  </si>
  <si>
    <t>Dmacは、債権投資の平均回収期間という意味合いから、単位として年が付与されることが多い。</t>
    <rPh sb="6" eb="8">
      <t>サイケン</t>
    </rPh>
    <rPh sb="8" eb="10">
      <t>トウシ</t>
    </rPh>
    <rPh sb="11" eb="13">
      <t>ヘイキン</t>
    </rPh>
    <rPh sb="13" eb="15">
      <t>カイシュウ</t>
    </rPh>
    <rPh sb="15" eb="17">
      <t>キカン</t>
    </rPh>
    <rPh sb="20" eb="23">
      <t>イミア</t>
    </rPh>
    <rPh sb="27" eb="29">
      <t>タンイ</t>
    </rPh>
    <rPh sb="32" eb="33">
      <t>ネン</t>
    </rPh>
    <rPh sb="34" eb="36">
      <t>フヨ</t>
    </rPh>
    <rPh sb="42" eb="43">
      <t>オオ</t>
    </rPh>
    <phoneticPr fontId="1"/>
  </si>
  <si>
    <t>また、DmacとDmodは一般に近い値をとり、割引債の場合は一定の利回りの価格変化率の大きさは、</t>
    <rPh sb="13" eb="15">
      <t>イッパン</t>
    </rPh>
    <rPh sb="16" eb="17">
      <t>チカ</t>
    </rPh>
    <rPh sb="18" eb="19">
      <t>アタイ</t>
    </rPh>
    <rPh sb="23" eb="26">
      <t>ワリビキサイ</t>
    </rPh>
    <rPh sb="27" eb="29">
      <t>バアイ</t>
    </rPh>
    <rPh sb="30" eb="32">
      <t>イッテイ</t>
    </rPh>
    <rPh sb="33" eb="35">
      <t>リマワ</t>
    </rPh>
    <rPh sb="37" eb="39">
      <t>カカク</t>
    </rPh>
    <rPh sb="39" eb="41">
      <t>ヘンカ</t>
    </rPh>
    <rPh sb="41" eb="42">
      <t>リツ</t>
    </rPh>
    <rPh sb="43" eb="44">
      <t>オオ</t>
    </rPh>
    <phoneticPr fontId="1"/>
  </si>
  <si>
    <t>おおむねその償還年限に比例することが分かっている。</t>
    <rPh sb="6" eb="8">
      <t>ショウカン</t>
    </rPh>
    <rPh sb="8" eb="10">
      <t>ネンゲン</t>
    </rPh>
    <rPh sb="11" eb="13">
      <t>ヒレイ</t>
    </rPh>
    <rPh sb="18" eb="19">
      <t>ワ</t>
    </rPh>
    <phoneticPr fontId="1"/>
  </si>
  <si>
    <t>コンベクシティ</t>
    <phoneticPr fontId="1"/>
  </si>
  <si>
    <t>D（デュレーション）を、さらにもう一回微分したもの</t>
    <rPh sb="17" eb="19">
      <t>イッカイ</t>
    </rPh>
    <rPh sb="19" eb="21">
      <t>ビブン</t>
    </rPh>
    <phoneticPr fontId="1"/>
  </si>
  <si>
    <t>[2] コンベクシティ</t>
    <phoneticPr fontId="1"/>
  </si>
  <si>
    <t>P' = D = -n × 100 / (1 + r ) ^n+1</t>
    <phoneticPr fontId="1"/>
  </si>
  <si>
    <t>P'' = D' = n × ( n + 1 ) × 100 / ( 1 + r ) ^ n+2</t>
    <phoneticPr fontId="1"/>
  </si>
  <si>
    <t>テーラー展開を利用していて、コンベクシティを加えることでより近似的に近い価格変化額を求めることができる。</t>
    <rPh sb="4" eb="6">
      <t>テンカイ</t>
    </rPh>
    <rPh sb="7" eb="9">
      <t>リヨウ</t>
    </rPh>
    <rPh sb="22" eb="23">
      <t>クワ</t>
    </rPh>
    <rPh sb="30" eb="33">
      <t>キンジテキ</t>
    </rPh>
    <rPh sb="34" eb="35">
      <t>チカ</t>
    </rPh>
    <rPh sb="36" eb="38">
      <t>カカク</t>
    </rPh>
    <rPh sb="38" eb="40">
      <t>ヘンカ</t>
    </rPh>
    <rPh sb="40" eb="41">
      <t>ガク</t>
    </rPh>
    <rPh sb="42" eb="43">
      <t>モト</t>
    </rPh>
    <phoneticPr fontId="1"/>
  </si>
  <si>
    <t>ΔP = Δr　(利回り変化）　× P´（デュレーション）　＋　1/2 × Δr ^2 ×　P''(コンベクシティ)</t>
    <rPh sb="9" eb="11">
      <t>リマワ</t>
    </rPh>
    <rPh sb="12" eb="14">
      <t>ヘンカ</t>
    </rPh>
    <phoneticPr fontId="1"/>
  </si>
  <si>
    <t>演習４</t>
    <rPh sb="0" eb="2">
      <t>エンシュウ</t>
    </rPh>
    <phoneticPr fontId="1"/>
  </si>
  <si>
    <t>割引債１</t>
    <rPh sb="0" eb="3">
      <t>ワリビキサイ</t>
    </rPh>
    <phoneticPr fontId="1"/>
  </si>
  <si>
    <t>期間２年　、現在の利回り３％　、　１年複利ベース</t>
    <rPh sb="0" eb="2">
      <t>キカン</t>
    </rPh>
    <rPh sb="3" eb="4">
      <t>ネン</t>
    </rPh>
    <rPh sb="6" eb="8">
      <t>ゲンザイ</t>
    </rPh>
    <rPh sb="9" eb="11">
      <t>リマワ</t>
    </rPh>
    <rPh sb="18" eb="19">
      <t>ネン</t>
    </rPh>
    <rPh sb="19" eb="21">
      <t>フクリ</t>
    </rPh>
    <phoneticPr fontId="1"/>
  </si>
  <si>
    <t>割引債２</t>
    <rPh sb="0" eb="3">
      <t>ワリビキサイ</t>
    </rPh>
    <phoneticPr fontId="1"/>
  </si>
  <si>
    <t>期間４年　、現在の利回り３％　、　１年複利ベース</t>
    <rPh sb="0" eb="2">
      <t>キカン</t>
    </rPh>
    <rPh sb="3" eb="4">
      <t>ネン</t>
    </rPh>
    <rPh sb="6" eb="8">
      <t>ゲンザイ</t>
    </rPh>
    <rPh sb="9" eb="11">
      <t>リマワ</t>
    </rPh>
    <rPh sb="18" eb="19">
      <t>ネン</t>
    </rPh>
    <rPh sb="19" eb="21">
      <t>フクリ</t>
    </rPh>
    <phoneticPr fontId="1"/>
  </si>
  <si>
    <t>期間</t>
    <rPh sb="0" eb="2">
      <t>キカン</t>
    </rPh>
    <phoneticPr fontId="1"/>
  </si>
  <si>
    <t>利回り</t>
    <rPh sb="0" eb="2">
      <t>リマワ</t>
    </rPh>
    <phoneticPr fontId="1"/>
  </si>
  <si>
    <t>Mデュレーション</t>
    <phoneticPr fontId="1"/>
  </si>
  <si>
    <t>利回り変化</t>
    <rPh sb="0" eb="2">
      <t>リマワ</t>
    </rPh>
    <rPh sb="3" eb="5">
      <t>ヘンカ</t>
    </rPh>
    <phoneticPr fontId="1"/>
  </si>
  <si>
    <t>変化後　価格</t>
    <rPh sb="0" eb="2">
      <t>ヘンカ</t>
    </rPh>
    <rPh sb="2" eb="3">
      <t>ゴ</t>
    </rPh>
    <rPh sb="4" eb="6">
      <t>カカク</t>
    </rPh>
    <phoneticPr fontId="1"/>
  </si>
  <si>
    <t>オリジナル価格</t>
    <rPh sb="5" eb="7">
      <t>カカク</t>
    </rPh>
    <phoneticPr fontId="1"/>
  </si>
  <si>
    <t>近似価格変化</t>
    <rPh sb="0" eb="2">
      <t>キンジ</t>
    </rPh>
    <rPh sb="2" eb="4">
      <t>カカク</t>
    </rPh>
    <rPh sb="4" eb="6">
      <t>ヘンカ</t>
    </rPh>
    <phoneticPr fontId="1"/>
  </si>
  <si>
    <t>1年複利ベース</t>
    <rPh sb="1" eb="2">
      <t>ネン</t>
    </rPh>
    <rPh sb="2" eb="4">
      <t>フクリ</t>
    </rPh>
    <phoneticPr fontId="1"/>
  </si>
  <si>
    <t>実際の変化額</t>
    <rPh sb="0" eb="2">
      <t>ジッサイ</t>
    </rPh>
    <rPh sb="3" eb="5">
      <t>ヘンカ</t>
    </rPh>
    <rPh sb="5" eb="6">
      <t>ガク</t>
    </rPh>
    <phoneticPr fontId="1"/>
  </si>
  <si>
    <t>ここを一切求めずに計算するのがディレーションやコンベクション。なので、この値が呼ばれることはない。</t>
    <rPh sb="3" eb="5">
      <t>イッサイ</t>
    </rPh>
    <rPh sb="5" eb="6">
      <t>モト</t>
    </rPh>
    <rPh sb="9" eb="11">
      <t>ケイサン</t>
    </rPh>
    <rPh sb="37" eb="38">
      <t>アタイ</t>
    </rPh>
    <rPh sb="39" eb="40">
      <t>ヨ</t>
    </rPh>
    <phoneticPr fontId="1"/>
  </si>
  <si>
    <t>Dを使った価格変化額</t>
    <rPh sb="2" eb="3">
      <t>ツカ</t>
    </rPh>
    <rPh sb="5" eb="7">
      <t>カカク</t>
    </rPh>
    <rPh sb="7" eb="9">
      <t>ヘンカ</t>
    </rPh>
    <rPh sb="9" eb="10">
      <t>ガク</t>
    </rPh>
    <phoneticPr fontId="1"/>
  </si>
  <si>
    <t>Dmodを使った変化率</t>
    <rPh sb="5" eb="6">
      <t>ツカ</t>
    </rPh>
    <rPh sb="8" eb="10">
      <t>ヘンカ</t>
    </rPh>
    <rPh sb="10" eb="11">
      <t>リツ</t>
    </rPh>
    <phoneticPr fontId="1"/>
  </si>
  <si>
    <t>期間３年　、現在の利回り2.2％　、　１年複利ベース</t>
    <rPh sb="0" eb="2">
      <t>キカン</t>
    </rPh>
    <rPh sb="3" eb="4">
      <t>ネン</t>
    </rPh>
    <rPh sb="6" eb="8">
      <t>ゲンザイ</t>
    </rPh>
    <rPh sb="9" eb="11">
      <t>リマワ</t>
    </rPh>
    <rPh sb="20" eb="21">
      <t>ネン</t>
    </rPh>
    <rPh sb="21" eb="23">
      <t>フクリ</t>
    </rPh>
    <phoneticPr fontId="1"/>
  </si>
  <si>
    <t>問３ デュレーションを使った価格変化額</t>
    <rPh sb="0" eb="1">
      <t>トイ</t>
    </rPh>
    <rPh sb="11" eb="12">
      <t>ツカ</t>
    </rPh>
    <rPh sb="14" eb="16">
      <t>カカク</t>
    </rPh>
    <rPh sb="16" eb="18">
      <t>ヘンカ</t>
    </rPh>
    <rPh sb="18" eb="19">
      <t>ガク</t>
    </rPh>
    <phoneticPr fontId="1"/>
  </si>
  <si>
    <t>ポートフォリオのVar(　共分散　・　相関係数　・　ポートフォリオの標準偏差　）</t>
    <rPh sb="13" eb="16">
      <t>キョウブンサン</t>
    </rPh>
    <rPh sb="19" eb="21">
      <t>ソウカン</t>
    </rPh>
    <rPh sb="21" eb="23">
      <t>ケイスウ</t>
    </rPh>
    <rPh sb="34" eb="36">
      <t>ヒョウジュン</t>
    </rPh>
    <rPh sb="36" eb="38">
      <t>ヘンサ</t>
    </rPh>
    <phoneticPr fontId="1"/>
  </si>
  <si>
    <t>ポートフォリオのリターンは、投資時点での各資産の時価比率にそれぞれのリターンを掛け合わせれば求めることが出来る。</t>
    <rPh sb="14" eb="16">
      <t>トウシ</t>
    </rPh>
    <rPh sb="16" eb="18">
      <t>ジテン</t>
    </rPh>
    <rPh sb="20" eb="23">
      <t>カクシサン</t>
    </rPh>
    <rPh sb="24" eb="26">
      <t>ジカ</t>
    </rPh>
    <rPh sb="26" eb="28">
      <t>ヒリツ</t>
    </rPh>
    <rPh sb="39" eb="40">
      <t>カ</t>
    </rPh>
    <rPh sb="41" eb="42">
      <t>ア</t>
    </rPh>
    <rPh sb="46" eb="47">
      <t>モト</t>
    </rPh>
    <rPh sb="52" eb="54">
      <t>デキ</t>
    </rPh>
    <phoneticPr fontId="1"/>
  </si>
  <si>
    <t>ソニー</t>
    <phoneticPr fontId="1"/>
  </si>
  <si>
    <t>トヨタ</t>
    <phoneticPr fontId="1"/>
  </si>
  <si>
    <t>JR東日本</t>
    <rPh sb="2" eb="3">
      <t>ヒガシ</t>
    </rPh>
    <rPh sb="3" eb="5">
      <t>ニホン</t>
    </rPh>
    <phoneticPr fontId="1"/>
  </si>
  <si>
    <t>割合</t>
    <rPh sb="0" eb="2">
      <t>ワリアイ</t>
    </rPh>
    <phoneticPr fontId="1"/>
  </si>
  <si>
    <t>リターン</t>
    <phoneticPr fontId="1"/>
  </si>
  <si>
    <t>Rs</t>
    <phoneticPr fontId="1"/>
  </si>
  <si>
    <t>Rt</t>
    <phoneticPr fontId="1"/>
  </si>
  <si>
    <t>Rj</t>
    <phoneticPr fontId="1"/>
  </si>
  <si>
    <t>ポートフォリオのリターン</t>
    <phoneticPr fontId="1"/>
  </si>
  <si>
    <t>Rp = 0.3 × Rs  +  0.5 × Rt  +  0.2 × Rj</t>
    <phoneticPr fontId="1"/>
  </si>
  <si>
    <t>日次リターンが期待値0の正規分布に従うという前提をおけば、Varは以下で求めることが出来る。</t>
    <rPh sb="0" eb="2">
      <t>ニチジ</t>
    </rPh>
    <rPh sb="7" eb="10">
      <t>キタイチ</t>
    </rPh>
    <rPh sb="12" eb="14">
      <t>セイキ</t>
    </rPh>
    <rPh sb="14" eb="16">
      <t>ブンプ</t>
    </rPh>
    <rPh sb="17" eb="18">
      <t>シタガ</t>
    </rPh>
    <rPh sb="22" eb="24">
      <t>ゼンテイ</t>
    </rPh>
    <rPh sb="33" eb="35">
      <t>イカ</t>
    </rPh>
    <rPh sb="36" eb="37">
      <t>モト</t>
    </rPh>
    <rPh sb="42" eb="44">
      <t>デキ</t>
    </rPh>
    <phoneticPr fontId="1"/>
  </si>
  <si>
    <t>正規分布の上から99%の値</t>
    <rPh sb="0" eb="2">
      <t>セイキ</t>
    </rPh>
    <rPh sb="2" eb="4">
      <t>ブンプ</t>
    </rPh>
    <rPh sb="5" eb="6">
      <t>ウエ</t>
    </rPh>
    <rPh sb="12" eb="13">
      <t>アタイ</t>
    </rPh>
    <phoneticPr fontId="1"/>
  </si>
  <si>
    <t>期待値 - 2.33 × 標準偏差 = 0 - 2.33 ×　標準偏差</t>
    <rPh sb="0" eb="2">
      <t>キタイ</t>
    </rPh>
    <rPh sb="2" eb="3">
      <t>アタイ</t>
    </rPh>
    <rPh sb="13" eb="15">
      <t>ヒョウジュン</t>
    </rPh>
    <rPh sb="15" eb="17">
      <t>ヘンサ</t>
    </rPh>
    <rPh sb="31" eb="35">
      <t>ヒョウジュンヘンサ</t>
    </rPh>
    <phoneticPr fontId="1"/>
  </si>
  <si>
    <t>E ( X + Y ) = E(X) + E(Y)</t>
    <phoneticPr fontId="1"/>
  </si>
  <si>
    <t>Var( X + Y ) ≠ Var(X) + Var(Y)</t>
    <phoneticPr fontId="1"/>
  </si>
  <si>
    <t>→これが成り立つのは、相関係数が0の場合のみ</t>
    <rPh sb="4" eb="5">
      <t>ナ</t>
    </rPh>
    <rPh sb="6" eb="7">
      <t>タ</t>
    </rPh>
    <rPh sb="11" eb="13">
      <t>ソウカン</t>
    </rPh>
    <rPh sb="13" eb="15">
      <t>ケイスウ</t>
    </rPh>
    <rPh sb="18" eb="20">
      <t>バアイ</t>
    </rPh>
    <phoneticPr fontId="1"/>
  </si>
  <si>
    <t>相関係数の求め方</t>
    <rPh sb="0" eb="2">
      <t>ソウカン</t>
    </rPh>
    <rPh sb="2" eb="4">
      <t>ケイスウ</t>
    </rPh>
    <rPh sb="5" eb="6">
      <t>モト</t>
    </rPh>
    <rPh sb="7" eb="8">
      <t>カタ</t>
    </rPh>
    <phoneticPr fontId="1"/>
  </si>
  <si>
    <t>CORREL( sum Xのリターン　： sum Yのリターン）</t>
    <phoneticPr fontId="1"/>
  </si>
  <si>
    <t>共分散（covariance）</t>
    <rPh sb="0" eb="3">
      <t>キョウブンサン</t>
    </rPh>
    <phoneticPr fontId="1"/>
  </si>
  <si>
    <t>XとYの共分散 = XとYの相関係数　×　Xの標準偏差　×　Yの標準偏差</t>
    <rPh sb="4" eb="7">
      <t>キョウブンサン</t>
    </rPh>
    <rPh sb="14" eb="16">
      <t>ソウカン</t>
    </rPh>
    <rPh sb="16" eb="18">
      <t>ケイスウ</t>
    </rPh>
    <rPh sb="23" eb="25">
      <t>ヒョウジュン</t>
    </rPh>
    <rPh sb="25" eb="27">
      <t>ヘンサ</t>
    </rPh>
    <rPh sb="32" eb="34">
      <t>ヒョウジュン</t>
    </rPh>
    <rPh sb="34" eb="36">
      <t>ヘンサ</t>
    </rPh>
    <phoneticPr fontId="1"/>
  </si>
  <si>
    <t>演習７</t>
    <rPh sb="0" eb="2">
      <t>エンシュウ</t>
    </rPh>
    <phoneticPr fontId="1"/>
  </si>
  <si>
    <t>ソニー、トヨタ、JR東日本の日次リターンのデータから、それぞれの分散・共分散の値を算出し、それに基づいてポートフォリオのリターンの分散・標準偏差を算出せよ</t>
    <rPh sb="10" eb="11">
      <t>ヒガシ</t>
    </rPh>
    <rPh sb="11" eb="13">
      <t>ニホン</t>
    </rPh>
    <rPh sb="14" eb="16">
      <t>ニチジ</t>
    </rPh>
    <rPh sb="32" eb="34">
      <t>ブンサン</t>
    </rPh>
    <rPh sb="35" eb="38">
      <t>キョウブンサン</t>
    </rPh>
    <rPh sb="39" eb="40">
      <t>アタイ</t>
    </rPh>
    <rPh sb="41" eb="43">
      <t>サンシュツ</t>
    </rPh>
    <rPh sb="48" eb="49">
      <t>モト</t>
    </rPh>
    <rPh sb="65" eb="67">
      <t>ブンサン</t>
    </rPh>
    <rPh sb="68" eb="70">
      <t>ヒョウジュン</t>
    </rPh>
    <rPh sb="70" eb="72">
      <t>ヘンサ</t>
    </rPh>
    <rPh sb="73" eb="75">
      <t>サンシュツ</t>
    </rPh>
    <phoneticPr fontId="1"/>
  </si>
  <si>
    <t>①ポートフォリオの分散・標準偏差を求める問題</t>
    <rPh sb="9" eb="11">
      <t>ブンサン</t>
    </rPh>
    <rPh sb="12" eb="14">
      <t>ヒョウジュン</t>
    </rPh>
    <rPh sb="14" eb="16">
      <t>ヘンサ</t>
    </rPh>
    <rPh sb="17" eb="18">
      <t>モト</t>
    </rPh>
    <rPh sb="20" eb="22">
      <t>モンダイ</t>
    </rPh>
    <phoneticPr fontId="1"/>
  </si>
  <si>
    <t>株式の日次リターンは期待値ゼロの正規分布に従うと仮定すると、ソニー３億・トヨタ５億・JR東日本２億に投資するポートフォリオの「保有期間１日、信頼水準99%」のVaR値を計算せよ</t>
  </si>
  <si>
    <t>②ポートフォリオのVaR値</t>
    <rPh sb="12" eb="13">
      <t>アタイ</t>
    </rPh>
    <phoneticPr fontId="1"/>
  </si>
  <si>
    <t>Var(aX + bY ) = a^2σx^2 + b^2σy^2 + 2 ab ρ σx σy</t>
    <phoneticPr fontId="1"/>
  </si>
  <si>
    <t>ρ　×　σX　×　σｙ</t>
    <phoneticPr fontId="1"/>
  </si>
  <si>
    <t>Var(X + Y ) = σx^2 + σy^2 + 2 ρ σx σy</t>
    <phoneticPr fontId="1"/>
  </si>
  <si>
    <t>Var(X + Y + Z ) = σx^2 + σy^2 + σz^2 + 2σxy + 2σyz + 2σzx</t>
    <phoneticPr fontId="1"/>
  </si>
  <si>
    <t>株価変動率</t>
    <rPh sb="0" eb="2">
      <t>カブカ</t>
    </rPh>
    <rPh sb="2" eb="5">
      <t>ヘンドウリツ</t>
    </rPh>
    <phoneticPr fontId="1"/>
  </si>
  <si>
    <t>sony</t>
    <phoneticPr fontId="1"/>
  </si>
  <si>
    <t>投資比率</t>
    <rPh sb="0" eb="2">
      <t>トウシ</t>
    </rPh>
    <rPh sb="2" eb="4">
      <t>ヒリツ</t>
    </rPh>
    <phoneticPr fontId="1"/>
  </si>
  <si>
    <t>分散共分散行列</t>
    <rPh sb="0" eb="2">
      <t>ブンサン</t>
    </rPh>
    <rPh sb="2" eb="5">
      <t>キョウブンサン</t>
    </rPh>
    <rPh sb="5" eb="7">
      <t>ギョウレツ</t>
    </rPh>
    <phoneticPr fontId="1"/>
  </si>
  <si>
    <t>ポートフォリオの分散</t>
    <rPh sb="8" eb="10">
      <t>ブンサン</t>
    </rPh>
    <phoneticPr fontId="1"/>
  </si>
  <si>
    <t>自分の分散値</t>
    <rPh sb="0" eb="2">
      <t>ジブン</t>
    </rPh>
    <rPh sb="3" eb="5">
      <t>ブンサン</t>
    </rPh>
    <rPh sb="5" eb="6">
      <t>アタイ</t>
    </rPh>
    <phoneticPr fontId="1"/>
  </si>
  <si>
    <t>それぞれの共分散</t>
    <rPh sb="5" eb="8">
      <t>キョウブンサン</t>
    </rPh>
    <phoneticPr fontId="1"/>
  </si>
  <si>
    <t>相関係数</t>
    <rPh sb="0" eb="2">
      <t>ソウカン</t>
    </rPh>
    <rPh sb="2" eb="4">
      <t>ケイスウ</t>
    </rPh>
    <phoneticPr fontId="1"/>
  </si>
  <si>
    <t>xy</t>
    <phoneticPr fontId="1"/>
  </si>
  <si>
    <t>yz</t>
    <phoneticPr fontId="1"/>
  </si>
  <si>
    <t>zx</t>
    <phoneticPr fontId="1"/>
  </si>
  <si>
    <t>期待値</t>
    <rPh sb="0" eb="3">
      <t>キタイチ</t>
    </rPh>
    <phoneticPr fontId="1"/>
  </si>
  <si>
    <t>ポートフォリオの期待値</t>
    <rPh sb="8" eb="10">
      <t>キタイ</t>
    </rPh>
    <rPh sb="10" eb="11">
      <t>アタイ</t>
    </rPh>
    <phoneticPr fontId="1"/>
  </si>
  <si>
    <t>ポートフォリオの標準偏差</t>
    <rPh sb="8" eb="10">
      <t>ヒョウジュン</t>
    </rPh>
    <rPh sb="10" eb="12">
      <t>ヘンサ</t>
    </rPh>
    <phoneticPr fontId="1"/>
  </si>
  <si>
    <t>リターンの信頼水準99%</t>
    <rPh sb="5" eb="7">
      <t>シンライ</t>
    </rPh>
    <rPh sb="7" eb="9">
      <t>スイジュン</t>
    </rPh>
    <phoneticPr fontId="1"/>
  </si>
  <si>
    <t>VaR</t>
    <phoneticPr fontId="1"/>
  </si>
  <si>
    <t>百万円</t>
    <rPh sb="0" eb="3">
      <t>ヒャクマンエン</t>
    </rPh>
    <phoneticPr fontId="1"/>
  </si>
  <si>
    <t>=B362*B365 + C362*C365 + D362*D365</t>
  </si>
  <si>
    <t>=B362^2*B371^2 + C362^2*C372^2 + D362^2*D373^2 + 2*B362*C362*C371 + 2*C362*D362*D372 + 2*D362*B362*D371</t>
  </si>
  <si>
    <t>=B377^0.5</t>
  </si>
  <si>
    <t>=-2.33 * B379</t>
  </si>
  <si>
    <t>=1000 * B381 / 100</t>
  </si>
  <si>
    <t>無裁定理論と、CashFlowの複製（Replication)</t>
    <rPh sb="0" eb="1">
      <t>ム</t>
    </rPh>
    <rPh sb="1" eb="3">
      <t>サイテイ</t>
    </rPh>
    <rPh sb="3" eb="5">
      <t>リロン</t>
    </rPh>
    <rPh sb="16" eb="18">
      <t>フクセイ</t>
    </rPh>
    <phoneticPr fontId="1"/>
  </si>
  <si>
    <t>(1)ゼロクーポン債とクーポン債</t>
    <rPh sb="9" eb="10">
      <t>サイ</t>
    </rPh>
    <rPh sb="15" eb="16">
      <t>サイ</t>
    </rPh>
    <phoneticPr fontId="1"/>
  </si>
  <si>
    <t>1年ゼロクーポン債（額面100円）の価格が90円、2年ゼロクーポン債（額面100円)の価格が85円</t>
    <rPh sb="1" eb="2">
      <t>ネン</t>
    </rPh>
    <rPh sb="8" eb="9">
      <t>サイ</t>
    </rPh>
    <rPh sb="10" eb="12">
      <t>ガクメン</t>
    </rPh>
    <rPh sb="15" eb="16">
      <t>エン</t>
    </rPh>
    <rPh sb="18" eb="20">
      <t>カカク</t>
    </rPh>
    <rPh sb="23" eb="24">
      <t>エン</t>
    </rPh>
    <rPh sb="26" eb="27">
      <t>ネン</t>
    </rPh>
    <rPh sb="33" eb="34">
      <t>サイ</t>
    </rPh>
    <rPh sb="35" eb="37">
      <t>ガクメン</t>
    </rPh>
    <rPh sb="40" eb="41">
      <t>エン</t>
    </rPh>
    <rPh sb="43" eb="45">
      <t>カカク</t>
    </rPh>
    <rPh sb="48" eb="49">
      <t>エン</t>
    </rPh>
    <phoneticPr fontId="1"/>
  </si>
  <si>
    <t>クーポンが10%(年1回払い）の２年クーポン債（額面100円）の値段はXXX円</t>
    <rPh sb="9" eb="10">
      <t>ネン</t>
    </rPh>
    <rPh sb="11" eb="12">
      <t>カイ</t>
    </rPh>
    <rPh sb="12" eb="13">
      <t>バラ</t>
    </rPh>
    <rPh sb="17" eb="18">
      <t>ネン</t>
    </rPh>
    <rPh sb="22" eb="23">
      <t>サイ</t>
    </rPh>
    <rPh sb="24" eb="26">
      <t>ガクメン</t>
    </rPh>
    <rPh sb="29" eb="30">
      <t>エン</t>
    </rPh>
    <rPh sb="32" eb="34">
      <t>ネダン</t>
    </rPh>
    <rPh sb="38" eb="39">
      <t>エン</t>
    </rPh>
    <phoneticPr fontId="1"/>
  </si>
  <si>
    <t>合成資産</t>
    <rPh sb="0" eb="2">
      <t>ゴウセイ</t>
    </rPh>
    <rPh sb="2" eb="4">
      <t>シサン</t>
    </rPh>
    <phoneticPr fontId="1"/>
  </si>
  <si>
    <t>df1.0 = 90 / 100 = 0.9</t>
    <phoneticPr fontId="1"/>
  </si>
  <si>
    <t>df2.0 = 85 / 100 = 0.85</t>
    <phoneticPr fontId="1"/>
  </si>
  <si>
    <t>デリバティブ</t>
    <phoneticPr fontId="1"/>
  </si>
  <si>
    <t>Y = 10*0.9 + 110*0.85 = 102.5</t>
    <phoneticPr fontId="1"/>
  </si>
  <si>
    <t>①クーポン債の価格が105円の場合</t>
    <rPh sb="5" eb="6">
      <t>サイ</t>
    </rPh>
    <rPh sb="7" eb="9">
      <t>カカク</t>
    </rPh>
    <rPh sb="13" eb="14">
      <t>エン</t>
    </rPh>
    <rPh sb="15" eb="17">
      <t>バアイ</t>
    </rPh>
    <phoneticPr fontId="1"/>
  </si>
  <si>
    <t>２年クーポン債を、105円で売る。</t>
    <rPh sb="1" eb="2">
      <t>ネン</t>
    </rPh>
    <rPh sb="6" eb="7">
      <t>サイ</t>
    </rPh>
    <rPh sb="12" eb="13">
      <t>エン</t>
    </rPh>
    <rPh sb="14" eb="15">
      <t>ウ</t>
    </rPh>
    <phoneticPr fontId="1"/>
  </si>
  <si>
    <t>ゼロクーポン債の合成資産（CashFlowを複製して作成した２年クーポン債）を、102.5円で買う。</t>
    <rPh sb="6" eb="7">
      <t>サイ</t>
    </rPh>
    <rPh sb="8" eb="10">
      <t>ゴウセイ</t>
    </rPh>
    <rPh sb="10" eb="12">
      <t>シサン</t>
    </rPh>
    <rPh sb="22" eb="24">
      <t>フクセイ</t>
    </rPh>
    <rPh sb="26" eb="28">
      <t>サクセイ</t>
    </rPh>
    <rPh sb="31" eb="32">
      <t>ネン</t>
    </rPh>
    <rPh sb="36" eb="37">
      <t>サイ</t>
    </rPh>
    <rPh sb="45" eb="46">
      <t>エン</t>
    </rPh>
    <rPh sb="47" eb="48">
      <t>カ</t>
    </rPh>
    <phoneticPr fontId="1"/>
  </si>
  <si>
    <t>裁定利益として、2.5円の利鞘を得ることが出来る。</t>
    <rPh sb="0" eb="2">
      <t>サイテイ</t>
    </rPh>
    <rPh sb="2" eb="4">
      <t>リエキ</t>
    </rPh>
    <rPh sb="11" eb="12">
      <t>エン</t>
    </rPh>
    <rPh sb="13" eb="15">
      <t>リザヤ</t>
    </rPh>
    <rPh sb="16" eb="17">
      <t>エ</t>
    </rPh>
    <rPh sb="21" eb="23">
      <t>デキ</t>
    </rPh>
    <phoneticPr fontId="1"/>
  </si>
  <si>
    <t>②クーポン債の価格が95円の場合</t>
    <rPh sb="5" eb="6">
      <t>サイ</t>
    </rPh>
    <rPh sb="7" eb="9">
      <t>カカク</t>
    </rPh>
    <rPh sb="12" eb="13">
      <t>エン</t>
    </rPh>
    <rPh sb="14" eb="16">
      <t>バアイ</t>
    </rPh>
    <phoneticPr fontId="1"/>
  </si>
  <si>
    <t>ゼロクーポン債の合成資産（CashFlowを複製して作成した２年クーポン債）を、102.5円で売る。</t>
    <rPh sb="6" eb="7">
      <t>サイ</t>
    </rPh>
    <rPh sb="8" eb="10">
      <t>ゴウセイ</t>
    </rPh>
    <rPh sb="10" eb="12">
      <t>シサン</t>
    </rPh>
    <rPh sb="22" eb="24">
      <t>フクセイ</t>
    </rPh>
    <rPh sb="26" eb="28">
      <t>サクセイ</t>
    </rPh>
    <rPh sb="31" eb="32">
      <t>ネン</t>
    </rPh>
    <rPh sb="36" eb="37">
      <t>サイ</t>
    </rPh>
    <rPh sb="45" eb="46">
      <t>エン</t>
    </rPh>
    <rPh sb="47" eb="48">
      <t>ウ</t>
    </rPh>
    <phoneticPr fontId="1"/>
  </si>
  <si>
    <t>裁定利益として、7.5円の利鞘を得ることが出来る。</t>
    <rPh sb="0" eb="2">
      <t>サイテイ</t>
    </rPh>
    <rPh sb="2" eb="4">
      <t>リエキ</t>
    </rPh>
    <rPh sb="11" eb="12">
      <t>エン</t>
    </rPh>
    <rPh sb="13" eb="15">
      <t>リザヤ</t>
    </rPh>
    <rPh sb="16" eb="17">
      <t>エ</t>
    </rPh>
    <rPh sb="21" eb="23">
      <t>デキ</t>
    </rPh>
    <phoneticPr fontId="1"/>
  </si>
  <si>
    <t>２年クーポン債を、95円で買う。</t>
    <rPh sb="1" eb="2">
      <t>ネン</t>
    </rPh>
    <rPh sb="6" eb="7">
      <t>サイ</t>
    </rPh>
    <rPh sb="11" eb="12">
      <t>エン</t>
    </rPh>
    <rPh sb="13" eb="14">
      <t>カ</t>
    </rPh>
    <phoneticPr fontId="1"/>
  </si>
  <si>
    <t>③裁定利益がなくなる、クーポン債の価格</t>
    <rPh sb="1" eb="3">
      <t>サイテイ</t>
    </rPh>
    <rPh sb="3" eb="5">
      <t>リエキ</t>
    </rPh>
    <rPh sb="15" eb="16">
      <t>サイ</t>
    </rPh>
    <rPh sb="17" eb="19">
      <t>カカク</t>
    </rPh>
    <phoneticPr fontId="1"/>
  </si>
  <si>
    <t>102.5円</t>
    <rPh sb="5" eb="6">
      <t>エン</t>
    </rPh>
    <phoneticPr fontId="1"/>
  </si>
  <si>
    <t>[1]無裁定理論・・・Arbitrage Freeな条件で考える</t>
    <rPh sb="3" eb="4">
      <t>ム</t>
    </rPh>
    <rPh sb="4" eb="6">
      <t>サイテイ</t>
    </rPh>
    <rPh sb="6" eb="8">
      <t>リロン</t>
    </rPh>
    <rPh sb="26" eb="28">
      <t>ジョウケン</t>
    </rPh>
    <rPh sb="29" eb="30">
      <t>カンガ</t>
    </rPh>
    <phoneticPr fontId="1"/>
  </si>
  <si>
    <t>[2]CashFlowの複製（Replication)</t>
    <rPh sb="12" eb="14">
      <t>フクセイ</t>
    </rPh>
    <phoneticPr fontId="1"/>
  </si>
  <si>
    <t>(2)現物とフォワード</t>
    <rPh sb="3" eb="5">
      <t>ゲンブツ</t>
    </rPh>
    <phoneticPr fontId="1"/>
  </si>
  <si>
    <t>B株の現在価格は100円で、半年後に5円の配当が支払われる。</t>
    <rPh sb="1" eb="2">
      <t>カブ</t>
    </rPh>
    <rPh sb="3" eb="5">
      <t>ゲンザイ</t>
    </rPh>
    <rPh sb="5" eb="7">
      <t>カカク</t>
    </rPh>
    <rPh sb="11" eb="12">
      <t>エン</t>
    </rPh>
    <rPh sb="14" eb="17">
      <t>ハントシゴ</t>
    </rPh>
    <rPh sb="19" eb="20">
      <t>エン</t>
    </rPh>
    <rPh sb="21" eb="23">
      <t>ハイトウ</t>
    </rPh>
    <rPh sb="24" eb="26">
      <t>シハラ</t>
    </rPh>
    <phoneticPr fontId="1"/>
  </si>
  <si>
    <t>半年ゼロクーポン債（額面100円）の価格が90円、1年ゼロクーポン債（額面100円)の価格が85円</t>
    <rPh sb="0" eb="2">
      <t>ハントシ</t>
    </rPh>
    <rPh sb="8" eb="9">
      <t>サイ</t>
    </rPh>
    <rPh sb="10" eb="12">
      <t>ガクメン</t>
    </rPh>
    <rPh sb="15" eb="16">
      <t>エン</t>
    </rPh>
    <rPh sb="18" eb="20">
      <t>カカク</t>
    </rPh>
    <rPh sb="23" eb="24">
      <t>エン</t>
    </rPh>
    <rPh sb="26" eb="27">
      <t>ネン</t>
    </rPh>
    <rPh sb="33" eb="34">
      <t>サイ</t>
    </rPh>
    <rPh sb="35" eb="37">
      <t>ガクメン</t>
    </rPh>
    <rPh sb="40" eb="41">
      <t>エン</t>
    </rPh>
    <rPh sb="43" eb="45">
      <t>カカク</t>
    </rPh>
    <rPh sb="48" eb="49">
      <t>エン</t>
    </rPh>
    <phoneticPr fontId="1"/>
  </si>
  <si>
    <t>1年フォワード（先渡し）価格は、XXXX円</t>
    <rPh sb="1" eb="2">
      <t>ネン</t>
    </rPh>
    <rPh sb="8" eb="10">
      <t>サキワタ</t>
    </rPh>
    <rPh sb="12" eb="14">
      <t>カカク</t>
    </rPh>
    <rPh sb="20" eb="21">
      <t>エン</t>
    </rPh>
    <phoneticPr fontId="1"/>
  </si>
  <si>
    <t>100円の内、5円分は返却。</t>
    <rPh sb="3" eb="4">
      <t>エン</t>
    </rPh>
    <rPh sb="5" eb="6">
      <t>ウチ</t>
    </rPh>
    <rPh sb="8" eb="9">
      <t>エン</t>
    </rPh>
    <rPh sb="9" eb="10">
      <t>ブン</t>
    </rPh>
    <rPh sb="11" eb="13">
      <t>ヘンキャク</t>
    </rPh>
    <phoneticPr fontId="1"/>
  </si>
  <si>
    <t>5 * 0.9 = 4.5円</t>
    <rPh sb="13" eb="14">
      <t>エン</t>
    </rPh>
    <phoneticPr fontId="1"/>
  </si>
  <si>
    <t>df0.5 = 90 / 100 = 0.9</t>
    <phoneticPr fontId="1"/>
  </si>
  <si>
    <t>df1.0 = 85 / 100 = 0.85</t>
    <phoneticPr fontId="1"/>
  </si>
  <si>
    <t>残り95.5円分を返却する必要がある。</t>
    <rPh sb="0" eb="1">
      <t>ノコ</t>
    </rPh>
    <rPh sb="6" eb="7">
      <t>エン</t>
    </rPh>
    <rPh sb="7" eb="8">
      <t>ブン</t>
    </rPh>
    <rPh sb="9" eb="11">
      <t>ヘンキャク</t>
    </rPh>
    <rPh sb="13" eb="15">
      <t>ヒツヨウ</t>
    </rPh>
    <phoneticPr fontId="1"/>
  </si>
  <si>
    <t>Y　＝　95.5 × (1/df1.0) = 112.35円</t>
    <rPh sb="29" eb="30">
      <t>エン</t>
    </rPh>
    <phoneticPr fontId="1"/>
  </si>
  <si>
    <t>①１年フォワード（先渡し）の価格が110円の場合</t>
    <rPh sb="2" eb="3">
      <t>ネン</t>
    </rPh>
    <rPh sb="9" eb="11">
      <t>サキワタ</t>
    </rPh>
    <rPh sb="14" eb="16">
      <t>カカク</t>
    </rPh>
    <rPh sb="20" eb="21">
      <t>エン</t>
    </rPh>
    <rPh sb="22" eb="24">
      <t>バアイ</t>
    </rPh>
    <phoneticPr fontId="1"/>
  </si>
  <si>
    <t>１年フォワード（先渡し）を、110円で買う。</t>
    <rPh sb="17" eb="18">
      <t>エン</t>
    </rPh>
    <rPh sb="19" eb="20">
      <t>カ</t>
    </rPh>
    <phoneticPr fontId="1"/>
  </si>
  <si>
    <t>ゼロクーポン債の合成資産（CashFlowを複製して作成した１年フォワード（先渡し））を、112.35円で売る。</t>
    <rPh sb="6" eb="7">
      <t>サイ</t>
    </rPh>
    <rPh sb="8" eb="10">
      <t>ゴウセイ</t>
    </rPh>
    <rPh sb="10" eb="12">
      <t>シサン</t>
    </rPh>
    <rPh sb="22" eb="24">
      <t>フクセイ</t>
    </rPh>
    <rPh sb="26" eb="28">
      <t>サクセイ</t>
    </rPh>
    <rPh sb="31" eb="32">
      <t>ネン</t>
    </rPh>
    <rPh sb="38" eb="40">
      <t>サキワタ</t>
    </rPh>
    <rPh sb="51" eb="52">
      <t>エン</t>
    </rPh>
    <rPh sb="53" eb="54">
      <t>ウ</t>
    </rPh>
    <phoneticPr fontId="1"/>
  </si>
  <si>
    <t>裁定利益として、2.35円の利鞘を得ることが出来る。</t>
    <rPh sb="0" eb="2">
      <t>サイテイ</t>
    </rPh>
    <rPh sb="2" eb="4">
      <t>リエキ</t>
    </rPh>
    <rPh sb="12" eb="13">
      <t>エン</t>
    </rPh>
    <rPh sb="14" eb="16">
      <t>リザヤ</t>
    </rPh>
    <rPh sb="17" eb="18">
      <t>エ</t>
    </rPh>
    <rPh sb="22" eb="24">
      <t>デキ</t>
    </rPh>
    <phoneticPr fontId="1"/>
  </si>
  <si>
    <t>②１年フォワード（先渡し）の価格が120円の場合</t>
    <rPh sb="2" eb="3">
      <t>ネン</t>
    </rPh>
    <rPh sb="9" eb="11">
      <t>サキワタ</t>
    </rPh>
    <rPh sb="14" eb="16">
      <t>カカク</t>
    </rPh>
    <rPh sb="20" eb="21">
      <t>エン</t>
    </rPh>
    <rPh sb="22" eb="24">
      <t>バアイ</t>
    </rPh>
    <phoneticPr fontId="1"/>
  </si>
  <si>
    <t>１年フォワード（先渡し）を、120円で売る。</t>
    <rPh sb="17" eb="18">
      <t>エン</t>
    </rPh>
    <rPh sb="19" eb="20">
      <t>ウ</t>
    </rPh>
    <phoneticPr fontId="1"/>
  </si>
  <si>
    <t>ゼロクーポン債の合成資産（CashFlowを複製して作成した１年フォワード（先渡し））を、112.35円で買う。</t>
    <rPh sb="6" eb="7">
      <t>サイ</t>
    </rPh>
    <rPh sb="8" eb="10">
      <t>ゴウセイ</t>
    </rPh>
    <rPh sb="10" eb="12">
      <t>シサン</t>
    </rPh>
    <rPh sb="22" eb="24">
      <t>フクセイ</t>
    </rPh>
    <rPh sb="26" eb="28">
      <t>サクセイ</t>
    </rPh>
    <rPh sb="31" eb="32">
      <t>ネン</t>
    </rPh>
    <rPh sb="38" eb="40">
      <t>サキワタ</t>
    </rPh>
    <rPh sb="51" eb="52">
      <t>エン</t>
    </rPh>
    <rPh sb="53" eb="54">
      <t>カ</t>
    </rPh>
    <phoneticPr fontId="1"/>
  </si>
  <si>
    <t>裁定利益として、7.65円の利鞘を得ることが出来る。</t>
    <rPh sb="0" eb="2">
      <t>サイテイ</t>
    </rPh>
    <rPh sb="2" eb="4">
      <t>リエキ</t>
    </rPh>
    <rPh sb="12" eb="13">
      <t>エン</t>
    </rPh>
    <rPh sb="14" eb="16">
      <t>リザヤ</t>
    </rPh>
    <rPh sb="17" eb="18">
      <t>エ</t>
    </rPh>
    <rPh sb="22" eb="24">
      <t>デキ</t>
    </rPh>
    <phoneticPr fontId="1"/>
  </si>
  <si>
    <t>112.35円</t>
    <rPh sb="6" eb="7">
      <t>エン</t>
    </rPh>
    <phoneticPr fontId="1"/>
  </si>
  <si>
    <t>プット・コールパリティ</t>
    <phoneticPr fontId="1"/>
  </si>
  <si>
    <t>[1] ゼロクーポン債</t>
    <rPh sb="10" eb="11">
      <t>サイ</t>
    </rPh>
    <phoneticPr fontId="1"/>
  </si>
  <si>
    <t>決められた日に、決められた額（K円）を受け取る権利</t>
    <rPh sb="0" eb="1">
      <t>キ</t>
    </rPh>
    <rPh sb="5" eb="6">
      <t>ヒ</t>
    </rPh>
    <rPh sb="8" eb="9">
      <t>キ</t>
    </rPh>
    <rPh sb="13" eb="14">
      <t>ガク</t>
    </rPh>
    <rPh sb="16" eb="17">
      <t>エン</t>
    </rPh>
    <rPh sb="19" eb="20">
      <t>ウ</t>
    </rPh>
    <rPh sb="21" eb="22">
      <t>ト</t>
    </rPh>
    <rPh sb="23" eb="25">
      <t>ケンリ</t>
    </rPh>
    <phoneticPr fontId="1"/>
  </si>
  <si>
    <t>現在価値　＝　B（K)　＝　K　× df = K　× e^-rt</t>
    <rPh sb="0" eb="2">
      <t>ゲンザイ</t>
    </rPh>
    <rPh sb="2" eb="4">
      <t>カチ</t>
    </rPh>
    <phoneticPr fontId="1"/>
  </si>
  <si>
    <t>[2] 株式</t>
    <rPh sb="4" eb="6">
      <t>カブシキ</t>
    </rPh>
    <phoneticPr fontId="1"/>
  </si>
  <si>
    <t>現在価値　＝　S</t>
    <rPh sb="0" eb="2">
      <t>ゲンザイ</t>
    </rPh>
    <rPh sb="2" eb="4">
      <t>カチ</t>
    </rPh>
    <phoneticPr fontId="1"/>
  </si>
  <si>
    <t>株は、その時の価格が１点で決まる</t>
    <rPh sb="0" eb="1">
      <t>カブ</t>
    </rPh>
    <rPh sb="5" eb="6">
      <t>トキ</t>
    </rPh>
    <rPh sb="7" eb="9">
      <t>カカク</t>
    </rPh>
    <rPh sb="11" eb="12">
      <t>テン</t>
    </rPh>
    <rPh sb="13" eb="14">
      <t>キ</t>
    </rPh>
    <phoneticPr fontId="1"/>
  </si>
  <si>
    <t>（マイナスはあり得ない。　０より絶対大きい）</t>
  </si>
  <si>
    <t>[3] フォワード（先物）</t>
    <rPh sb="10" eb="12">
      <t>サキモノ</t>
    </rPh>
    <phoneticPr fontId="1"/>
  </si>
  <si>
    <r>
      <t>決められた日に、決められた額（K円）で、決められた資産を買う</t>
    </r>
    <r>
      <rPr>
        <sz val="9"/>
        <color rgb="FFFF0000"/>
        <rFont val="ＭＳ Ｐゴシック"/>
        <family val="3"/>
        <charset val="128"/>
        <scheme val="minor"/>
      </rPr>
      <t>義務</t>
    </r>
    <rPh sb="0" eb="1">
      <t>キ</t>
    </rPh>
    <rPh sb="5" eb="6">
      <t>ヒ</t>
    </rPh>
    <rPh sb="8" eb="9">
      <t>キ</t>
    </rPh>
    <rPh sb="13" eb="14">
      <t>ガク</t>
    </rPh>
    <rPh sb="16" eb="17">
      <t>エン</t>
    </rPh>
    <rPh sb="20" eb="21">
      <t>キ</t>
    </rPh>
    <rPh sb="25" eb="27">
      <t>シサン</t>
    </rPh>
    <rPh sb="28" eb="29">
      <t>カ</t>
    </rPh>
    <rPh sb="30" eb="32">
      <t>ギム</t>
    </rPh>
    <phoneticPr fontId="1"/>
  </si>
  <si>
    <t>（マイナスもはあり得る。　０より小さいこともある）</t>
    <rPh sb="16" eb="17">
      <t>チイ</t>
    </rPh>
    <phoneticPr fontId="1"/>
  </si>
  <si>
    <t>現在価値　＝　F（K)</t>
    <rPh sb="0" eb="2">
      <t>ゲンザイ</t>
    </rPh>
    <rPh sb="2" eb="4">
      <t>カチ</t>
    </rPh>
    <phoneticPr fontId="1"/>
  </si>
  <si>
    <t>[4] コールオプション</t>
    <phoneticPr fontId="1"/>
  </si>
  <si>
    <t>決められた日に、決められた額（K円）で、決められた資産を買う権利</t>
    <rPh sb="0" eb="1">
      <t>キ</t>
    </rPh>
    <rPh sb="5" eb="6">
      <t>ヒ</t>
    </rPh>
    <rPh sb="8" eb="9">
      <t>キ</t>
    </rPh>
    <rPh sb="13" eb="14">
      <t>ガク</t>
    </rPh>
    <rPh sb="16" eb="17">
      <t>エン</t>
    </rPh>
    <rPh sb="20" eb="21">
      <t>キ</t>
    </rPh>
    <rPh sb="25" eb="27">
      <t>シサン</t>
    </rPh>
    <rPh sb="28" eb="29">
      <t>カ</t>
    </rPh>
    <rPh sb="30" eb="32">
      <t>ケンリ</t>
    </rPh>
    <phoneticPr fontId="1"/>
  </si>
  <si>
    <t>（損失はプレミアム分で限定）</t>
    <rPh sb="1" eb="3">
      <t>ソンシツ</t>
    </rPh>
    <rPh sb="9" eb="10">
      <t>ブン</t>
    </rPh>
    <rPh sb="11" eb="13">
      <t>ゲンテイ</t>
    </rPh>
    <phoneticPr fontId="1"/>
  </si>
  <si>
    <t>現在価値　＝　C（K)</t>
    <rPh sb="0" eb="2">
      <t>ゲンザイ</t>
    </rPh>
    <rPh sb="2" eb="4">
      <t>カチ</t>
    </rPh>
    <phoneticPr fontId="1"/>
  </si>
  <si>
    <t>[5] プットオプション</t>
    <phoneticPr fontId="1"/>
  </si>
  <si>
    <t>決められた日に、決められた額（K円）で、決められた資産を売る権利</t>
    <rPh sb="0" eb="1">
      <t>キ</t>
    </rPh>
    <rPh sb="5" eb="6">
      <t>ヒ</t>
    </rPh>
    <rPh sb="8" eb="9">
      <t>キ</t>
    </rPh>
    <rPh sb="13" eb="14">
      <t>ガク</t>
    </rPh>
    <rPh sb="16" eb="17">
      <t>エン</t>
    </rPh>
    <rPh sb="20" eb="21">
      <t>キ</t>
    </rPh>
    <rPh sb="25" eb="27">
      <t>シサン</t>
    </rPh>
    <rPh sb="28" eb="29">
      <t>ウ</t>
    </rPh>
    <rPh sb="30" eb="32">
      <t>ケンリ</t>
    </rPh>
    <phoneticPr fontId="1"/>
  </si>
  <si>
    <t>現在価値　＝　P（K)</t>
    <rPh sb="0" eb="2">
      <t>ゲンザイ</t>
    </rPh>
    <rPh sb="2" eb="4">
      <t>カチ</t>
    </rPh>
    <phoneticPr fontId="1"/>
  </si>
  <si>
    <t>S　－　B(K)　　＝　　F(K)</t>
    <phoneticPr fontId="1"/>
  </si>
  <si>
    <t>(2)　フォワード契約　＋　ゼロクーポン債　＝　原資産</t>
    <rPh sb="20" eb="21">
      <t>サイ</t>
    </rPh>
    <rPh sb="24" eb="27">
      <t>ゲンシサン</t>
    </rPh>
    <phoneticPr fontId="1"/>
  </si>
  <si>
    <t>F(K)　＋　B(K)　　＝　　S</t>
    <phoneticPr fontId="1"/>
  </si>
  <si>
    <t>(1)　原資産　-　ゼロクーポン債　＝　フォワード契約</t>
    <rPh sb="4" eb="7">
      <t>ゲンシサン</t>
    </rPh>
    <rPh sb="16" eb="17">
      <t>サイ</t>
    </rPh>
    <rPh sb="25" eb="27">
      <t>ケイヤク</t>
    </rPh>
    <phoneticPr fontId="1"/>
  </si>
  <si>
    <t>(3)　フォワード契約（K2）　＋　ゼロクーポン債(K1)　＝　異なる価格のフォワード契約(K2-K1)</t>
    <rPh sb="24" eb="25">
      <t>サイ</t>
    </rPh>
    <rPh sb="32" eb="33">
      <t>コト</t>
    </rPh>
    <rPh sb="35" eb="37">
      <t>カカク</t>
    </rPh>
    <rPh sb="43" eb="45">
      <t>ケイヤク</t>
    </rPh>
    <phoneticPr fontId="1"/>
  </si>
  <si>
    <t>F(K2)　＋　B(K1)　　＝　　F(K2 - K1)</t>
    <phoneticPr fontId="1"/>
  </si>
  <si>
    <t>(4)　異なる価格のフォワード契約(K1) - 異なる価格のフォワード契約(K2) = ゼロクーポン債（K2 - K1)</t>
    <rPh sb="4" eb="5">
      <t>コト</t>
    </rPh>
    <rPh sb="7" eb="9">
      <t>カカク</t>
    </rPh>
    <rPh sb="15" eb="17">
      <t>ケイヤク</t>
    </rPh>
    <rPh sb="50" eb="51">
      <t>サイ</t>
    </rPh>
    <phoneticPr fontId="1"/>
  </si>
  <si>
    <t>F(K1)　-　F(K2)　　＝　　B(K2 - K1)</t>
    <phoneticPr fontId="1"/>
  </si>
  <si>
    <t>(5)　行使価格の等しいコールとプットで、フォワード契約を合成</t>
    <rPh sb="4" eb="6">
      <t>コウシ</t>
    </rPh>
    <rPh sb="6" eb="8">
      <t>カカク</t>
    </rPh>
    <rPh sb="9" eb="10">
      <t>ヒト</t>
    </rPh>
    <rPh sb="26" eb="28">
      <t>ケイヤク</t>
    </rPh>
    <rPh sb="29" eb="31">
      <t>ゴウセイ</t>
    </rPh>
    <phoneticPr fontId="1"/>
  </si>
  <si>
    <t>C(K)　-　P(K)　　＝　　F(K)</t>
    <phoneticPr fontId="1"/>
  </si>
  <si>
    <t>(1)と（5）より、プットコールパリティ</t>
    <phoneticPr fontId="1"/>
  </si>
  <si>
    <t>C(K) - P(K) = F(K) = S-B(K)</t>
    <phoneticPr fontId="1"/>
  </si>
  <si>
    <t>変換系１</t>
    <rPh sb="0" eb="2">
      <t>ヘンカン</t>
    </rPh>
    <rPh sb="2" eb="3">
      <t>ケイ</t>
    </rPh>
    <phoneticPr fontId="1"/>
  </si>
  <si>
    <t>つまり、　C(K) &lt; S</t>
    <phoneticPr fontId="1"/>
  </si>
  <si>
    <t>変換系２</t>
    <rPh sb="0" eb="2">
      <t>ヘンカン</t>
    </rPh>
    <rPh sb="2" eb="3">
      <t>ケイ</t>
    </rPh>
    <phoneticPr fontId="1"/>
  </si>
  <si>
    <t xml:space="preserve">S　- C(K) = B(K) - P(K)   &gt;  0 </t>
    <phoneticPr fontId="1"/>
  </si>
  <si>
    <t>つまり、　P(K) &lt; B(K)</t>
    <phoneticPr fontId="1"/>
  </si>
  <si>
    <t>※０より大きくなる理由は、原資産 - コールオプション　＝　プレミアムのことでしょ</t>
    <rPh sb="4" eb="5">
      <t>オオ</t>
    </rPh>
    <rPh sb="9" eb="11">
      <t>リユウ</t>
    </rPh>
    <rPh sb="13" eb="16">
      <t>ゲンシサン</t>
    </rPh>
    <phoneticPr fontId="1"/>
  </si>
  <si>
    <t>※コールとプットは、権利なので0より価値は大きくなる</t>
    <rPh sb="10" eb="12">
      <t>ケンリ</t>
    </rPh>
    <rPh sb="18" eb="20">
      <t>カチ</t>
    </rPh>
    <rPh sb="21" eb="22">
      <t>オオ</t>
    </rPh>
    <phoneticPr fontId="1"/>
  </si>
  <si>
    <t>(6)　2つの行使価格のオプションを組み合わせて、ゼロクーポン債を合成</t>
    <rPh sb="7" eb="9">
      <t>コウシ</t>
    </rPh>
    <rPh sb="9" eb="11">
      <t>カカク</t>
    </rPh>
    <rPh sb="18" eb="19">
      <t>ク</t>
    </rPh>
    <rPh sb="20" eb="21">
      <t>ア</t>
    </rPh>
    <rPh sb="31" eb="32">
      <t>サイ</t>
    </rPh>
    <rPh sb="33" eb="35">
      <t>ゴウセイ</t>
    </rPh>
    <phoneticPr fontId="1"/>
  </si>
  <si>
    <t>{ C(K1)　-　P(K1) }  -  { C(K2)  -  P(K2)  }　　＝　　B(K2 - K1)</t>
    <phoneticPr fontId="1"/>
  </si>
  <si>
    <t>(7)　3つ（もしくは２つ）の権利行使のオプションを組み合わせて、原資産を合成</t>
    <rPh sb="15" eb="17">
      <t>ケンリ</t>
    </rPh>
    <rPh sb="17" eb="19">
      <t>コウシ</t>
    </rPh>
    <rPh sb="26" eb="27">
      <t>ク</t>
    </rPh>
    <rPh sb="28" eb="29">
      <t>ア</t>
    </rPh>
    <rPh sb="33" eb="36">
      <t>ゲンシサン</t>
    </rPh>
    <rPh sb="37" eb="39">
      <t>ゴウセイ</t>
    </rPh>
    <phoneticPr fontId="1"/>
  </si>
  <si>
    <t>S　＝　K2/K2-K1 × { C(K1) - P(K1) }  -  K1/K2-K1 × { C(K2) - P(K2) }</t>
    <phoneticPr fontId="1"/>
  </si>
  <si>
    <t>先物価格を用いたプットコールパリティ</t>
    <rPh sb="0" eb="2">
      <t>サキモノ</t>
    </rPh>
    <rPh sb="2" eb="4">
      <t>カカク</t>
    </rPh>
    <rPh sb="5" eb="6">
      <t>モチ</t>
    </rPh>
    <phoneticPr fontId="1"/>
  </si>
  <si>
    <t>シンセティックロング（行使価格K)　＋　ゼロクーポン債（額面K - F）　－　先物契約（先物価格F)　＝　０</t>
    <rPh sb="11" eb="13">
      <t>コウシ</t>
    </rPh>
    <rPh sb="13" eb="15">
      <t>カカク</t>
    </rPh>
    <rPh sb="26" eb="27">
      <t>サイ</t>
    </rPh>
    <rPh sb="28" eb="30">
      <t>ガクメン</t>
    </rPh>
    <rPh sb="39" eb="41">
      <t>サキモノ</t>
    </rPh>
    <rPh sb="41" eb="43">
      <t>ケイヤク</t>
    </rPh>
    <rPh sb="44" eb="46">
      <t>サキモノ</t>
    </rPh>
    <rPh sb="46" eb="48">
      <t>カカク</t>
    </rPh>
    <phoneticPr fontId="1"/>
  </si>
  <si>
    <t>C(K)　－　P(K)　＝　F(K)</t>
    <phoneticPr fontId="1"/>
  </si>
  <si>
    <t>B(K -F)　＝　F(F)　－　F(K)</t>
    <phoneticPr fontId="1"/>
  </si>
  <si>
    <t>F(F)　を引く</t>
    <rPh sb="6" eb="7">
      <t>ヒ</t>
    </rPh>
    <phoneticPr fontId="1"/>
  </si>
  <si>
    <t>→　F(K)　＋　｛　F(F)　－　F(K)　｝　－　F(F)　＝　０</t>
    <phoneticPr fontId="1"/>
  </si>
  <si>
    <t>ポートフォリオの価値は、０となる。</t>
    <rPh sb="8" eb="10">
      <t>カチ</t>
    </rPh>
    <phoneticPr fontId="1"/>
  </si>
  <si>
    <t>C(K)　－　P(K)　＋　（F －　K)　× e^-rt  - F  =  0</t>
    <phoneticPr fontId="1"/>
  </si>
  <si>
    <t>コールオプション</t>
    <phoneticPr fontId="1"/>
  </si>
  <si>
    <t>①C　＞　０</t>
    <phoneticPr fontId="1"/>
  </si>
  <si>
    <t>裁定取引　（通常は以下の条件になる。それが外れていれば、アービトラージが可能）</t>
    <rPh sb="0" eb="2">
      <t>サイテイ</t>
    </rPh>
    <rPh sb="2" eb="4">
      <t>トリヒキ</t>
    </rPh>
    <rPh sb="6" eb="8">
      <t>ツウジョウ</t>
    </rPh>
    <rPh sb="9" eb="11">
      <t>イカ</t>
    </rPh>
    <rPh sb="12" eb="14">
      <t>ジョウケン</t>
    </rPh>
    <rPh sb="21" eb="22">
      <t>ハズ</t>
    </rPh>
    <rPh sb="36" eb="38">
      <t>カノウ</t>
    </rPh>
    <phoneticPr fontId="1"/>
  </si>
  <si>
    <t>②C　＜　S</t>
    <phoneticPr fontId="1"/>
  </si>
  <si>
    <t>③C　-S + K×df = P &gt; 0</t>
    <phoneticPr fontId="1"/>
  </si>
  <si>
    <t>④Far　Out of The Moneyにおいては、ゼロに漸近</t>
    <rPh sb="30" eb="32">
      <t>ゼンキン</t>
    </rPh>
    <phoneticPr fontId="1"/>
  </si>
  <si>
    <t>⑤Deep　In The　Moneyおいては、本質価値に漸近</t>
    <rPh sb="23" eb="25">
      <t>ホンシツ</t>
    </rPh>
    <rPh sb="25" eb="27">
      <t>カチ</t>
    </rPh>
    <rPh sb="28" eb="30">
      <t>ゼンキン</t>
    </rPh>
    <phoneticPr fontId="1"/>
  </si>
  <si>
    <t>[1]　①C　＞　０　を外れる条件をあえて考える。</t>
    <rPh sb="12" eb="13">
      <t>ハズ</t>
    </rPh>
    <rPh sb="15" eb="17">
      <t>ジョウケン</t>
    </rPh>
    <rPh sb="21" eb="22">
      <t>カンガ</t>
    </rPh>
    <phoneticPr fontId="1"/>
  </si>
  <si>
    <t>原資産である株式価格が90円、行使価格100円の１年満期コールオプションの価格が-3円であるとき、</t>
    <rPh sb="0" eb="3">
      <t>ゲンシサン</t>
    </rPh>
    <rPh sb="6" eb="8">
      <t>カブシキ</t>
    </rPh>
    <rPh sb="8" eb="10">
      <t>カカク</t>
    </rPh>
    <rPh sb="13" eb="14">
      <t>エン</t>
    </rPh>
    <rPh sb="15" eb="17">
      <t>コウシ</t>
    </rPh>
    <rPh sb="17" eb="19">
      <t>カカク</t>
    </rPh>
    <rPh sb="22" eb="23">
      <t>エン</t>
    </rPh>
    <rPh sb="25" eb="26">
      <t>ネン</t>
    </rPh>
    <rPh sb="26" eb="28">
      <t>マンキ</t>
    </rPh>
    <rPh sb="37" eb="39">
      <t>カカク</t>
    </rPh>
    <rPh sb="42" eb="43">
      <t>エン</t>
    </rPh>
    <phoneticPr fontId="1"/>
  </si>
  <si>
    <t>裁定利益を得る方法を示せ。この裁定機械はコールオプションの価格がいつらのときに消滅するか。</t>
    <rPh sb="0" eb="2">
      <t>サイテイ</t>
    </rPh>
    <rPh sb="2" eb="4">
      <t>リエキ</t>
    </rPh>
    <rPh sb="5" eb="6">
      <t>エ</t>
    </rPh>
    <rPh sb="7" eb="9">
      <t>ホウホウ</t>
    </rPh>
    <rPh sb="10" eb="11">
      <t>シメ</t>
    </rPh>
    <rPh sb="15" eb="17">
      <t>サイテイ</t>
    </rPh>
    <rPh sb="17" eb="19">
      <t>キカイ</t>
    </rPh>
    <rPh sb="29" eb="31">
      <t>カカク</t>
    </rPh>
    <rPh sb="39" eb="41">
      <t>ショウメツ</t>
    </rPh>
    <phoneticPr fontId="1"/>
  </si>
  <si>
    <t>S　＝　90円</t>
    <rPh sb="6" eb="7">
      <t>エン</t>
    </rPh>
    <phoneticPr fontId="1"/>
  </si>
  <si>
    <t>C　＝　－3円</t>
    <rPh sb="6" eb="7">
      <t>エン</t>
    </rPh>
    <phoneticPr fontId="1"/>
  </si>
  <si>
    <t>コールオプションを買えば、3円もらえる。</t>
    <rPh sb="9" eb="10">
      <t>カ</t>
    </rPh>
    <rPh sb="14" eb="15">
      <t>エン</t>
    </rPh>
    <phoneticPr fontId="1"/>
  </si>
  <si>
    <t>コールオプションが、１円。</t>
    <rPh sb="11" eb="12">
      <t>エン</t>
    </rPh>
    <phoneticPr fontId="1"/>
  </si>
  <si>
    <t>裁定機会を失うとき</t>
    <rPh sb="0" eb="2">
      <t>サイテイ</t>
    </rPh>
    <rPh sb="2" eb="4">
      <t>キカイ</t>
    </rPh>
    <rPh sb="5" eb="6">
      <t>ウシナ</t>
    </rPh>
    <phoneticPr fontId="1"/>
  </si>
  <si>
    <t>[2]　②C　＜　S　を外れる条件をあえて考える。</t>
    <rPh sb="12" eb="13">
      <t>ハズ</t>
    </rPh>
    <rPh sb="15" eb="17">
      <t>ジョウケン</t>
    </rPh>
    <rPh sb="21" eb="22">
      <t>カンガ</t>
    </rPh>
    <phoneticPr fontId="1"/>
  </si>
  <si>
    <t>S　＝　150円</t>
    <rPh sb="7" eb="8">
      <t>エン</t>
    </rPh>
    <phoneticPr fontId="1"/>
  </si>
  <si>
    <t>C　＝　155円</t>
    <rPh sb="7" eb="8">
      <t>エン</t>
    </rPh>
    <phoneticPr fontId="1"/>
  </si>
  <si>
    <t>原資産である株式価格が150円、行使価格100円の１年満期コールオプションの価格が155円であるとき、</t>
    <rPh sb="0" eb="3">
      <t>ゲンシサン</t>
    </rPh>
    <rPh sb="6" eb="8">
      <t>カブシキ</t>
    </rPh>
    <rPh sb="8" eb="10">
      <t>カカク</t>
    </rPh>
    <rPh sb="14" eb="15">
      <t>エン</t>
    </rPh>
    <rPh sb="16" eb="18">
      <t>コウシ</t>
    </rPh>
    <rPh sb="18" eb="20">
      <t>カカク</t>
    </rPh>
    <rPh sb="23" eb="24">
      <t>エン</t>
    </rPh>
    <rPh sb="26" eb="27">
      <t>ネン</t>
    </rPh>
    <rPh sb="27" eb="29">
      <t>マンキ</t>
    </rPh>
    <rPh sb="38" eb="40">
      <t>カカク</t>
    </rPh>
    <rPh sb="44" eb="45">
      <t>エン</t>
    </rPh>
    <phoneticPr fontId="1"/>
  </si>
  <si>
    <t>コールオプションを155円で売る、原資産を150円で買う。</t>
    <rPh sb="12" eb="13">
      <t>エン</t>
    </rPh>
    <rPh sb="14" eb="15">
      <t>ウ</t>
    </rPh>
    <rPh sb="17" eb="20">
      <t>ゲンシサン</t>
    </rPh>
    <rPh sb="24" eb="25">
      <t>エン</t>
    </rPh>
    <rPh sb="26" eb="27">
      <t>カ</t>
    </rPh>
    <phoneticPr fontId="1"/>
  </si>
  <si>
    <t>5円の利鞘が貰える。</t>
    <rPh sb="1" eb="2">
      <t>エン</t>
    </rPh>
    <rPh sb="3" eb="5">
      <t>リザヤ</t>
    </rPh>
    <rPh sb="6" eb="7">
      <t>モラ</t>
    </rPh>
    <phoneticPr fontId="1"/>
  </si>
  <si>
    <t>買い</t>
    <rPh sb="0" eb="1">
      <t>カ</t>
    </rPh>
    <phoneticPr fontId="1"/>
  </si>
  <si>
    <t>売り</t>
    <rPh sb="0" eb="1">
      <t>ウ</t>
    </rPh>
    <phoneticPr fontId="1"/>
  </si>
  <si>
    <t>コールオプションが、150円。</t>
    <rPh sb="13" eb="14">
      <t>エン</t>
    </rPh>
    <phoneticPr fontId="1"/>
  </si>
  <si>
    <t>C　-S + K×df = P</t>
  </si>
  <si>
    <t>V</t>
    <phoneticPr fontId="1"/>
  </si>
  <si>
    <t>S</t>
    <phoneticPr fontId="1"/>
  </si>
  <si>
    <t>K</t>
    <phoneticPr fontId="1"/>
  </si>
  <si>
    <t>プットの売り</t>
    <rPh sb="4" eb="5">
      <t>ウ</t>
    </rPh>
    <phoneticPr fontId="1"/>
  </si>
  <si>
    <r>
      <t>C　-S + K×df = P →</t>
    </r>
    <r>
      <rPr>
        <sz val="9"/>
        <color rgb="FF0000FF"/>
        <rFont val="ＭＳ Ｐゴシック"/>
        <family val="3"/>
        <charset val="128"/>
        <scheme val="minor"/>
      </rPr>
      <t xml:space="preserve"> -C + S + 0 = -P</t>
    </r>
    <phoneticPr fontId="1"/>
  </si>
  <si>
    <t>[3]　③C　-S + K×df = P &gt; 0　を外れる条件をあえて考える。</t>
    <rPh sb="26" eb="27">
      <t>ハズ</t>
    </rPh>
    <rPh sb="29" eb="31">
      <t>ジョウケン</t>
    </rPh>
    <rPh sb="35" eb="36">
      <t>カンガ</t>
    </rPh>
    <phoneticPr fontId="1"/>
  </si>
  <si>
    <t>原資産である株式価格が150円、1年ゼロクーポン債（額面100円）の価格が90円である。</t>
    <rPh sb="0" eb="3">
      <t>ゲンシサン</t>
    </rPh>
    <rPh sb="6" eb="8">
      <t>カブシキ</t>
    </rPh>
    <rPh sb="8" eb="10">
      <t>カカク</t>
    </rPh>
    <rPh sb="14" eb="15">
      <t>エン</t>
    </rPh>
    <rPh sb="17" eb="18">
      <t>ネン</t>
    </rPh>
    <rPh sb="24" eb="25">
      <t>サイ</t>
    </rPh>
    <rPh sb="26" eb="28">
      <t>ガクメン</t>
    </rPh>
    <rPh sb="31" eb="32">
      <t>エン</t>
    </rPh>
    <rPh sb="34" eb="36">
      <t>カカク</t>
    </rPh>
    <rPh sb="39" eb="40">
      <t>エン</t>
    </rPh>
    <phoneticPr fontId="1"/>
  </si>
  <si>
    <t>行使価格100円の１年満期コールオプションの価格55円であるとき、</t>
    <phoneticPr fontId="1"/>
  </si>
  <si>
    <t>C　＝　55円</t>
    <rPh sb="6" eb="7">
      <t>エン</t>
    </rPh>
    <phoneticPr fontId="1"/>
  </si>
  <si>
    <t>B　＝　90円</t>
    <rPh sb="6" eb="7">
      <t>エン</t>
    </rPh>
    <phoneticPr fontId="1"/>
  </si>
  <si>
    <t>55 - 150 + 90 = -5 &lt; 0</t>
    <phoneticPr fontId="1"/>
  </si>
  <si>
    <t>→裁定利益を得ることが出来る状態</t>
    <rPh sb="1" eb="3">
      <t>サイテイ</t>
    </rPh>
    <rPh sb="3" eb="5">
      <t>リエキ</t>
    </rPh>
    <rPh sb="6" eb="7">
      <t>エ</t>
    </rPh>
    <rPh sb="11" eb="13">
      <t>デキ</t>
    </rPh>
    <rPh sb="14" eb="16">
      <t>ジョウタイ</t>
    </rPh>
    <phoneticPr fontId="1"/>
  </si>
  <si>
    <t>コールオプションを55円で買う、原資産を150円で売る、ゼロクーポン債を90円で買う。</t>
    <rPh sb="11" eb="12">
      <t>エン</t>
    </rPh>
    <rPh sb="13" eb="14">
      <t>カ</t>
    </rPh>
    <rPh sb="16" eb="19">
      <t>ゲンシサン</t>
    </rPh>
    <rPh sb="23" eb="24">
      <t>エン</t>
    </rPh>
    <rPh sb="25" eb="26">
      <t>ウ</t>
    </rPh>
    <rPh sb="34" eb="35">
      <t>サイ</t>
    </rPh>
    <rPh sb="38" eb="39">
      <t>エン</t>
    </rPh>
    <rPh sb="40" eb="41">
      <t>カ</t>
    </rPh>
    <phoneticPr fontId="1"/>
  </si>
  <si>
    <t>コールオプションが、60円。</t>
    <rPh sb="12" eb="13">
      <t>エン</t>
    </rPh>
    <phoneticPr fontId="1"/>
  </si>
  <si>
    <t>プットの買い</t>
    <rPh sb="4" eb="5">
      <t>カ</t>
    </rPh>
    <phoneticPr fontId="1"/>
  </si>
  <si>
    <t>C　-S + K×df = P &gt; 0</t>
    <phoneticPr fontId="1"/>
  </si>
  <si>
    <t>[4]　④Far Out Of The Money　においてゼロ漸近　を　外れる条件をあえて考える。</t>
    <rPh sb="32" eb="34">
      <t>ゼンキン</t>
    </rPh>
    <rPh sb="37" eb="38">
      <t>ハズ</t>
    </rPh>
    <rPh sb="40" eb="42">
      <t>ジョウケン</t>
    </rPh>
    <rPh sb="46" eb="47">
      <t>カンガ</t>
    </rPh>
    <phoneticPr fontId="1"/>
  </si>
  <si>
    <t>原資産である株式価格が20円、1年にこの価格が100円に達する可能性は0である。</t>
    <rPh sb="0" eb="3">
      <t>ゲンシサン</t>
    </rPh>
    <rPh sb="6" eb="8">
      <t>カブシキ</t>
    </rPh>
    <rPh sb="8" eb="10">
      <t>カカク</t>
    </rPh>
    <rPh sb="13" eb="14">
      <t>エン</t>
    </rPh>
    <rPh sb="16" eb="17">
      <t>ネン</t>
    </rPh>
    <rPh sb="20" eb="22">
      <t>カカク</t>
    </rPh>
    <rPh sb="26" eb="27">
      <t>エン</t>
    </rPh>
    <rPh sb="28" eb="29">
      <t>タッ</t>
    </rPh>
    <rPh sb="31" eb="34">
      <t>カノウセイ</t>
    </rPh>
    <phoneticPr fontId="1"/>
  </si>
  <si>
    <t>行使価格100円の１年満期コールオプションの価格3円であるとき、</t>
    <phoneticPr fontId="1"/>
  </si>
  <si>
    <t>S　＝　20円</t>
    <rPh sb="6" eb="7">
      <t>エン</t>
    </rPh>
    <phoneticPr fontId="1"/>
  </si>
  <si>
    <t>C　＝　3円</t>
    <rPh sb="5" eb="6">
      <t>エン</t>
    </rPh>
    <phoneticPr fontId="1"/>
  </si>
  <si>
    <t>コールオプションを3円で売る。</t>
    <rPh sb="10" eb="11">
      <t>エン</t>
    </rPh>
    <rPh sb="12" eb="13">
      <t>ウ</t>
    </rPh>
    <phoneticPr fontId="1"/>
  </si>
  <si>
    <t>絶対に権利行使されない</t>
    <rPh sb="0" eb="2">
      <t>ゼッタイ</t>
    </rPh>
    <rPh sb="3" eb="5">
      <t>ケンリ</t>
    </rPh>
    <rPh sb="5" eb="7">
      <t>コウシ</t>
    </rPh>
    <phoneticPr fontId="1"/>
  </si>
  <si>
    <t>3円の利鞘が貰える。</t>
    <rPh sb="1" eb="2">
      <t>エン</t>
    </rPh>
    <rPh sb="3" eb="5">
      <t>リザヤ</t>
    </rPh>
    <rPh sb="6" eb="7">
      <t>モラ</t>
    </rPh>
    <phoneticPr fontId="1"/>
  </si>
  <si>
    <t>コールオプションが、0円。</t>
    <rPh sb="11" eb="12">
      <t>エン</t>
    </rPh>
    <phoneticPr fontId="1"/>
  </si>
  <si>
    <t>[5]　⑤Deep　In The　Moneyおいては、本質価値に漸近　を　外れる条件をあえて考える。</t>
    <rPh sb="37" eb="38">
      <t>ハズ</t>
    </rPh>
    <rPh sb="40" eb="42">
      <t>ジョウケン</t>
    </rPh>
    <rPh sb="46" eb="47">
      <t>カンガ</t>
    </rPh>
    <phoneticPr fontId="1"/>
  </si>
  <si>
    <t>原資産である株式価格が300円、1年にこの価格が100円に達する可能性は0である。</t>
    <rPh sb="0" eb="3">
      <t>ゲンシサン</t>
    </rPh>
    <rPh sb="6" eb="8">
      <t>カブシキ</t>
    </rPh>
    <rPh sb="8" eb="10">
      <t>カカク</t>
    </rPh>
    <rPh sb="14" eb="15">
      <t>エン</t>
    </rPh>
    <rPh sb="17" eb="18">
      <t>ネン</t>
    </rPh>
    <rPh sb="21" eb="23">
      <t>カカク</t>
    </rPh>
    <rPh sb="27" eb="28">
      <t>エン</t>
    </rPh>
    <rPh sb="29" eb="30">
      <t>タッ</t>
    </rPh>
    <rPh sb="32" eb="35">
      <t>カノウセイ</t>
    </rPh>
    <phoneticPr fontId="1"/>
  </si>
  <si>
    <t>1年ゼロクーポン債（額面100円）の価格が90円である。</t>
  </si>
  <si>
    <t>S　＝　300円</t>
    <rPh sb="7" eb="8">
      <t>エン</t>
    </rPh>
    <phoneticPr fontId="1"/>
  </si>
  <si>
    <t>行使価格100円の１年満期コールオプションの価格220円であるとき、</t>
    <phoneticPr fontId="1"/>
  </si>
  <si>
    <t>C　＝　220円</t>
    <rPh sb="7" eb="8">
      <t>エン</t>
    </rPh>
    <phoneticPr fontId="1"/>
  </si>
  <si>
    <t>220 - 300 + 90 =  10 &gt; 0</t>
    <phoneticPr fontId="1"/>
  </si>
  <si>
    <t>絶対に100円までには、落ちないので権利行使されない</t>
    <rPh sb="0" eb="2">
      <t>ゼッタイ</t>
    </rPh>
    <rPh sb="6" eb="7">
      <t>エン</t>
    </rPh>
    <rPh sb="12" eb="13">
      <t>オ</t>
    </rPh>
    <rPh sb="18" eb="20">
      <t>ケンリ</t>
    </rPh>
    <rPh sb="20" eb="22">
      <t>コウシ</t>
    </rPh>
    <phoneticPr fontId="1"/>
  </si>
  <si>
    <t>-220 + 300 -90 = -10 ( = -P )  &lt; 0</t>
    <phoneticPr fontId="1"/>
  </si>
  <si>
    <t>売る</t>
    <rPh sb="0" eb="1">
      <t>ウ</t>
    </rPh>
    <phoneticPr fontId="1"/>
  </si>
  <si>
    <t>コールオプションを220円で売る、原資産を300円で買い、ゼロクーポン債を90円で売る。</t>
    <rPh sb="12" eb="13">
      <t>エン</t>
    </rPh>
    <rPh sb="14" eb="15">
      <t>ウ</t>
    </rPh>
    <rPh sb="17" eb="20">
      <t>ゲンシサン</t>
    </rPh>
    <rPh sb="24" eb="25">
      <t>エン</t>
    </rPh>
    <rPh sb="26" eb="27">
      <t>カ</t>
    </rPh>
    <rPh sb="35" eb="36">
      <t>サイ</t>
    </rPh>
    <rPh sb="39" eb="40">
      <t>エン</t>
    </rPh>
    <rPh sb="41" eb="42">
      <t>ウ</t>
    </rPh>
    <phoneticPr fontId="1"/>
  </si>
  <si>
    <t>10円の利鞘が貰える。</t>
    <rPh sb="2" eb="3">
      <t>エン</t>
    </rPh>
    <rPh sb="4" eb="6">
      <t>リザヤ</t>
    </rPh>
    <rPh sb="7" eb="8">
      <t>モラ</t>
    </rPh>
    <phoneticPr fontId="1"/>
  </si>
  <si>
    <t>コールオプションが、210円。</t>
    <rPh sb="13" eb="14">
      <t>エン</t>
    </rPh>
    <phoneticPr fontId="1"/>
  </si>
  <si>
    <r>
      <t>C　-S + K×df = P →</t>
    </r>
    <r>
      <rPr>
        <sz val="9"/>
        <color rgb="FF0000FF"/>
        <rFont val="ＭＳ Ｐゴシック"/>
        <family val="3"/>
        <charset val="128"/>
        <scheme val="minor"/>
      </rPr>
      <t xml:space="preserve"> -C + S - K×df = -P</t>
    </r>
    <phoneticPr fontId="1"/>
  </si>
  <si>
    <t>プットオプション</t>
    <phoneticPr fontId="1"/>
  </si>
  <si>
    <t>①P　＞　０</t>
    <phoneticPr fontId="1"/>
  </si>
  <si>
    <t>②P　＜　K　× df</t>
    <phoneticPr fontId="1"/>
  </si>
  <si>
    <t>[1]　①P　＞　０　を外れる条件をあえて考える。</t>
    <rPh sb="12" eb="13">
      <t>ハズ</t>
    </rPh>
    <rPh sb="15" eb="17">
      <t>ジョウケン</t>
    </rPh>
    <rPh sb="21" eb="22">
      <t>カンガ</t>
    </rPh>
    <phoneticPr fontId="1"/>
  </si>
  <si>
    <t>S　＝　110円</t>
    <rPh sb="7" eb="8">
      <t>エン</t>
    </rPh>
    <phoneticPr fontId="1"/>
  </si>
  <si>
    <t>原資産である株式価格が110円、行使価格100円の１年満期プットオプションの価格が-3円であるとき、</t>
    <rPh sb="0" eb="3">
      <t>ゲンシサン</t>
    </rPh>
    <rPh sb="6" eb="8">
      <t>カブシキ</t>
    </rPh>
    <rPh sb="8" eb="10">
      <t>カカク</t>
    </rPh>
    <rPh sb="14" eb="15">
      <t>エン</t>
    </rPh>
    <rPh sb="16" eb="18">
      <t>コウシ</t>
    </rPh>
    <rPh sb="18" eb="20">
      <t>カカク</t>
    </rPh>
    <rPh sb="23" eb="24">
      <t>エン</t>
    </rPh>
    <rPh sb="26" eb="27">
      <t>ネン</t>
    </rPh>
    <rPh sb="27" eb="29">
      <t>マンキ</t>
    </rPh>
    <rPh sb="38" eb="40">
      <t>カカク</t>
    </rPh>
    <rPh sb="43" eb="44">
      <t>エン</t>
    </rPh>
    <phoneticPr fontId="1"/>
  </si>
  <si>
    <t>プットオプションを買えば、3円もらえる。</t>
    <rPh sb="9" eb="10">
      <t>カ</t>
    </rPh>
    <rPh sb="14" eb="15">
      <t>エン</t>
    </rPh>
    <phoneticPr fontId="1"/>
  </si>
  <si>
    <t>プットオプションが、0円。</t>
    <rPh sb="11" eb="12">
      <t>エン</t>
    </rPh>
    <phoneticPr fontId="1"/>
  </si>
  <si>
    <t>裁定利益を得る方法を示せ。この裁定機械はプットオプションの価格がいつらのときに消滅するか。</t>
    <rPh sb="0" eb="2">
      <t>サイテイ</t>
    </rPh>
    <rPh sb="2" eb="4">
      <t>リエキ</t>
    </rPh>
    <rPh sb="5" eb="6">
      <t>エ</t>
    </rPh>
    <rPh sb="7" eb="9">
      <t>ホウホウ</t>
    </rPh>
    <rPh sb="10" eb="11">
      <t>シメ</t>
    </rPh>
    <rPh sb="15" eb="17">
      <t>サイテイ</t>
    </rPh>
    <rPh sb="17" eb="19">
      <t>キカイ</t>
    </rPh>
    <rPh sb="29" eb="31">
      <t>カカク</t>
    </rPh>
    <rPh sb="39" eb="41">
      <t>ショウメツ</t>
    </rPh>
    <phoneticPr fontId="1"/>
  </si>
  <si>
    <t>プットオプションが、1円。</t>
    <rPh sb="11" eb="12">
      <t>エン</t>
    </rPh>
    <phoneticPr fontId="1"/>
  </si>
  <si>
    <t>[2]　②P　＜　K×df　を外れる条件をあえて考える。</t>
    <rPh sb="15" eb="16">
      <t>ハズ</t>
    </rPh>
    <rPh sb="18" eb="20">
      <t>ジョウケン</t>
    </rPh>
    <rPh sb="24" eb="25">
      <t>カンガ</t>
    </rPh>
    <phoneticPr fontId="1"/>
  </si>
  <si>
    <t>1年ゼロクーポン債（額面100円）の価格が90円である。行使価格100円の1年満期プットオプションの価格が95円</t>
    <rPh sb="1" eb="2">
      <t>ネン</t>
    </rPh>
    <rPh sb="8" eb="9">
      <t>サイ</t>
    </rPh>
    <rPh sb="10" eb="12">
      <t>ガクメン</t>
    </rPh>
    <rPh sb="15" eb="16">
      <t>エン</t>
    </rPh>
    <rPh sb="18" eb="20">
      <t>カカク</t>
    </rPh>
    <rPh sb="23" eb="24">
      <t>エン</t>
    </rPh>
    <rPh sb="28" eb="30">
      <t>コウシ</t>
    </rPh>
    <rPh sb="30" eb="32">
      <t>カカク</t>
    </rPh>
    <rPh sb="35" eb="36">
      <t>エン</t>
    </rPh>
    <rPh sb="38" eb="39">
      <t>ネン</t>
    </rPh>
    <rPh sb="39" eb="41">
      <t>マンキ</t>
    </rPh>
    <rPh sb="50" eb="52">
      <t>カカク</t>
    </rPh>
    <rPh sb="55" eb="56">
      <t>エン</t>
    </rPh>
    <phoneticPr fontId="1"/>
  </si>
  <si>
    <t>であるとき、裁定利益を得る方法を示せ。この裁定機会はプットオプション価格がいくらのときに消滅するか？</t>
    <rPh sb="6" eb="8">
      <t>サイテイ</t>
    </rPh>
    <rPh sb="8" eb="10">
      <t>リエキ</t>
    </rPh>
    <rPh sb="11" eb="12">
      <t>エ</t>
    </rPh>
    <rPh sb="13" eb="15">
      <t>ホウホウ</t>
    </rPh>
    <rPh sb="16" eb="17">
      <t>シメ</t>
    </rPh>
    <rPh sb="21" eb="23">
      <t>サイテイ</t>
    </rPh>
    <rPh sb="23" eb="25">
      <t>キカイ</t>
    </rPh>
    <rPh sb="34" eb="36">
      <t>カカク</t>
    </rPh>
    <rPh sb="44" eb="46">
      <t>ショウメツ</t>
    </rPh>
    <phoneticPr fontId="1"/>
  </si>
  <si>
    <t>P = 95</t>
    <phoneticPr fontId="1"/>
  </si>
  <si>
    <t>B = 90</t>
    <phoneticPr fontId="1"/>
  </si>
  <si>
    <t>P = 95 &gt; B = 90</t>
    <phoneticPr fontId="1"/>
  </si>
  <si>
    <t>売り</t>
    <rPh sb="0" eb="1">
      <t>ウ</t>
    </rPh>
    <phoneticPr fontId="1"/>
  </si>
  <si>
    <t>買い</t>
    <rPh sb="0" eb="1">
      <t>カ</t>
    </rPh>
    <phoneticPr fontId="1"/>
  </si>
  <si>
    <t>プットオプションを95円で売る、ゼロクーポン債を90円で買う。</t>
    <rPh sb="11" eb="12">
      <t>エン</t>
    </rPh>
    <rPh sb="13" eb="14">
      <t>ウ</t>
    </rPh>
    <rPh sb="22" eb="23">
      <t>サイ</t>
    </rPh>
    <rPh sb="26" eb="27">
      <t>エン</t>
    </rPh>
    <rPh sb="28" eb="29">
      <t>カ</t>
    </rPh>
    <phoneticPr fontId="1"/>
  </si>
  <si>
    <r>
      <rPr>
        <sz val="9"/>
        <color theme="1"/>
        <rFont val="ＭＳ Ｐゴシック"/>
        <family val="3"/>
        <charset val="128"/>
        <scheme val="minor"/>
      </rPr>
      <t>P + S -B = C</t>
    </r>
    <r>
      <rPr>
        <sz val="9"/>
        <color theme="1"/>
        <rFont val="ＭＳ Ｐゴシック"/>
        <family val="2"/>
        <charset val="128"/>
        <scheme val="minor"/>
      </rPr>
      <t xml:space="preserve"> →</t>
    </r>
    <r>
      <rPr>
        <sz val="9"/>
        <color rgb="FF0000FF"/>
        <rFont val="ＭＳ Ｐゴシック"/>
        <family val="3"/>
        <charset val="128"/>
        <scheme val="minor"/>
      </rPr>
      <t xml:space="preserve"> -P + 0 + B = -C</t>
    </r>
    <phoneticPr fontId="1"/>
  </si>
  <si>
    <t>コールの売り</t>
    <rPh sb="4" eb="5">
      <t>ウ</t>
    </rPh>
    <phoneticPr fontId="1"/>
  </si>
  <si>
    <t xml:space="preserve">③P（K) + S - B(K) = C(K)   &gt;  0 </t>
    <phoneticPr fontId="1"/>
  </si>
  <si>
    <t>[3]　③P（K) + S - B(K) = C(K)   &gt;  0 　を外れる条件をあえて考える。</t>
    <rPh sb="37" eb="38">
      <t>ハズ</t>
    </rPh>
    <rPh sb="40" eb="42">
      <t>ジョウケン</t>
    </rPh>
    <rPh sb="46" eb="47">
      <t>カンガ</t>
    </rPh>
    <phoneticPr fontId="1"/>
  </si>
  <si>
    <t>原資産である株式価格が70円、1年ゼロクーポン債（額面100円）の価格が90円である。</t>
    <rPh sb="0" eb="3">
      <t>ゲンシサン</t>
    </rPh>
    <rPh sb="6" eb="8">
      <t>カブシキ</t>
    </rPh>
    <rPh sb="8" eb="10">
      <t>カカク</t>
    </rPh>
    <rPh sb="13" eb="14">
      <t>エン</t>
    </rPh>
    <rPh sb="16" eb="17">
      <t>ネン</t>
    </rPh>
    <rPh sb="23" eb="24">
      <t>サイ</t>
    </rPh>
    <rPh sb="25" eb="27">
      <t>ガクメン</t>
    </rPh>
    <rPh sb="30" eb="31">
      <t>エン</t>
    </rPh>
    <rPh sb="33" eb="35">
      <t>カカク</t>
    </rPh>
    <rPh sb="38" eb="39">
      <t>エン</t>
    </rPh>
    <phoneticPr fontId="1"/>
  </si>
  <si>
    <t>行使価格100円の１年満期コールオプションの価格15円であるとき、</t>
    <phoneticPr fontId="1"/>
  </si>
  <si>
    <t>S　＝　70円</t>
    <rPh sb="6" eb="7">
      <t>エン</t>
    </rPh>
    <phoneticPr fontId="1"/>
  </si>
  <si>
    <t>P　＝　15円</t>
    <rPh sb="6" eb="7">
      <t>エン</t>
    </rPh>
    <phoneticPr fontId="1"/>
  </si>
  <si>
    <t>P + S -B = C</t>
  </si>
  <si>
    <t>P + S -B = C &gt; 0</t>
    <phoneticPr fontId="1"/>
  </si>
  <si>
    <t>15 + 70 - 90 &lt; 0</t>
    <phoneticPr fontId="1"/>
  </si>
  <si>
    <t>プットオプションを15円で買う、原資産を70円で買い、ゼロクーポン債を90円で売り。</t>
    <rPh sb="11" eb="12">
      <t>エン</t>
    </rPh>
    <rPh sb="13" eb="14">
      <t>カ</t>
    </rPh>
    <rPh sb="16" eb="19">
      <t>ゲンシサン</t>
    </rPh>
    <rPh sb="22" eb="23">
      <t>エン</t>
    </rPh>
    <rPh sb="24" eb="25">
      <t>カ</t>
    </rPh>
    <rPh sb="33" eb="34">
      <t>サイ</t>
    </rPh>
    <rPh sb="37" eb="38">
      <t>エン</t>
    </rPh>
    <rPh sb="39" eb="40">
      <t>ウ</t>
    </rPh>
    <phoneticPr fontId="1"/>
  </si>
  <si>
    <t>プットオプションが、20円。</t>
    <rPh sb="12" eb="13">
      <t>エン</t>
    </rPh>
    <phoneticPr fontId="1"/>
  </si>
  <si>
    <t>コールの買い</t>
    <rPh sb="4" eb="5">
      <t>カ</t>
    </rPh>
    <phoneticPr fontId="1"/>
  </si>
  <si>
    <t>原資産である株式価格が300円、1年にこの価格が100円に以下になる可能性は0である。</t>
    <rPh sb="0" eb="3">
      <t>ゲンシサン</t>
    </rPh>
    <rPh sb="6" eb="8">
      <t>カブシキ</t>
    </rPh>
    <rPh sb="8" eb="10">
      <t>カカク</t>
    </rPh>
    <rPh sb="14" eb="15">
      <t>エン</t>
    </rPh>
    <rPh sb="17" eb="18">
      <t>ネン</t>
    </rPh>
    <rPh sb="21" eb="23">
      <t>カカク</t>
    </rPh>
    <rPh sb="27" eb="28">
      <t>エン</t>
    </rPh>
    <rPh sb="29" eb="31">
      <t>イカ</t>
    </rPh>
    <rPh sb="34" eb="37">
      <t>カノウセイ</t>
    </rPh>
    <phoneticPr fontId="1"/>
  </si>
  <si>
    <t>行使価格100円の１年満期プットオプションの価格3円であるとき、</t>
    <phoneticPr fontId="1"/>
  </si>
  <si>
    <t>P　＝　3円</t>
    <rPh sb="5" eb="6">
      <t>エン</t>
    </rPh>
    <phoneticPr fontId="1"/>
  </si>
  <si>
    <t>プットオプションを3円で売る。</t>
    <rPh sb="10" eb="11">
      <t>エン</t>
    </rPh>
    <rPh sb="12" eb="13">
      <t>ウ</t>
    </rPh>
    <phoneticPr fontId="1"/>
  </si>
  <si>
    <t>行使価格100円の１年満期プットオプションの価格80円であるとき、</t>
    <phoneticPr fontId="1"/>
  </si>
  <si>
    <t>P　＝　80円</t>
    <rPh sb="6" eb="7">
      <t>エン</t>
    </rPh>
    <phoneticPr fontId="1"/>
  </si>
  <si>
    <t>-80 - 20 + 90 =  -10 &lt; 0</t>
    <phoneticPr fontId="1"/>
  </si>
  <si>
    <t>-80 - 20 +90 = -10 ( = -C )  &lt; 0</t>
    <phoneticPr fontId="1"/>
  </si>
  <si>
    <r>
      <rPr>
        <sz val="9"/>
        <color theme="1"/>
        <rFont val="ＭＳ Ｐゴシック"/>
        <family val="3"/>
        <charset val="128"/>
        <scheme val="minor"/>
      </rPr>
      <t>P + S -B = C</t>
    </r>
    <r>
      <rPr>
        <sz val="9"/>
        <color theme="1"/>
        <rFont val="ＭＳ Ｐゴシック"/>
        <family val="2"/>
        <charset val="128"/>
        <scheme val="minor"/>
      </rPr>
      <t xml:space="preserve"> → -</t>
    </r>
    <r>
      <rPr>
        <sz val="9"/>
        <color rgb="FF0000FF"/>
        <rFont val="ＭＳ Ｐゴシック"/>
        <family val="2"/>
        <charset val="128"/>
        <scheme val="minor"/>
      </rPr>
      <t>P - S + B = -C</t>
    </r>
    <phoneticPr fontId="1"/>
  </si>
  <si>
    <t>プットオプションを80円で売る、原資産を20円で売る、ゼロクーポン債を90円で買う。</t>
    <rPh sb="11" eb="12">
      <t>エン</t>
    </rPh>
    <rPh sb="13" eb="14">
      <t>ウ</t>
    </rPh>
    <rPh sb="16" eb="19">
      <t>ゲンシサン</t>
    </rPh>
    <rPh sb="22" eb="23">
      <t>エン</t>
    </rPh>
    <rPh sb="24" eb="25">
      <t>ウ</t>
    </rPh>
    <rPh sb="33" eb="34">
      <t>サイ</t>
    </rPh>
    <rPh sb="37" eb="38">
      <t>エン</t>
    </rPh>
    <rPh sb="39" eb="40">
      <t>カ</t>
    </rPh>
    <phoneticPr fontId="1"/>
  </si>
  <si>
    <t>プットオプションが、70円。</t>
    <rPh sb="12" eb="13">
      <t>エン</t>
    </rPh>
    <phoneticPr fontId="1"/>
  </si>
  <si>
    <t>バタフライスプレッドと裁定条件</t>
    <rPh sb="11" eb="13">
      <t>サイテイ</t>
    </rPh>
    <rPh sb="13" eb="15">
      <t>ジョウケン</t>
    </rPh>
    <phoneticPr fontId="1"/>
  </si>
  <si>
    <t>（１）コールを使ったバタフライ・スプレッド</t>
    <rPh sb="7" eb="8">
      <t>ツカ</t>
    </rPh>
    <phoneticPr fontId="1"/>
  </si>
  <si>
    <t>権利行使価格　Kｌ ＜ Km ＜ Kh</t>
    <rPh sb="0" eb="2">
      <t>ケンリ</t>
    </rPh>
    <rPh sb="2" eb="4">
      <t>コウシ</t>
    </rPh>
    <rPh sb="4" eb="6">
      <t>カカク</t>
    </rPh>
    <phoneticPr fontId="1"/>
  </si>
  <si>
    <t>バーティカルブルスプレッド</t>
    <phoneticPr fontId="1"/>
  </si>
  <si>
    <t>Ｋｌのコールを買い　　＋　　Ｋｍのコール売り</t>
    <rPh sb="7" eb="8">
      <t>カ</t>
    </rPh>
    <rPh sb="20" eb="21">
      <t>ウ</t>
    </rPh>
    <phoneticPr fontId="1"/>
  </si>
  <si>
    <t>バーティカルベアスプレッド</t>
    <phoneticPr fontId="1"/>
  </si>
  <si>
    <t>Ｋmのコールを売り　　＋　　Ｋhのコール買う</t>
    <rPh sb="7" eb="8">
      <t>ウ</t>
    </rPh>
    <rPh sb="20" eb="21">
      <t>カ</t>
    </rPh>
    <phoneticPr fontId="1"/>
  </si>
  <si>
    <t>この２つのポートフォリオを組み合わせた合成資産の満期時の価値は負になることはない。</t>
    <rPh sb="13" eb="14">
      <t>ク</t>
    </rPh>
    <rPh sb="15" eb="16">
      <t>ア</t>
    </rPh>
    <rPh sb="19" eb="21">
      <t>ゴウセイ</t>
    </rPh>
    <rPh sb="21" eb="23">
      <t>シサン</t>
    </rPh>
    <rPh sb="24" eb="27">
      <t>マンキジ</t>
    </rPh>
    <rPh sb="28" eb="30">
      <t>カチ</t>
    </rPh>
    <rPh sb="31" eb="32">
      <t>フ</t>
    </rPh>
    <phoneticPr fontId="1"/>
  </si>
  <si>
    <r>
      <t>ＫｍとＫｌのコールを</t>
    </r>
    <r>
      <rPr>
        <b/>
        <u/>
        <sz val="9"/>
        <color rgb="FFFF0000"/>
        <rFont val="ＭＳ Ｐゴシック"/>
        <family val="3"/>
        <charset val="128"/>
        <scheme val="minor"/>
      </rPr>
      <t>、Ｋｍ　－　Ｋｌ　　／　　Ｋｈ　－Ｋｍ</t>
    </r>
    <r>
      <rPr>
        <sz val="9"/>
        <color theme="1"/>
        <rFont val="ＭＳ Ｐゴシック"/>
        <family val="2"/>
        <charset val="128"/>
        <scheme val="minor"/>
      </rPr>
      <t>　使って、逆のバーティカルベアスプレッドを組む</t>
    </r>
    <rPh sb="30" eb="31">
      <t>ツカ</t>
    </rPh>
    <rPh sb="34" eb="35">
      <t>ギャク</t>
    </rPh>
    <rPh sb="50" eb="51">
      <t>ク</t>
    </rPh>
    <phoneticPr fontId="1"/>
  </si>
  <si>
    <t>①Ｃ（Ｋｌ）を１単位買う　・・・　マイナスＣ（Ｋｌ）</t>
    <rPh sb="8" eb="10">
      <t>タンイ</t>
    </rPh>
    <rPh sb="10" eb="11">
      <t>カ</t>
    </rPh>
    <phoneticPr fontId="1"/>
  </si>
  <si>
    <t>②Ｃ（Ｋｍ）を１単位売る　・・・　プラスＣ（Ｋｍ）</t>
    <rPh sb="8" eb="10">
      <t>タンイ</t>
    </rPh>
    <rPh sb="10" eb="11">
      <t>ウ</t>
    </rPh>
    <phoneticPr fontId="1"/>
  </si>
  <si>
    <t>③Ｃ（Ｋｍ）をＫｍ－Ｋｌ／Ｋｈ－Ｋｍ単位売る　・・・　プラス　Ｋｍ－Ｋｌ／Ｋｈ－Ｋｍ　×　Ｃ（Ｋm）</t>
    <rPh sb="18" eb="20">
      <t>タンイ</t>
    </rPh>
    <rPh sb="20" eb="21">
      <t>ウ</t>
    </rPh>
    <phoneticPr fontId="1"/>
  </si>
  <si>
    <t>④Ｃ（Ｋh）をＫｍ－Ｋｌ／Ｋｈ－Ｋｍ単位買う　・・・　マイナス　Ｋｍ－Ｋｌ／Ｋｈ－Ｋｍ　×　Ｃ（Ｋh）</t>
    <rPh sb="18" eb="20">
      <t>タンイ</t>
    </rPh>
    <rPh sb="20" eb="21">
      <t>カ</t>
    </rPh>
    <phoneticPr fontId="1"/>
  </si>
  <si>
    <t>Kh - Km = Km - Klのとき、バタフライスプレッドと呼ぶ。</t>
    <rPh sb="32" eb="33">
      <t>ヨ</t>
    </rPh>
    <phoneticPr fontId="1"/>
  </si>
  <si>
    <t>1低い権利行使価格のコールを1単位買う</t>
    <rPh sb="1" eb="2">
      <t>ヒク</t>
    </rPh>
    <rPh sb="3" eb="5">
      <t>ケンリ</t>
    </rPh>
    <rPh sb="5" eb="7">
      <t>コウシ</t>
    </rPh>
    <rPh sb="7" eb="9">
      <t>カカク</t>
    </rPh>
    <rPh sb="15" eb="17">
      <t>タンイ</t>
    </rPh>
    <rPh sb="17" eb="18">
      <t>カ</t>
    </rPh>
    <phoneticPr fontId="1"/>
  </si>
  <si>
    <t>2中の権利行使価格のコールを2単位売る</t>
    <rPh sb="1" eb="2">
      <t>チュウ</t>
    </rPh>
    <rPh sb="3" eb="5">
      <t>ケンリ</t>
    </rPh>
    <rPh sb="5" eb="7">
      <t>コウシ</t>
    </rPh>
    <rPh sb="7" eb="9">
      <t>カカク</t>
    </rPh>
    <rPh sb="15" eb="17">
      <t>タンイ</t>
    </rPh>
    <rPh sb="17" eb="18">
      <t>ウ</t>
    </rPh>
    <phoneticPr fontId="1"/>
  </si>
  <si>
    <t>3高い権利行使価格のコールを1単位買う</t>
    <rPh sb="1" eb="2">
      <t>タカ</t>
    </rPh>
    <rPh sb="3" eb="5">
      <t>ケンリ</t>
    </rPh>
    <rPh sb="5" eb="7">
      <t>コウシ</t>
    </rPh>
    <rPh sb="7" eb="9">
      <t>カカク</t>
    </rPh>
    <rPh sb="15" eb="17">
      <t>タンイ</t>
    </rPh>
    <rPh sb="17" eb="18">
      <t>カ</t>
    </rPh>
    <phoneticPr fontId="1"/>
  </si>
  <si>
    <t>Km-Kl</t>
    <phoneticPr fontId="1"/>
  </si>
  <si>
    <t>C(Kl)  - C(Km)  + Km-Kl/Kh-Km ×（　-Ｃ（Km) + C(Kh) ) &gt;  0</t>
    <phoneticPr fontId="1"/>
  </si>
  <si>
    <t>C(Kl) - C(Km)  / Km-Kl  &gt;  C(Km) - C(Kh) / Kh - Km</t>
    <phoneticPr fontId="1"/>
  </si>
  <si>
    <t>↓</t>
    <phoneticPr fontId="1"/>
  </si>
  <si>
    <t>C(Kl)</t>
    <phoneticPr fontId="1"/>
  </si>
  <si>
    <t>C(Km)</t>
    <phoneticPr fontId="1"/>
  </si>
  <si>
    <t>C(Kh)</t>
    <phoneticPr fontId="1"/>
  </si>
  <si>
    <t>convexity ・・・　下に凸</t>
    <rPh sb="14" eb="15">
      <t>シタ</t>
    </rPh>
    <rPh sb="16" eb="17">
      <t>トツ</t>
    </rPh>
    <phoneticPr fontId="1"/>
  </si>
  <si>
    <t>（2）プットを使ったバタフライ・スプレッド</t>
    <rPh sb="7" eb="8">
      <t>ツカ</t>
    </rPh>
    <phoneticPr fontId="1"/>
  </si>
  <si>
    <t>Ｋhをプット買い　　＋　　Ｋｍのプット売り</t>
    <rPh sb="6" eb="7">
      <t>カ</t>
    </rPh>
    <rPh sb="19" eb="20">
      <t>ウ</t>
    </rPh>
    <phoneticPr fontId="1"/>
  </si>
  <si>
    <r>
      <t>ＫｍとＫｌのコールを</t>
    </r>
    <r>
      <rPr>
        <b/>
        <u/>
        <sz val="9"/>
        <color rgb="FFFF0000"/>
        <rFont val="ＭＳ Ｐゴシック"/>
        <family val="3"/>
        <charset val="128"/>
        <scheme val="minor"/>
      </rPr>
      <t>、Ｋh　－　Ｋm　　／　　Ｋm　－Ｋl</t>
    </r>
    <r>
      <rPr>
        <sz val="9"/>
        <color theme="1"/>
        <rFont val="ＭＳ Ｐゴシック"/>
        <family val="2"/>
        <charset val="128"/>
        <scheme val="minor"/>
      </rPr>
      <t>　使って、逆のバーティカルブルスプレッドを組む</t>
    </r>
    <rPh sb="30" eb="31">
      <t>ツカ</t>
    </rPh>
    <rPh sb="34" eb="35">
      <t>ギャク</t>
    </rPh>
    <rPh sb="50" eb="51">
      <t>ク</t>
    </rPh>
    <phoneticPr fontId="1"/>
  </si>
  <si>
    <t>Ｋmのプットを売り　　＋　　Ｋlのプット買う</t>
    <rPh sb="7" eb="8">
      <t>ウ</t>
    </rPh>
    <rPh sb="20" eb="21">
      <t>カ</t>
    </rPh>
    <phoneticPr fontId="1"/>
  </si>
  <si>
    <t>Kh-Km</t>
    <phoneticPr fontId="1"/>
  </si>
  <si>
    <t>1低い権利行使価格のプットを1単位買う</t>
    <rPh sb="1" eb="2">
      <t>ヒク</t>
    </rPh>
    <rPh sb="3" eb="5">
      <t>ケンリ</t>
    </rPh>
    <rPh sb="5" eb="7">
      <t>コウシ</t>
    </rPh>
    <rPh sb="7" eb="9">
      <t>カカク</t>
    </rPh>
    <rPh sb="15" eb="17">
      <t>タンイ</t>
    </rPh>
    <rPh sb="17" eb="18">
      <t>カ</t>
    </rPh>
    <phoneticPr fontId="1"/>
  </si>
  <si>
    <t>2中の権利行使価格のプットを2単位売る</t>
    <rPh sb="1" eb="2">
      <t>チュウ</t>
    </rPh>
    <rPh sb="3" eb="5">
      <t>ケンリ</t>
    </rPh>
    <rPh sb="5" eb="7">
      <t>コウシ</t>
    </rPh>
    <rPh sb="7" eb="9">
      <t>カカク</t>
    </rPh>
    <rPh sb="15" eb="17">
      <t>タンイ</t>
    </rPh>
    <rPh sb="17" eb="18">
      <t>ウ</t>
    </rPh>
    <phoneticPr fontId="1"/>
  </si>
  <si>
    <t>3高い権利行使価格のプットを1単位買う</t>
    <rPh sb="1" eb="2">
      <t>タカ</t>
    </rPh>
    <rPh sb="3" eb="5">
      <t>ケンリ</t>
    </rPh>
    <rPh sb="5" eb="7">
      <t>コウシ</t>
    </rPh>
    <rPh sb="7" eb="9">
      <t>カカク</t>
    </rPh>
    <rPh sb="15" eb="17">
      <t>タンイ</t>
    </rPh>
    <rPh sb="17" eb="18">
      <t>カ</t>
    </rPh>
    <phoneticPr fontId="1"/>
  </si>
  <si>
    <t>②Ｐ（Ｋｍ）を１単位売る　・・・　プラスＰ（Ｋｍ）</t>
  </si>
  <si>
    <t>③Ｐ（Ｋｍ）をＫh－Ｋm／Ｋm－Ｋl単位売る　・・・　プラス　Ｋh－Ｋm／Ｋm－Ｋl　×　Ｐ（Ｋm）</t>
    <phoneticPr fontId="1"/>
  </si>
  <si>
    <t>①Ｐ（Ｋh）を１単位買う　・・・　マイナスＰ（Ｋｌ）</t>
    <phoneticPr fontId="1"/>
  </si>
  <si>
    <t>④Ｐ（Ｋl）をＫh－Ｋm／Ｋm－Ｋl単位買う　・・・　マイナス　Ｋh－Ｋm／Ｋm－Ｋl　×　Ｐ（Ｋl）</t>
    <phoneticPr fontId="1"/>
  </si>
  <si>
    <t>P(Kh)  - P(Km)  + Kh-Km/Km-Kl ×（　-P（Km) + P(Kl) ) &gt;  0</t>
    <phoneticPr fontId="1"/>
  </si>
  <si>
    <t>P(Kh) - P(Km) / Kh - Km &gt; P(Km) - P(Kl) / Km - Kl</t>
    <phoneticPr fontId="1"/>
  </si>
  <si>
    <t>P(Kh)</t>
    <phoneticPr fontId="1"/>
  </si>
  <si>
    <t>P(Km)</t>
    <phoneticPr fontId="1"/>
  </si>
  <si>
    <t>P(Kl)</t>
    <phoneticPr fontId="1"/>
  </si>
  <si>
    <t>アービトラージの確認問題と宿題</t>
    <rPh sb="8" eb="10">
      <t>カクニン</t>
    </rPh>
    <rPh sb="10" eb="12">
      <t>モンダイ</t>
    </rPh>
    <rPh sb="13" eb="15">
      <t>シュクダイ</t>
    </rPh>
    <phoneticPr fontId="1"/>
  </si>
  <si>
    <t>確認問題</t>
    <rPh sb="0" eb="2">
      <t>カクニン</t>
    </rPh>
    <rPh sb="2" eb="4">
      <t>モンダイ</t>
    </rPh>
    <phoneticPr fontId="1"/>
  </si>
  <si>
    <t>(1)原資産である株式の価格が96円、6か月ゼロクーポン債（額面100円）の価格が99.6円で取引されている。</t>
    <rPh sb="3" eb="6">
      <t>ゲンシサン</t>
    </rPh>
    <rPh sb="9" eb="11">
      <t>カブシキ</t>
    </rPh>
    <rPh sb="12" eb="14">
      <t>カカク</t>
    </rPh>
    <rPh sb="17" eb="18">
      <t>エン</t>
    </rPh>
    <rPh sb="21" eb="22">
      <t>ゲツ</t>
    </rPh>
    <rPh sb="28" eb="29">
      <t>サイ</t>
    </rPh>
    <rPh sb="30" eb="32">
      <t>ガクメン</t>
    </rPh>
    <rPh sb="35" eb="36">
      <t>エン</t>
    </rPh>
    <rPh sb="38" eb="40">
      <t>カカク</t>
    </rPh>
    <rPh sb="45" eb="46">
      <t>エン</t>
    </rPh>
    <rPh sb="47" eb="49">
      <t>トリヒキ</t>
    </rPh>
    <phoneticPr fontId="1"/>
  </si>
  <si>
    <t>　　この時、行使価格100円の6か月満期プットオプションの価格が2円であるとき、裁定利益を得る方法を示せ。</t>
    <rPh sb="4" eb="5">
      <t>トキ</t>
    </rPh>
    <rPh sb="6" eb="8">
      <t>コウシ</t>
    </rPh>
    <rPh sb="8" eb="10">
      <t>カカク</t>
    </rPh>
    <rPh sb="13" eb="14">
      <t>エン</t>
    </rPh>
    <rPh sb="17" eb="18">
      <t>ゲツ</t>
    </rPh>
    <rPh sb="18" eb="20">
      <t>マンキ</t>
    </rPh>
    <rPh sb="29" eb="31">
      <t>カカク</t>
    </rPh>
    <rPh sb="33" eb="34">
      <t>エン</t>
    </rPh>
    <rPh sb="40" eb="42">
      <t>サイテイ</t>
    </rPh>
    <rPh sb="42" eb="44">
      <t>リエキ</t>
    </rPh>
    <rPh sb="45" eb="46">
      <t>エ</t>
    </rPh>
    <rPh sb="47" eb="49">
      <t>ホウホウ</t>
    </rPh>
    <rPh sb="50" eb="51">
      <t>シメ</t>
    </rPh>
    <phoneticPr fontId="1"/>
  </si>
  <si>
    <t>　　またその取引を行った場合の、満期時店でのキャッシュフロー図を横軸に満期時点の株価、縦軸に満期時点</t>
    <rPh sb="6" eb="8">
      <t>トリヒキ</t>
    </rPh>
    <rPh sb="9" eb="10">
      <t>オコナ</t>
    </rPh>
    <rPh sb="12" eb="14">
      <t>バアイ</t>
    </rPh>
    <rPh sb="16" eb="19">
      <t>マンキジ</t>
    </rPh>
    <rPh sb="19" eb="20">
      <t>テン</t>
    </rPh>
    <rPh sb="30" eb="31">
      <t>ズ</t>
    </rPh>
    <rPh sb="32" eb="34">
      <t>ヨコジク</t>
    </rPh>
    <rPh sb="35" eb="37">
      <t>マンキ</t>
    </rPh>
    <rPh sb="37" eb="39">
      <t>ジテン</t>
    </rPh>
    <rPh sb="40" eb="42">
      <t>カブカ</t>
    </rPh>
    <rPh sb="43" eb="45">
      <t>タテジク</t>
    </rPh>
    <rPh sb="46" eb="48">
      <t>マンキ</t>
    </rPh>
    <rPh sb="48" eb="50">
      <t>ジテン</t>
    </rPh>
    <phoneticPr fontId="1"/>
  </si>
  <si>
    <t>　　の複製ボートフォリオの価値として図示せよ。さらに、裁定取引が出来ない場合のぷっとオプションのプレミアム</t>
    <rPh sb="3" eb="5">
      <t>フクセイ</t>
    </rPh>
    <rPh sb="13" eb="15">
      <t>カチ</t>
    </rPh>
    <rPh sb="18" eb="20">
      <t>ズシ</t>
    </rPh>
    <rPh sb="27" eb="29">
      <t>サイテイ</t>
    </rPh>
    <rPh sb="29" eb="31">
      <t>トリヒキ</t>
    </rPh>
    <rPh sb="32" eb="34">
      <t>デキ</t>
    </rPh>
    <rPh sb="36" eb="38">
      <t>バアイ</t>
    </rPh>
    <phoneticPr fontId="1"/>
  </si>
  <si>
    <t>　　はいくらか？</t>
    <phoneticPr fontId="1"/>
  </si>
  <si>
    <t>S=96円</t>
    <rPh sb="4" eb="5">
      <t>エン</t>
    </rPh>
    <phoneticPr fontId="1"/>
  </si>
  <si>
    <t>P=2円</t>
    <rPh sb="3" eb="4">
      <t>エン</t>
    </rPh>
    <phoneticPr fontId="1"/>
  </si>
  <si>
    <t>B=99.6円</t>
    <rPh sb="6" eb="7">
      <t>エン</t>
    </rPh>
    <phoneticPr fontId="1"/>
  </si>
  <si>
    <t>2 + 96 - 99.6 =  -1.6 &lt; 0</t>
    <phoneticPr fontId="1"/>
  </si>
  <si>
    <t>→裁定利益を得ることが出来る状態は逆になる</t>
    <rPh sb="1" eb="3">
      <t>サイテイ</t>
    </rPh>
    <rPh sb="3" eb="5">
      <t>リエキ</t>
    </rPh>
    <rPh sb="6" eb="7">
      <t>エ</t>
    </rPh>
    <rPh sb="11" eb="13">
      <t>デキ</t>
    </rPh>
    <rPh sb="14" eb="16">
      <t>ジョウタイ</t>
    </rPh>
    <rPh sb="17" eb="18">
      <t>ギャク</t>
    </rPh>
    <phoneticPr fontId="1"/>
  </si>
  <si>
    <t>プットオプションを2円で買う、原資産を96円で買い、ゼロクーポン債を99.6円で売り。</t>
    <rPh sb="10" eb="11">
      <t>エン</t>
    </rPh>
    <rPh sb="12" eb="13">
      <t>カ</t>
    </rPh>
    <rPh sb="15" eb="18">
      <t>ゲンシサン</t>
    </rPh>
    <rPh sb="21" eb="22">
      <t>エン</t>
    </rPh>
    <rPh sb="23" eb="24">
      <t>カ</t>
    </rPh>
    <rPh sb="32" eb="33">
      <t>サイ</t>
    </rPh>
    <rPh sb="38" eb="39">
      <t>エン</t>
    </rPh>
    <rPh sb="40" eb="41">
      <t>ウ</t>
    </rPh>
    <phoneticPr fontId="1"/>
  </si>
  <si>
    <t>1.6円の利鞘が貰える。</t>
    <rPh sb="3" eb="4">
      <t>エン</t>
    </rPh>
    <rPh sb="5" eb="7">
      <t>リザヤ</t>
    </rPh>
    <rPh sb="8" eb="9">
      <t>モラ</t>
    </rPh>
    <phoneticPr fontId="1"/>
  </si>
  <si>
    <t>プットオプションが、3.6円。</t>
    <rPh sb="13" eb="14">
      <t>エン</t>
    </rPh>
    <phoneticPr fontId="1"/>
  </si>
  <si>
    <t>(2)①</t>
    <phoneticPr fontId="1"/>
  </si>
  <si>
    <t>3か月オプションについて、行使価格15500円のコール245円、プットは285円</t>
    <rPh sb="2" eb="3">
      <t>ゲツ</t>
    </rPh>
    <rPh sb="13" eb="15">
      <t>コウシ</t>
    </rPh>
    <rPh sb="15" eb="17">
      <t>カカク</t>
    </rPh>
    <rPh sb="22" eb="23">
      <t>エン</t>
    </rPh>
    <rPh sb="30" eb="31">
      <t>エン</t>
    </rPh>
    <rPh sb="39" eb="40">
      <t>エン</t>
    </rPh>
    <phoneticPr fontId="1"/>
  </si>
  <si>
    <t>3か月オプションについて、行使価格15250円のコール295円、プットは65円</t>
    <rPh sb="2" eb="3">
      <t>ゲツ</t>
    </rPh>
    <rPh sb="13" eb="15">
      <t>コウシ</t>
    </rPh>
    <rPh sb="15" eb="17">
      <t>カカク</t>
    </rPh>
    <rPh sb="22" eb="23">
      <t>エン</t>
    </rPh>
    <rPh sb="30" eb="31">
      <t>エン</t>
    </rPh>
    <rPh sb="38" eb="39">
      <t>エン</t>
    </rPh>
    <phoneticPr fontId="1"/>
  </si>
  <si>
    <t>{ 245 - 285 } - { 295 - 65 } = B(15500 - 15250)</t>
    <phoneticPr fontId="1"/>
  </si>
  <si>
    <t xml:space="preserve">  -40  -  ( 230 ) = B(250)</t>
    <phoneticPr fontId="1"/>
  </si>
  <si>
    <t>- 270  = B(250)</t>
    <phoneticPr fontId="1"/>
  </si>
  <si>
    <t>20円の利鞘をもらえる。</t>
    <rPh sb="2" eb="3">
      <t>エン</t>
    </rPh>
    <rPh sb="4" eb="6">
      <t>リザヤ</t>
    </rPh>
    <phoneticPr fontId="1"/>
  </si>
  <si>
    <t>行使価格15500円のコール245円　：　買</t>
    <rPh sb="0" eb="2">
      <t>コウシ</t>
    </rPh>
    <rPh sb="2" eb="4">
      <t>カカク</t>
    </rPh>
    <rPh sb="9" eb="10">
      <t>エン</t>
    </rPh>
    <rPh sb="17" eb="18">
      <t>エン</t>
    </rPh>
    <rPh sb="21" eb="22">
      <t>カイ</t>
    </rPh>
    <phoneticPr fontId="1"/>
  </si>
  <si>
    <t>行使価格15500円のプット285円　：　売</t>
    <rPh sb="0" eb="2">
      <t>コウシ</t>
    </rPh>
    <rPh sb="2" eb="4">
      <t>カカク</t>
    </rPh>
    <rPh sb="9" eb="10">
      <t>エン</t>
    </rPh>
    <rPh sb="17" eb="18">
      <t>エン</t>
    </rPh>
    <rPh sb="21" eb="22">
      <t>ウ</t>
    </rPh>
    <phoneticPr fontId="1"/>
  </si>
  <si>
    <t>行使価格15250円のコール295円　：　売</t>
    <rPh sb="0" eb="2">
      <t>コウシ</t>
    </rPh>
    <rPh sb="2" eb="4">
      <t>カカク</t>
    </rPh>
    <rPh sb="9" eb="10">
      <t>エン</t>
    </rPh>
    <rPh sb="17" eb="18">
      <t>エン</t>
    </rPh>
    <rPh sb="21" eb="22">
      <t>ウ</t>
    </rPh>
    <phoneticPr fontId="1"/>
  </si>
  <si>
    <t>行使価格15250円のプット295円　：　買</t>
    <rPh sb="0" eb="2">
      <t>コウシ</t>
    </rPh>
    <rPh sb="2" eb="4">
      <t>カカク</t>
    </rPh>
    <rPh sb="9" eb="10">
      <t>エン</t>
    </rPh>
    <rPh sb="17" eb="18">
      <t>エン</t>
    </rPh>
    <rPh sb="21" eb="22">
      <t>カイ</t>
    </rPh>
    <phoneticPr fontId="1"/>
  </si>
  <si>
    <t>上記のように考えると、合成資産 = ゼロクーポン債Ｂ（額面：250円）を買えば、270円もらえることになり、</t>
    <rPh sb="0" eb="2">
      <t>ジョウキ</t>
    </rPh>
    <rPh sb="6" eb="7">
      <t>カンガ</t>
    </rPh>
    <rPh sb="11" eb="13">
      <t>ゴウセイ</t>
    </rPh>
    <rPh sb="13" eb="15">
      <t>シサン</t>
    </rPh>
    <rPh sb="24" eb="25">
      <t>サイ</t>
    </rPh>
    <rPh sb="27" eb="29">
      <t>ガクメン</t>
    </rPh>
    <rPh sb="33" eb="34">
      <t>エン</t>
    </rPh>
    <rPh sb="36" eb="37">
      <t>カ</t>
    </rPh>
    <rPh sb="43" eb="44">
      <t>エン</t>
    </rPh>
    <phoneticPr fontId="1"/>
  </si>
  <si>
    <t>(2)②</t>
    <phoneticPr fontId="1"/>
  </si>
  <si>
    <t>ある配当のない株式Ａが1000円で取引されていて、その株式Ａを原資産とする１年後の行使価格1000円の</t>
    <rPh sb="2" eb="4">
      <t>ハイトウ</t>
    </rPh>
    <rPh sb="7" eb="9">
      <t>カブシキ</t>
    </rPh>
    <rPh sb="15" eb="16">
      <t>エン</t>
    </rPh>
    <rPh sb="17" eb="19">
      <t>トリヒキ</t>
    </rPh>
    <rPh sb="27" eb="29">
      <t>カブシキ</t>
    </rPh>
    <rPh sb="31" eb="34">
      <t>ゲンシサン</t>
    </rPh>
    <rPh sb="38" eb="40">
      <t>ネンゴ</t>
    </rPh>
    <rPh sb="41" eb="43">
      <t>コウシ</t>
    </rPh>
    <rPh sb="43" eb="45">
      <t>カカク</t>
    </rPh>
    <rPh sb="49" eb="50">
      <t>エン</t>
    </rPh>
    <phoneticPr fontId="1"/>
  </si>
  <si>
    <t>コールオプションが220円、プットオプションが200円で取引されている。</t>
    <rPh sb="12" eb="13">
      <t>エン</t>
    </rPh>
    <rPh sb="26" eb="27">
      <t>エン</t>
    </rPh>
    <rPh sb="28" eb="30">
      <t>トリヒキ</t>
    </rPh>
    <phoneticPr fontId="1"/>
  </si>
  <si>
    <t>1年間の金利は借りる場合も、預金する場合も1%とする。どのようなアービトラージが可能か</t>
    <rPh sb="1" eb="3">
      <t>ネンカン</t>
    </rPh>
    <rPh sb="4" eb="6">
      <t>キンリ</t>
    </rPh>
    <rPh sb="7" eb="8">
      <t>カ</t>
    </rPh>
    <rPh sb="10" eb="12">
      <t>バアイ</t>
    </rPh>
    <rPh sb="14" eb="16">
      <t>ヨキン</t>
    </rPh>
    <rPh sb="18" eb="20">
      <t>バアイ</t>
    </rPh>
    <rPh sb="40" eb="42">
      <t>カノウ</t>
    </rPh>
    <phoneticPr fontId="1"/>
  </si>
  <si>
    <t>S=1000円</t>
    <rPh sb="6" eb="7">
      <t>エン</t>
    </rPh>
    <phoneticPr fontId="1"/>
  </si>
  <si>
    <t>C=220円</t>
    <rPh sb="5" eb="6">
      <t>エン</t>
    </rPh>
    <phoneticPr fontId="1"/>
  </si>
  <si>
    <t>P=200円</t>
    <rPh sb="5" eb="6">
      <t>エン</t>
    </rPh>
    <phoneticPr fontId="1"/>
  </si>
  <si>
    <t>B=1010円</t>
    <rPh sb="6" eb="7">
      <t>エン</t>
    </rPh>
    <phoneticPr fontId="1"/>
  </si>
  <si>
    <t>←金利の場合は、仕組債と逆になる</t>
    <rPh sb="1" eb="3">
      <t>キンリ</t>
    </rPh>
    <rPh sb="4" eb="6">
      <t>バアイ</t>
    </rPh>
    <rPh sb="8" eb="11">
      <t>シクミサイ</t>
    </rPh>
    <rPh sb="12" eb="13">
      <t>ギャク</t>
    </rPh>
    <phoneticPr fontId="1"/>
  </si>
  <si>
    <t>-C + P = -S + B</t>
    <phoneticPr fontId="1"/>
  </si>
  <si>
    <t>-C + P + S - B = 0</t>
    <phoneticPr fontId="1"/>
  </si>
  <si>
    <t>コール220円　：　売</t>
    <rPh sb="6" eb="7">
      <t>エン</t>
    </rPh>
    <rPh sb="10" eb="11">
      <t>ウ</t>
    </rPh>
    <phoneticPr fontId="1"/>
  </si>
  <si>
    <t>プット200円　：　買</t>
    <rPh sb="6" eb="7">
      <t>エン</t>
    </rPh>
    <rPh sb="10" eb="11">
      <t>カ</t>
    </rPh>
    <phoneticPr fontId="1"/>
  </si>
  <si>
    <t xml:space="preserve"> </t>
    <phoneticPr fontId="1"/>
  </si>
  <si>
    <t>株1000円     ：　買</t>
    <rPh sb="0" eb="1">
      <t>カブ</t>
    </rPh>
    <rPh sb="5" eb="6">
      <t>エン</t>
    </rPh>
    <rPh sb="13" eb="14">
      <t>カ</t>
    </rPh>
    <phoneticPr fontId="1"/>
  </si>
  <si>
    <t>1000円（金利1%)を、借りる</t>
    <rPh sb="4" eb="5">
      <t>エン</t>
    </rPh>
    <rPh sb="6" eb="8">
      <t>キンリ</t>
    </rPh>
    <rPh sb="13" eb="14">
      <t>カ</t>
    </rPh>
    <phoneticPr fontId="1"/>
  </si>
  <si>
    <t>10円の利鞘が得れる。</t>
    <rPh sb="2" eb="3">
      <t>エン</t>
    </rPh>
    <rPh sb="4" eb="6">
      <t>リザヤ</t>
    </rPh>
    <rPh sb="7" eb="8">
      <t>エ</t>
    </rPh>
    <phoneticPr fontId="1"/>
  </si>
  <si>
    <t>C -P -S + B = 220 - 200 + (-1)×(- 1000 + 1010）</t>
    <phoneticPr fontId="1"/>
  </si>
  <si>
    <t>C -P -S + B = 220 - 200 + 1000 - 1010</t>
    <phoneticPr fontId="1"/>
  </si>
  <si>
    <t>C -P -S + B = 10</t>
    <phoneticPr fontId="1"/>
  </si>
  <si>
    <t>-220 + 200 + 1000 - 1010 = -10 &lt; 0</t>
    <phoneticPr fontId="1"/>
  </si>
  <si>
    <t>仕組債と金利はちょっと似てるけど違う。</t>
    <rPh sb="0" eb="3">
      <t>シクミサイ</t>
    </rPh>
    <rPh sb="4" eb="6">
      <t>キンリ</t>
    </rPh>
    <rPh sb="11" eb="12">
      <t>ニ</t>
    </rPh>
    <rPh sb="16" eb="17">
      <t>チガ</t>
    </rPh>
    <phoneticPr fontId="1"/>
  </si>
  <si>
    <t>この-1を掛けた等式を書いて、後は答えを書けば良い。</t>
    <rPh sb="5" eb="6">
      <t>カ</t>
    </rPh>
    <rPh sb="8" eb="10">
      <t>トウシキ</t>
    </rPh>
    <rPh sb="11" eb="12">
      <t>カ</t>
    </rPh>
    <rPh sb="15" eb="16">
      <t>アト</t>
    </rPh>
    <rPh sb="17" eb="18">
      <t>コタ</t>
    </rPh>
    <rPh sb="20" eb="21">
      <t>カ</t>
    </rPh>
    <rPh sb="23" eb="24">
      <t>ヨ</t>
    </rPh>
    <phoneticPr fontId="1"/>
  </si>
  <si>
    <t>プットオプションが、90円。</t>
    <rPh sb="12" eb="13">
      <t>エン</t>
    </rPh>
    <phoneticPr fontId="1"/>
  </si>
  <si>
    <t>宿題　無裁定理論</t>
    <rPh sb="0" eb="2">
      <t>シュクダイ</t>
    </rPh>
    <rPh sb="3" eb="4">
      <t>ム</t>
    </rPh>
    <rPh sb="4" eb="6">
      <t>サイテイ</t>
    </rPh>
    <rPh sb="6" eb="8">
      <t>リロン</t>
    </rPh>
    <phoneticPr fontId="1"/>
  </si>
  <si>
    <t>X　＝　100.80</t>
    <phoneticPr fontId="1"/>
  </si>
  <si>
    <t>df1.0 = 99.60 / 100 = 0.9960</t>
    <phoneticPr fontId="1"/>
  </si>
  <si>
    <t xml:space="preserve">df2.0 = ??? / 100 </t>
    <phoneticPr fontId="1"/>
  </si>
  <si>
    <t>df2.0</t>
    <phoneticPr fontId="1"/>
  </si>
  <si>
    <t>Y = 1*df1.0 + 101*df2.0 = 100.80</t>
    <phoneticPr fontId="1"/>
  </si>
  <si>
    <t>問1 (2)</t>
    <rPh sb="0" eb="1">
      <t>トイ</t>
    </rPh>
    <phoneticPr fontId="1"/>
  </si>
  <si>
    <t>これは以下のようにして導かれる。</t>
  </si>
  <si>
    <r>
      <t>調達および運用を</t>
    </r>
    <r>
      <rPr>
        <sz val="10"/>
        <color rgb="FF000000"/>
        <rFont val="Arial"/>
        <family val="2"/>
      </rPr>
      <t>1</t>
    </r>
    <r>
      <rPr>
        <sz val="10"/>
        <color rgb="FF000000"/>
        <rFont val="ＭＳ ゴシック"/>
        <family val="3"/>
        <charset val="128"/>
      </rPr>
      <t>年当たり</t>
    </r>
    <r>
      <rPr>
        <sz val="10"/>
        <color rgb="FF000000"/>
        <rFont val="Arial"/>
        <family val="2"/>
      </rPr>
      <t>n</t>
    </r>
    <r>
      <rPr>
        <sz val="10"/>
        <color rgb="FF000000"/>
        <rFont val="ＭＳ ゴシック"/>
        <family val="3"/>
        <charset val="128"/>
      </rPr>
      <t>回の複利運用した場合、先の一般式は以下の形に書き換えられる。</t>
    </r>
  </si>
  <si>
    <r>
      <t>これを連続複利に拡張する、つまり</t>
    </r>
    <r>
      <rPr>
        <sz val="10"/>
        <color rgb="FF000000"/>
        <rFont val="Arial"/>
        <family val="2"/>
      </rPr>
      <t>n</t>
    </r>
    <r>
      <rPr>
        <sz val="10"/>
        <color rgb="FF000000"/>
        <rFont val="ＭＳ ゴシック"/>
        <family val="3"/>
        <charset val="128"/>
      </rPr>
      <t>を無限大とする極限をとると、</t>
    </r>
  </si>
  <si>
    <t>F: 理論先物価格</t>
    <phoneticPr fontId="1"/>
  </si>
  <si>
    <t>CF: 変換係数</t>
    <phoneticPr fontId="1"/>
  </si>
  <si>
    <t>r:ファンディング・レート</t>
    <phoneticPr fontId="1"/>
  </si>
  <si>
    <t>q:クーポン・レート</t>
    <phoneticPr fontId="1"/>
  </si>
  <si>
    <t>T:先物の満期までの期間</t>
    <phoneticPr fontId="1"/>
  </si>
  <si>
    <t>参考ＵＲＬ　http://www.aksystem.jp/finance/ArbitrageTrading/ArbitrageTrading.htm</t>
    <rPh sb="0" eb="2">
      <t>サンコウ</t>
    </rPh>
    <phoneticPr fontId="1"/>
  </si>
  <si>
    <t>なお、ファイナンス理論では株式先物の理論価格を定義する場合に、はこの一般式を連続複利に拡張した式が用いられることが多い。</t>
  </si>
  <si>
    <t>こうすると微分がしやすいだとか、何かと便利である。</t>
  </si>
  <si>
    <t>F:           理論先物価格</t>
  </si>
  <si>
    <t>S:           株式価格</t>
  </si>
  <si>
    <t>r:           リスク・フリー・レート(これがこの株式のファンディング・レートに該当する)</t>
  </si>
  <si>
    <t>q:           配当利回り (運用利回りに相当)</t>
  </si>
  <si>
    <t>T:           先物の満期までの期間</t>
  </si>
  <si>
    <t>CF = 1: 　先物がこの株式を原資産とする場合、変換係数は1のはず。</t>
    <phoneticPr fontId="1"/>
  </si>
  <si>
    <t>      </t>
  </si>
  <si>
    <t>  </t>
  </si>
  <si>
    <t>債券先物理論価格の一般式</t>
    <phoneticPr fontId="1"/>
  </si>
  <si>
    <t>Ｆ　＝　Ｓ　×　e^rt</t>
    <phoneticPr fontId="1"/>
  </si>
  <si>
    <t>【解答】</t>
    <rPh sb="1" eb="3">
      <t>カイトウ</t>
    </rPh>
    <phoneticPr fontId="1"/>
  </si>
  <si>
    <t>原資産の株価1000円</t>
    <rPh sb="0" eb="3">
      <t>ゲンシサン</t>
    </rPh>
    <rPh sb="4" eb="6">
      <t>カブカ</t>
    </rPh>
    <rPh sb="10" eb="11">
      <t>エン</t>
    </rPh>
    <phoneticPr fontId="1"/>
  </si>
  <si>
    <t>金利0.5%</t>
    <rPh sb="0" eb="2">
      <t>キンリ</t>
    </rPh>
    <phoneticPr fontId="1"/>
  </si>
  <si>
    <t>期間0.5年</t>
    <rPh sb="0" eb="2">
      <t>キカン</t>
    </rPh>
    <rPh sb="5" eb="6">
      <t>ネン</t>
    </rPh>
    <phoneticPr fontId="1"/>
  </si>
  <si>
    <t>債権の先物理論価格</t>
    <rPh sb="0" eb="2">
      <t>サイケン</t>
    </rPh>
    <phoneticPr fontId="1"/>
  </si>
  <si>
    <t>無裁定理論を用いて、フォワードの理論価格を求めると</t>
    <rPh sb="0" eb="1">
      <t>ム</t>
    </rPh>
    <rPh sb="1" eb="3">
      <t>サイテイ</t>
    </rPh>
    <rPh sb="3" eb="5">
      <t>リロン</t>
    </rPh>
    <rPh sb="6" eb="7">
      <t>モチ</t>
    </rPh>
    <rPh sb="16" eb="18">
      <t>リロン</t>
    </rPh>
    <rPh sb="18" eb="20">
      <t>カカク</t>
    </rPh>
    <rPh sb="21" eb="22">
      <t>モト</t>
    </rPh>
    <phoneticPr fontId="1"/>
  </si>
  <si>
    <t xml:space="preserve">F = 1000　× e^ (0.5% * 0.5年) = </t>
    <rPh sb="25" eb="26">
      <t>ネン</t>
    </rPh>
    <phoneticPr fontId="1"/>
  </si>
  <si>
    <t>(答え）1002.503</t>
    <rPh sb="1" eb="2">
      <t>コタ</t>
    </rPh>
    <phoneticPr fontId="1"/>
  </si>
  <si>
    <t>あ</t>
    <phoneticPr fontId="1"/>
  </si>
  <si>
    <t>１期間２項モデル（離散型の考え方）</t>
    <rPh sb="1" eb="3">
      <t>キカン</t>
    </rPh>
    <rPh sb="4" eb="5">
      <t>コウ</t>
    </rPh>
    <rPh sb="9" eb="12">
      <t>リサンガタ</t>
    </rPh>
    <rPh sb="13" eb="14">
      <t>カンガ</t>
    </rPh>
    <rPh sb="15" eb="16">
      <t>カタ</t>
    </rPh>
    <phoneticPr fontId="1"/>
  </si>
  <si>
    <t>[1]コール</t>
    <phoneticPr fontId="1"/>
  </si>
  <si>
    <t>原資産</t>
    <rPh sb="0" eb="3">
      <t>ゲンシサン</t>
    </rPh>
    <phoneticPr fontId="1"/>
  </si>
  <si>
    <t>Money Market(安全資産）</t>
    <rPh sb="13" eb="15">
      <t>アンゼン</t>
    </rPh>
    <rPh sb="15" eb="17">
      <t>シサン</t>
    </rPh>
    <phoneticPr fontId="1"/>
  </si>
  <si>
    <t>オプション</t>
    <phoneticPr fontId="1"/>
  </si>
  <si>
    <t>現在の株価S = 100円</t>
    <rPh sb="0" eb="2">
      <t>ゲンザイ</t>
    </rPh>
    <rPh sb="3" eb="5">
      <t>カブカ</t>
    </rPh>
    <rPh sb="12" eb="13">
      <t>エン</t>
    </rPh>
    <phoneticPr fontId="1"/>
  </si>
  <si>
    <t>3か月後に110円に上がるか、90円に下がるか</t>
    <rPh sb="2" eb="3">
      <t>ゲツ</t>
    </rPh>
    <rPh sb="3" eb="4">
      <t>ゴ</t>
    </rPh>
    <rPh sb="8" eb="9">
      <t>エン</t>
    </rPh>
    <rPh sb="10" eb="11">
      <t>ア</t>
    </rPh>
    <rPh sb="17" eb="18">
      <t>エン</t>
    </rPh>
    <rPh sb="19" eb="20">
      <t>サ</t>
    </rPh>
    <phoneticPr fontId="1"/>
  </si>
  <si>
    <t>安全金利は、連続複利（期間3か月）で10%</t>
    <rPh sb="0" eb="2">
      <t>アンゼン</t>
    </rPh>
    <rPh sb="2" eb="4">
      <t>キンリ</t>
    </rPh>
    <rPh sb="6" eb="8">
      <t>レンゾク</t>
    </rPh>
    <rPh sb="8" eb="10">
      <t>フクリ</t>
    </rPh>
    <rPh sb="11" eb="13">
      <t>キカン</t>
    </rPh>
    <rPh sb="15" eb="16">
      <t>ゲツ</t>
    </rPh>
    <phoneticPr fontId="1"/>
  </si>
  <si>
    <t>オプションの権利行使価格K = 105円</t>
    <rPh sb="6" eb="8">
      <t>ケンリ</t>
    </rPh>
    <rPh sb="8" eb="10">
      <t>コウシ</t>
    </rPh>
    <rPh sb="10" eb="12">
      <t>カカク</t>
    </rPh>
    <rPh sb="19" eb="20">
      <t>エン</t>
    </rPh>
    <phoneticPr fontId="1"/>
  </si>
  <si>
    <t>オプションの価格は？？</t>
    <rPh sb="6" eb="8">
      <t>カカク</t>
    </rPh>
    <phoneticPr fontId="1"/>
  </si>
  <si>
    <t>C</t>
    <phoneticPr fontId="1"/>
  </si>
  <si>
    <t>※オプションの権利行使価格K = 105円</t>
    <phoneticPr fontId="1"/>
  </si>
  <si>
    <t>原資産をA単位、安全資産をB単位</t>
    <rPh sb="0" eb="3">
      <t>ゲンシサン</t>
    </rPh>
    <rPh sb="5" eb="7">
      <t>タンイ</t>
    </rPh>
    <rPh sb="8" eb="10">
      <t>アンゼン</t>
    </rPh>
    <rPh sb="10" eb="12">
      <t>シサン</t>
    </rPh>
    <rPh sb="14" eb="16">
      <t>タンイ</t>
    </rPh>
    <phoneticPr fontId="1"/>
  </si>
  <si>
    <t>110A + e^(10% * 0.25 )B  = 5</t>
    <phoneticPr fontId="1"/>
  </si>
  <si>
    <t>90A  + e^(10% * 0.25 )B  = 0</t>
    <phoneticPr fontId="1"/>
  </si>
  <si>
    <t>20A = 5</t>
    <phoneticPr fontId="1"/>
  </si>
  <si>
    <t>A = 0.25</t>
    <phoneticPr fontId="1"/>
  </si>
  <si>
    <t xml:space="preserve">B = </t>
    <phoneticPr fontId="1"/>
  </si>
  <si>
    <t>B = -90A / e^(10%*0.25)</t>
    <phoneticPr fontId="1"/>
  </si>
  <si>
    <t>C = 100*A + 1*B =</t>
    <phoneticPr fontId="1"/>
  </si>
  <si>
    <t>この考え方</t>
    <rPh sb="2" eb="3">
      <t>カンガ</t>
    </rPh>
    <rPh sb="4" eb="5">
      <t>カタ</t>
    </rPh>
    <phoneticPr fontId="1"/>
  </si>
  <si>
    <t>オプションは、原資産と安全資産の合成としてCashFlowを静的複製出来る。</t>
    <rPh sb="7" eb="10">
      <t>ゲンシサン</t>
    </rPh>
    <rPh sb="11" eb="13">
      <t>アンゼン</t>
    </rPh>
    <rPh sb="13" eb="15">
      <t>シサン</t>
    </rPh>
    <rPh sb="16" eb="18">
      <t>ゴウセイ</t>
    </rPh>
    <rPh sb="30" eb="32">
      <t>セイテキ</t>
    </rPh>
    <rPh sb="32" eb="34">
      <t>フクセイ</t>
    </rPh>
    <rPh sb="34" eb="36">
      <t>デキ</t>
    </rPh>
    <phoneticPr fontId="1"/>
  </si>
  <si>
    <t>つまり、オプションの価格は、原資産と安全資産のCashFlowを複製して合成したものと同じ価格になる。</t>
    <rPh sb="10" eb="12">
      <t>カカク</t>
    </rPh>
    <rPh sb="14" eb="17">
      <t>ゲンシサン</t>
    </rPh>
    <rPh sb="18" eb="20">
      <t>アンゼン</t>
    </rPh>
    <rPh sb="20" eb="22">
      <t>シサン</t>
    </rPh>
    <rPh sb="32" eb="34">
      <t>フクセイ</t>
    </rPh>
    <rPh sb="36" eb="38">
      <t>ゴウセイ</t>
    </rPh>
    <rPh sb="43" eb="44">
      <t>オナ</t>
    </rPh>
    <rPh sb="45" eb="47">
      <t>カカク</t>
    </rPh>
    <phoneticPr fontId="1"/>
  </si>
  <si>
    <t>仮にこれが崩れていた場合、無裁定条件に従わないので、合成資産 or オプションのいずれか有利な方に</t>
    <rPh sb="0" eb="1">
      <t>カリ</t>
    </rPh>
    <rPh sb="5" eb="6">
      <t>クズ</t>
    </rPh>
    <rPh sb="10" eb="12">
      <t>バアイ</t>
    </rPh>
    <rPh sb="13" eb="14">
      <t>ム</t>
    </rPh>
    <rPh sb="14" eb="16">
      <t>サイテイ</t>
    </rPh>
    <rPh sb="16" eb="18">
      <t>ジョウケン</t>
    </rPh>
    <rPh sb="19" eb="20">
      <t>シタガ</t>
    </rPh>
    <rPh sb="26" eb="28">
      <t>ゴウセイ</t>
    </rPh>
    <rPh sb="28" eb="30">
      <t>シサン</t>
    </rPh>
    <rPh sb="44" eb="46">
      <t>ユウリ</t>
    </rPh>
    <rPh sb="47" eb="48">
      <t>ホウ</t>
    </rPh>
    <phoneticPr fontId="1"/>
  </si>
  <si>
    <t>投資すれば必ず利益を得ることが出来る（裁定利益を得ることが出来る）。</t>
    <rPh sb="0" eb="2">
      <t>トウシ</t>
    </rPh>
    <rPh sb="5" eb="6">
      <t>カナラ</t>
    </rPh>
    <rPh sb="7" eb="9">
      <t>リエキ</t>
    </rPh>
    <rPh sb="10" eb="11">
      <t>エ</t>
    </rPh>
    <rPh sb="15" eb="17">
      <t>デキ</t>
    </rPh>
    <rPh sb="19" eb="21">
      <t>サイテイ</t>
    </rPh>
    <rPh sb="21" eb="23">
      <t>リエキ</t>
    </rPh>
    <rPh sb="24" eb="25">
      <t>エ</t>
    </rPh>
    <rPh sb="29" eb="31">
      <t>デキ</t>
    </rPh>
    <phoneticPr fontId="1"/>
  </si>
  <si>
    <t>なので、以下の等式が成り立つ（ただし、AやBの売り買いは今特に気にしない）</t>
    <rPh sb="4" eb="6">
      <t>イカ</t>
    </rPh>
    <rPh sb="7" eb="9">
      <t>トウシキ</t>
    </rPh>
    <rPh sb="10" eb="11">
      <t>ナ</t>
    </rPh>
    <rPh sb="12" eb="13">
      <t>タ</t>
    </rPh>
    <rPh sb="23" eb="24">
      <t>ウ</t>
    </rPh>
    <rPh sb="25" eb="26">
      <t>カ</t>
    </rPh>
    <rPh sb="28" eb="29">
      <t>イマ</t>
    </rPh>
    <rPh sb="29" eb="30">
      <t>トク</t>
    </rPh>
    <rPh sb="31" eb="32">
      <t>キ</t>
    </rPh>
    <phoneticPr fontId="1"/>
  </si>
  <si>
    <t>実際は、プットコールパリティーからも分かるように、原資産と金利の符号は逆になる。</t>
    <rPh sb="0" eb="2">
      <t>ジッサイ</t>
    </rPh>
    <rPh sb="18" eb="19">
      <t>ワ</t>
    </rPh>
    <rPh sb="25" eb="28">
      <t>ゲンシサン</t>
    </rPh>
    <rPh sb="29" eb="31">
      <t>キンリ</t>
    </rPh>
    <rPh sb="32" eb="34">
      <t>フゴウ</t>
    </rPh>
    <rPh sb="35" eb="36">
      <t>ギャク</t>
    </rPh>
    <phoneticPr fontId="1"/>
  </si>
  <si>
    <t xml:space="preserve">P（K) + S - B(K) = C(K)   &gt;  0 </t>
    <phoneticPr fontId="1"/>
  </si>
  <si>
    <t>C(K)  = 　P（K) + S - B(K)　 = 　0 + S -B(K) = S- B(K)</t>
    <phoneticPr fontId="1"/>
  </si>
  <si>
    <t>↓</t>
    <phoneticPr fontId="1"/>
  </si>
  <si>
    <t xml:space="preserve">A = </t>
    <phoneticPr fontId="1"/>
  </si>
  <si>
    <t>100A + 1B = C</t>
    <phoneticPr fontId="1"/>
  </si>
  <si>
    <t xml:space="preserve">⇒　C = </t>
    <phoneticPr fontId="1"/>
  </si>
  <si>
    <t>以下、２つの連立方程式よりAとBが求まり、結果オプション価格Cも求めることが出来る</t>
    <rPh sb="0" eb="2">
      <t>イカ</t>
    </rPh>
    <rPh sb="6" eb="8">
      <t>レンリツ</t>
    </rPh>
    <rPh sb="8" eb="11">
      <t>ホウテイシキ</t>
    </rPh>
    <rPh sb="17" eb="18">
      <t>モト</t>
    </rPh>
    <rPh sb="21" eb="23">
      <t>ケッカ</t>
    </rPh>
    <rPh sb="28" eb="30">
      <t>カカク</t>
    </rPh>
    <rPh sb="32" eb="33">
      <t>モト</t>
    </rPh>
    <rPh sb="38" eb="40">
      <t>デキ</t>
    </rPh>
    <phoneticPr fontId="1"/>
  </si>
  <si>
    <t>[2]プット</t>
    <phoneticPr fontId="1"/>
  </si>
  <si>
    <t>3か月後に120円に上がるか、90円に下がるか</t>
    <rPh sb="2" eb="3">
      <t>ゲツ</t>
    </rPh>
    <rPh sb="3" eb="4">
      <t>ゴ</t>
    </rPh>
    <rPh sb="8" eb="9">
      <t>エン</t>
    </rPh>
    <rPh sb="10" eb="11">
      <t>ア</t>
    </rPh>
    <rPh sb="17" eb="18">
      <t>エン</t>
    </rPh>
    <rPh sb="19" eb="20">
      <t>サ</t>
    </rPh>
    <phoneticPr fontId="1"/>
  </si>
  <si>
    <t>安全金利は、1%(3か月の単利)</t>
    <rPh sb="0" eb="2">
      <t>アンゼン</t>
    </rPh>
    <rPh sb="2" eb="4">
      <t>キンリ</t>
    </rPh>
    <rPh sb="11" eb="12">
      <t>ゲツ</t>
    </rPh>
    <rPh sb="13" eb="15">
      <t>タンリ</t>
    </rPh>
    <phoneticPr fontId="1"/>
  </si>
  <si>
    <t>オプションの権利行使価格K = 98円</t>
    <rPh sb="6" eb="8">
      <t>ケンリ</t>
    </rPh>
    <rPh sb="8" eb="10">
      <t>コウシ</t>
    </rPh>
    <rPh sb="10" eb="12">
      <t>カカク</t>
    </rPh>
    <rPh sb="18" eb="19">
      <t>エン</t>
    </rPh>
    <phoneticPr fontId="1"/>
  </si>
  <si>
    <t>※オプションの権利行使価格K = 98円</t>
    <phoneticPr fontId="1"/>
  </si>
  <si>
    <t>120A + 1.01B  = 0</t>
    <phoneticPr fontId="1"/>
  </si>
  <si>
    <t>90A  + 1.01B  = 8</t>
    <phoneticPr fontId="1"/>
  </si>
  <si>
    <t>P</t>
    <phoneticPr fontId="1"/>
  </si>
  <si>
    <t>30A = -8</t>
    <phoneticPr fontId="1"/>
  </si>
  <si>
    <t>B = -120A / 1.01</t>
    <phoneticPr fontId="1"/>
  </si>
  <si>
    <t>P = 100*A + 1*B =</t>
    <phoneticPr fontId="1"/>
  </si>
  <si>
    <t xml:space="preserve">C（K) - S + B(K) = P(K)   &gt;  0 </t>
    <phoneticPr fontId="1"/>
  </si>
  <si>
    <t>P(K) =  C（K) - S + B(K)  = 0 -S + B(K) = -S + B(K)</t>
    <phoneticPr fontId="1"/>
  </si>
  <si>
    <t>100A + 1B = P</t>
    <phoneticPr fontId="1"/>
  </si>
  <si>
    <t>■１期間２項モデルの一般化</t>
    <rPh sb="2" eb="4">
      <t>キカン</t>
    </rPh>
    <rPh sb="5" eb="6">
      <t>コウ</t>
    </rPh>
    <rPh sb="10" eb="13">
      <t>イッパンカ</t>
    </rPh>
    <phoneticPr fontId="1"/>
  </si>
  <si>
    <t xml:space="preserve">現在の株価S </t>
    <rPh sb="0" eb="2">
      <t>ゲンザイ</t>
    </rPh>
    <rPh sb="3" eb="5">
      <t>カブカ</t>
    </rPh>
    <phoneticPr fontId="1"/>
  </si>
  <si>
    <t>3か月後にu×S円に上がるか、d×S円に下がるか</t>
    <rPh sb="2" eb="3">
      <t>ゲツ</t>
    </rPh>
    <rPh sb="3" eb="4">
      <t>ゴ</t>
    </rPh>
    <rPh sb="8" eb="9">
      <t>エン</t>
    </rPh>
    <rPh sb="10" eb="11">
      <t>ア</t>
    </rPh>
    <rPh sb="18" eb="19">
      <t>エン</t>
    </rPh>
    <rPh sb="20" eb="21">
      <t>サ</t>
    </rPh>
    <phoneticPr fontId="1"/>
  </si>
  <si>
    <t>安全金利は、R倍（ R = 1+ｒ と置く　)</t>
    <rPh sb="0" eb="2">
      <t>アンゼン</t>
    </rPh>
    <rPh sb="2" eb="4">
      <t>キンリ</t>
    </rPh>
    <rPh sb="7" eb="8">
      <t>バイ</t>
    </rPh>
    <rPh sb="19" eb="20">
      <t>オ</t>
    </rPh>
    <phoneticPr fontId="1"/>
  </si>
  <si>
    <t>原資産がアップした場合のオプション価格 Cu</t>
    <rPh sb="0" eb="3">
      <t>ゲンシサン</t>
    </rPh>
    <rPh sb="9" eb="11">
      <t>バアイ</t>
    </rPh>
    <rPh sb="17" eb="19">
      <t>カカク</t>
    </rPh>
    <phoneticPr fontId="1"/>
  </si>
  <si>
    <t>原資産がダウンした場合のオプション価格 Cd</t>
    <rPh sb="0" eb="3">
      <t>ゲンシサン</t>
    </rPh>
    <rPh sb="9" eb="11">
      <t>バアイ</t>
    </rPh>
    <rPh sb="17" eb="19">
      <t>カカク</t>
    </rPh>
    <phoneticPr fontId="1"/>
  </si>
  <si>
    <t>A×u×S + B×R  = Cu</t>
    <phoneticPr fontId="1"/>
  </si>
  <si>
    <t>A×d×S + B×R  = Cd</t>
    <phoneticPr fontId="1"/>
  </si>
  <si>
    <t>(式１）</t>
    <rPh sb="1" eb="2">
      <t>シキ</t>
    </rPh>
    <phoneticPr fontId="1"/>
  </si>
  <si>
    <t>(式２）</t>
    <rPh sb="1" eb="2">
      <t>シキ</t>
    </rPh>
    <phoneticPr fontId="1"/>
  </si>
  <si>
    <t>Cu - Cd  =  A×u×S + B×R  - ( A×d×S + B×R )</t>
    <phoneticPr fontId="1"/>
  </si>
  <si>
    <t>Cu - Cd  =  A× ( uS - dS )</t>
    <phoneticPr fontId="1"/>
  </si>
  <si>
    <t>A = Cu - Cd  /  S(u - d )</t>
    <phoneticPr fontId="1"/>
  </si>
  <si>
    <t>B = ( Cu - A×u×S ) / R</t>
    <phoneticPr fontId="1"/>
  </si>
  <si>
    <t>B = ( Cu -  (Cu - Cd / S(u-d) ) ×u×S ) / R</t>
    <phoneticPr fontId="1"/>
  </si>
  <si>
    <t>B = 1/R * ( -d/u-d×Cu  + u/u-d×Cd )</t>
    <phoneticPr fontId="1"/>
  </si>
  <si>
    <t>１期間二項モデルを用いた、オプション価格の一般式</t>
    <rPh sb="1" eb="3">
      <t>キカン</t>
    </rPh>
    <rPh sb="3" eb="5">
      <t>ニコウ</t>
    </rPh>
    <rPh sb="9" eb="10">
      <t>モチ</t>
    </rPh>
    <rPh sb="18" eb="20">
      <t>カカク</t>
    </rPh>
    <rPh sb="21" eb="23">
      <t>イッパン</t>
    </rPh>
    <rPh sb="23" eb="24">
      <t>シキ</t>
    </rPh>
    <phoneticPr fontId="1"/>
  </si>
  <si>
    <t>※補足</t>
    <rPh sb="1" eb="3">
      <t>ホソク</t>
    </rPh>
    <phoneticPr fontId="1"/>
  </si>
  <si>
    <t>無裁定条件化では、以下のようになる</t>
    <rPh sb="0" eb="1">
      <t>ム</t>
    </rPh>
    <rPh sb="1" eb="3">
      <t>サイテイ</t>
    </rPh>
    <rPh sb="3" eb="6">
      <t>ジョウケンカ</t>
    </rPh>
    <rPh sb="9" eb="11">
      <t>イカ</t>
    </rPh>
    <phoneticPr fontId="1"/>
  </si>
  <si>
    <t>① d &lt; u の理由</t>
    <rPh sb="9" eb="11">
      <t>リユウ</t>
    </rPh>
    <phoneticPr fontId="1"/>
  </si>
  <si>
    <t>dは、1より必ず小さくなります（ダウンしているから）</t>
    <rPh sb="6" eb="7">
      <t>カナラ</t>
    </rPh>
    <rPh sb="8" eb="9">
      <t>チイ</t>
    </rPh>
    <phoneticPr fontId="1"/>
  </si>
  <si>
    <t>uは、1より必ず大きくなります（アップしているから）</t>
    <rPh sb="6" eb="7">
      <t>カナラ</t>
    </rPh>
    <rPh sb="8" eb="9">
      <t>オオ</t>
    </rPh>
    <phoneticPr fontId="1"/>
  </si>
  <si>
    <t>② d &lt; R(1+r)の理由</t>
    <rPh sb="13" eb="15">
      <t>リユウ</t>
    </rPh>
    <phoneticPr fontId="1"/>
  </si>
  <si>
    <t>仮に上記の上限が崩れると、安全資産に投資した方が株に投資した方よりも値下りする可能性が高い。</t>
    <rPh sb="0" eb="1">
      <t>カリ</t>
    </rPh>
    <rPh sb="2" eb="4">
      <t>ジョウキ</t>
    </rPh>
    <rPh sb="5" eb="7">
      <t>ジョウゲン</t>
    </rPh>
    <rPh sb="8" eb="9">
      <t>クズ</t>
    </rPh>
    <rPh sb="13" eb="15">
      <t>アンゼン</t>
    </rPh>
    <rPh sb="15" eb="17">
      <t>シサン</t>
    </rPh>
    <rPh sb="18" eb="20">
      <t>トウシ</t>
    </rPh>
    <rPh sb="22" eb="23">
      <t>ホウ</t>
    </rPh>
    <rPh sb="24" eb="25">
      <t>カブ</t>
    </rPh>
    <rPh sb="26" eb="28">
      <t>トウシ</t>
    </rPh>
    <rPh sb="30" eb="31">
      <t>ホウ</t>
    </rPh>
    <rPh sb="34" eb="36">
      <t>ネサガ</t>
    </rPh>
    <rPh sb="39" eb="42">
      <t>カノウセイ</t>
    </rPh>
    <rPh sb="43" eb="44">
      <t>タカ</t>
    </rPh>
    <phoneticPr fontId="1"/>
  </si>
  <si>
    <t>そんなものがあれば、みんな絶対に安全資産には投資しせず、株に投資する。</t>
    <rPh sb="13" eb="15">
      <t>ゼッタイ</t>
    </rPh>
    <rPh sb="16" eb="18">
      <t>アンゼン</t>
    </rPh>
    <rPh sb="18" eb="20">
      <t>シサン</t>
    </rPh>
    <rPh sb="22" eb="24">
      <t>トウシ</t>
    </rPh>
    <rPh sb="28" eb="29">
      <t>カブ</t>
    </rPh>
    <rPh sb="30" eb="32">
      <t>トウシ</t>
    </rPh>
    <phoneticPr fontId="1"/>
  </si>
  <si>
    <t>⇒安全資産の方が、下落リスクが株より高いなんてものは、この世に存在しない。</t>
    <rPh sb="1" eb="3">
      <t>アンゼン</t>
    </rPh>
    <rPh sb="3" eb="5">
      <t>シサン</t>
    </rPh>
    <rPh sb="6" eb="7">
      <t>ホウ</t>
    </rPh>
    <rPh sb="9" eb="11">
      <t>ゲラク</t>
    </rPh>
    <rPh sb="15" eb="16">
      <t>カブ</t>
    </rPh>
    <rPh sb="18" eb="19">
      <t>タカ</t>
    </rPh>
    <rPh sb="29" eb="30">
      <t>ヨ</t>
    </rPh>
    <rPh sb="31" eb="33">
      <t>ソンザイ</t>
    </rPh>
    <phoneticPr fontId="1"/>
  </si>
  <si>
    <t>③ R(1+r)　&lt; u の理由</t>
    <rPh sb="14" eb="16">
      <t>リユウ</t>
    </rPh>
    <phoneticPr fontId="1"/>
  </si>
  <si>
    <t>仮に上記の上限が崩れると、安全資産に投資した方が株に投資した方よりも安定的にリターンを得る可能性が高い。</t>
    <rPh sb="0" eb="1">
      <t>カリ</t>
    </rPh>
    <rPh sb="2" eb="4">
      <t>ジョウキ</t>
    </rPh>
    <rPh sb="5" eb="7">
      <t>ジョウゲン</t>
    </rPh>
    <rPh sb="8" eb="9">
      <t>クズ</t>
    </rPh>
    <rPh sb="13" eb="15">
      <t>アンゼン</t>
    </rPh>
    <rPh sb="15" eb="17">
      <t>シサン</t>
    </rPh>
    <rPh sb="18" eb="20">
      <t>トウシ</t>
    </rPh>
    <rPh sb="22" eb="23">
      <t>ホウ</t>
    </rPh>
    <rPh sb="24" eb="25">
      <t>カブ</t>
    </rPh>
    <rPh sb="26" eb="28">
      <t>トウシ</t>
    </rPh>
    <rPh sb="30" eb="31">
      <t>ホウ</t>
    </rPh>
    <rPh sb="34" eb="37">
      <t>アンテイテキ</t>
    </rPh>
    <rPh sb="43" eb="44">
      <t>エ</t>
    </rPh>
    <rPh sb="45" eb="48">
      <t>カノウセイ</t>
    </rPh>
    <rPh sb="49" eb="50">
      <t>タカ</t>
    </rPh>
    <phoneticPr fontId="1"/>
  </si>
  <si>
    <t>そんなものがあれば、みんな絶対に安全資産に投資する。</t>
    <rPh sb="13" eb="15">
      <t>ゼッタイ</t>
    </rPh>
    <rPh sb="16" eb="18">
      <t>アンゼン</t>
    </rPh>
    <rPh sb="18" eb="20">
      <t>シサン</t>
    </rPh>
    <rPh sb="21" eb="23">
      <t>トウシ</t>
    </rPh>
    <phoneticPr fontId="1"/>
  </si>
  <si>
    <t>⇒安全資産の方が、上昇リターンが株より高いなんてものは、この世に存在しない。</t>
    <rPh sb="1" eb="3">
      <t>アンゼン</t>
    </rPh>
    <rPh sb="3" eb="5">
      <t>シサン</t>
    </rPh>
    <rPh sb="6" eb="7">
      <t>ホウ</t>
    </rPh>
    <rPh sb="9" eb="11">
      <t>ジョウショウ</t>
    </rPh>
    <rPh sb="16" eb="17">
      <t>カブ</t>
    </rPh>
    <rPh sb="19" eb="20">
      <t>タカ</t>
    </rPh>
    <rPh sb="30" eb="31">
      <t>ヨ</t>
    </rPh>
    <rPh sb="32" eb="34">
      <t>ソンザイ</t>
    </rPh>
    <phoneticPr fontId="1"/>
  </si>
  <si>
    <t>リスク中立確率</t>
    <rPh sb="3" eb="5">
      <t>チュウリツ</t>
    </rPh>
    <rPh sb="5" eb="7">
      <t>カクリツ</t>
    </rPh>
    <phoneticPr fontId="1"/>
  </si>
  <si>
    <r>
      <t>⇒　C = A×S + B×1 = 1/R {</t>
    </r>
    <r>
      <rPr>
        <sz val="20"/>
        <color rgb="FFFF0000"/>
        <rFont val="ＭＳ ゴシック"/>
        <family val="3"/>
        <charset val="128"/>
      </rPr>
      <t xml:space="preserve"> (R-d/u-d)</t>
    </r>
    <r>
      <rPr>
        <sz val="20"/>
        <color theme="1"/>
        <rFont val="ＭＳ ゴシック"/>
        <family val="3"/>
        <charset val="128"/>
      </rPr>
      <t>×Cu +</t>
    </r>
    <r>
      <rPr>
        <sz val="20"/>
        <color rgb="FFFF0000"/>
        <rFont val="ＭＳ ゴシック"/>
        <family val="3"/>
        <charset val="128"/>
      </rPr>
      <t xml:space="preserve"> (u-R/u-d)</t>
    </r>
    <r>
      <rPr>
        <sz val="20"/>
        <color theme="1"/>
        <rFont val="ＭＳ ゴシック"/>
        <family val="3"/>
        <charset val="128"/>
      </rPr>
      <t>×Cd }</t>
    </r>
    <phoneticPr fontId="1"/>
  </si>
  <si>
    <t>C  = 1/R { (R-d/u-d)×Cu + (u-R/u-d)×Cd }</t>
    <phoneticPr fontId="1"/>
  </si>
  <si>
    <t>P = (R-d/u-d)と置く</t>
    <rPh sb="14" eb="15">
      <t>オ</t>
    </rPh>
    <phoneticPr fontId="1"/>
  </si>
  <si>
    <t>1-P =  (u-R/u-d) となる</t>
    <phoneticPr fontId="1"/>
  </si>
  <si>
    <t>d &lt; R(1+r) &lt; u</t>
    <phoneticPr fontId="1"/>
  </si>
  <si>
    <t>無裁定条件化では、d &lt; R(1+r) &lt; u は絶対に成り立つ</t>
    <rPh sb="0" eb="1">
      <t>ム</t>
    </rPh>
    <rPh sb="1" eb="3">
      <t>サイテイ</t>
    </rPh>
    <rPh sb="3" eb="6">
      <t>ジョウケンカ</t>
    </rPh>
    <rPh sb="25" eb="27">
      <t>ゼッタイ</t>
    </rPh>
    <rPh sb="28" eb="29">
      <t>ナ</t>
    </rPh>
    <rPh sb="30" eb="31">
      <t>タ</t>
    </rPh>
    <phoneticPr fontId="1"/>
  </si>
  <si>
    <t>①P &gt; 0</t>
    <phoneticPr fontId="1"/>
  </si>
  <si>
    <t>なぜなら　 R -d &gt; 0 かつ u - d &gt; 0となるから</t>
    <phoneticPr fontId="1"/>
  </si>
  <si>
    <t>②P &lt; 1</t>
    <phoneticPr fontId="1"/>
  </si>
  <si>
    <t>なぜなら  R - d  &lt;  u  - d となるから</t>
    <phoneticPr fontId="1"/>
  </si>
  <si>
    <t>よって、 0 &lt; P &lt; 1</t>
    <phoneticPr fontId="1"/>
  </si>
  <si>
    <t>C = 1/R { p×Cu　＋　1-p×Cd }</t>
    <phoneticPr fontId="1"/>
  </si>
  <si>
    <t>つまり、オプションの価格：Cは、</t>
    <rPh sb="10" eb="12">
      <t>カカク</t>
    </rPh>
    <phoneticPr fontId="1"/>
  </si>
  <si>
    <t>ある期間後のオプション価値の期待値： p×Cu + (1-p)Cdを</t>
    <rPh sb="2" eb="4">
      <t>キカン</t>
    </rPh>
    <rPh sb="4" eb="5">
      <t>ゴ</t>
    </rPh>
    <rPh sb="11" eb="13">
      <t>カチ</t>
    </rPh>
    <rPh sb="14" eb="17">
      <t>キタイチ</t>
    </rPh>
    <phoneticPr fontId="1"/>
  </si>
  <si>
    <t>ある期間分ディスカウントした:×1/R ものである。</t>
    <rPh sb="2" eb="4">
      <t>キカン</t>
    </rPh>
    <rPh sb="4" eb="5">
      <t>ブン</t>
    </rPh>
    <phoneticPr fontId="1"/>
  </si>
  <si>
    <t>と解釈する</t>
    <rPh sb="1" eb="3">
      <t>カイシャク</t>
    </rPh>
    <phoneticPr fontId="1"/>
  </si>
  <si>
    <t>リスク中立確率（Risk - neutral Probabilyty)</t>
    <rPh sb="3" eb="5">
      <t>チュウリツ</t>
    </rPh>
    <rPh sb="5" eb="7">
      <t>カクリツ</t>
    </rPh>
    <phoneticPr fontId="1"/>
  </si>
  <si>
    <t>株に投資しようが、安全資産に投資しようが、結局得られる期待リターンは同じになる</t>
    <rPh sb="0" eb="1">
      <t>カブ</t>
    </rPh>
    <rPh sb="2" eb="4">
      <t>トウシ</t>
    </rPh>
    <rPh sb="9" eb="11">
      <t>アンゼン</t>
    </rPh>
    <rPh sb="11" eb="13">
      <t>シサン</t>
    </rPh>
    <rPh sb="14" eb="16">
      <t>トウシ</t>
    </rPh>
    <rPh sb="21" eb="23">
      <t>ケッキョク</t>
    </rPh>
    <rPh sb="23" eb="24">
      <t>エ</t>
    </rPh>
    <rPh sb="27" eb="29">
      <t>キタイ</t>
    </rPh>
    <rPh sb="34" eb="35">
      <t>オナ</t>
    </rPh>
    <phoneticPr fontId="1"/>
  </si>
  <si>
    <t>先ほどの公式より、株（原資産価格）の期待リターンを求めてみる。</t>
    <rPh sb="0" eb="1">
      <t>サキ</t>
    </rPh>
    <rPh sb="4" eb="6">
      <t>コウシキ</t>
    </rPh>
    <rPh sb="9" eb="10">
      <t>カブ</t>
    </rPh>
    <rPh sb="11" eb="14">
      <t>ゲンシサン</t>
    </rPh>
    <rPh sb="14" eb="16">
      <t>カカク</t>
    </rPh>
    <rPh sb="18" eb="20">
      <t>キタイ</t>
    </rPh>
    <rPh sb="25" eb="26">
      <t>モト</t>
    </rPh>
    <phoneticPr fontId="1"/>
  </si>
  <si>
    <t>p ×　uS  +  (1-p) × dS  =  (R-d)u + (u-R)d / u-d × S  =  R × S</t>
    <phoneticPr fontId="1"/>
  </si>
  <si>
    <t>これはつまり、リスク資産にも関わらず、原資産価格の期待値がR倍、つまり安全資産と同一になる。</t>
    <rPh sb="10" eb="12">
      <t>シサン</t>
    </rPh>
    <rPh sb="14" eb="15">
      <t>カカ</t>
    </rPh>
    <rPh sb="19" eb="22">
      <t>ゲンシサン</t>
    </rPh>
    <rPh sb="22" eb="24">
      <t>カカク</t>
    </rPh>
    <rPh sb="25" eb="27">
      <t>キタイ</t>
    </rPh>
    <rPh sb="27" eb="28">
      <t>アタイ</t>
    </rPh>
    <rPh sb="30" eb="31">
      <t>バイ</t>
    </rPh>
    <rPh sb="35" eb="37">
      <t>アンゼン</t>
    </rPh>
    <rPh sb="37" eb="39">
      <t>シサン</t>
    </rPh>
    <rPh sb="40" eb="42">
      <t>ドウイツ</t>
    </rPh>
    <phoneticPr fontId="1"/>
  </si>
  <si>
    <t>これが、先のpをリスク中立確率と呼ぶ理由。</t>
    <rPh sb="4" eb="5">
      <t>サキ</t>
    </rPh>
    <rPh sb="11" eb="13">
      <t>チュウリツ</t>
    </rPh>
    <rPh sb="13" eb="15">
      <t>カクリツ</t>
    </rPh>
    <rPh sb="16" eb="17">
      <t>ヨ</t>
    </rPh>
    <rPh sb="18" eb="20">
      <t>リユウ</t>
    </rPh>
    <phoneticPr fontId="1"/>
  </si>
  <si>
    <t>証明</t>
    <rPh sb="0" eb="2">
      <t>ショウメイ</t>
    </rPh>
    <phoneticPr fontId="1"/>
  </si>
  <si>
    <t>連続モデル</t>
    <rPh sb="0" eb="2">
      <t>レンゾク</t>
    </rPh>
    <phoneticPr fontId="1"/>
  </si>
  <si>
    <t>■投資収益率</t>
    <rPh sb="1" eb="3">
      <t>トウシ</t>
    </rPh>
    <rPh sb="3" eb="5">
      <t>シュウエキ</t>
    </rPh>
    <rPh sb="5" eb="6">
      <t>リツ</t>
    </rPh>
    <phoneticPr fontId="1"/>
  </si>
  <si>
    <t>期間は半年</t>
    <rPh sb="0" eb="2">
      <t>キカン</t>
    </rPh>
    <rPh sb="3" eb="5">
      <t>ハントシ</t>
    </rPh>
    <phoneticPr fontId="1"/>
  </si>
  <si>
    <t>年間収益率　　＝　　収益/投資額 ÷ 期間（１年換算する為) = (1100 - 1000 / 1000) × 1/0.5 = 0.2(20%)</t>
    <rPh sb="0" eb="2">
      <t>ネンカン</t>
    </rPh>
    <rPh sb="2" eb="4">
      <t>シュウエキ</t>
    </rPh>
    <rPh sb="4" eb="5">
      <t>リツ</t>
    </rPh>
    <rPh sb="10" eb="12">
      <t>シュウエキ</t>
    </rPh>
    <rPh sb="13" eb="15">
      <t>トウシ</t>
    </rPh>
    <rPh sb="15" eb="16">
      <t>ガク</t>
    </rPh>
    <rPh sb="19" eb="21">
      <t>キカン</t>
    </rPh>
    <rPh sb="23" eb="24">
      <t>ネン</t>
    </rPh>
    <rPh sb="24" eb="26">
      <t>カンサン</t>
    </rPh>
    <rPh sb="28" eb="29">
      <t>タメ</t>
    </rPh>
    <phoneticPr fontId="1"/>
  </si>
  <si>
    <t>■ログリターン　：　連続的な収益率</t>
    <rPh sb="10" eb="13">
      <t>レンゾクテキ</t>
    </rPh>
    <rPh sb="14" eb="16">
      <t>シュウエキ</t>
    </rPh>
    <rPh sb="16" eb="17">
      <t>リツ</t>
    </rPh>
    <phoneticPr fontId="1"/>
  </si>
  <si>
    <t>連続複利で考える</t>
    <rPh sb="0" eb="2">
      <t>レンゾク</t>
    </rPh>
    <rPh sb="2" eb="4">
      <t>フクリ</t>
    </rPh>
    <rPh sb="5" eb="6">
      <t>カンガ</t>
    </rPh>
    <phoneticPr fontId="1"/>
  </si>
  <si>
    <t>1000 × e ^ ( 0.5 × r )  =  1100</t>
    <phoneticPr fontId="1"/>
  </si>
  <si>
    <t xml:space="preserve"> r = 1/0.5 × ln ( 1100/1000 ) </t>
    <phoneticPr fontId="1"/>
  </si>
  <si>
    <t>S(0) : 現在の原資産価格</t>
    <rPh sb="7" eb="9">
      <t>ゲンザイ</t>
    </rPh>
    <rPh sb="10" eb="13">
      <t>ゲンシサン</t>
    </rPh>
    <rPh sb="13" eb="15">
      <t>カカク</t>
    </rPh>
    <phoneticPr fontId="1"/>
  </si>
  <si>
    <t>S(ｔ) : ｔ年後の原資産価格</t>
    <rPh sb="8" eb="10">
      <t>ネンゴ</t>
    </rPh>
    <rPh sb="11" eb="14">
      <t>ゲンシサン</t>
    </rPh>
    <rPh sb="14" eb="16">
      <t>カカク</t>
    </rPh>
    <phoneticPr fontId="1"/>
  </si>
  <si>
    <t>1/t × ln( S(t)/S(0) )</t>
    <phoneticPr fontId="1"/>
  </si>
  <si>
    <t>ただし、株価のような資産価格は、将来の価格が決まっているわけではないので、</t>
    <rPh sb="4" eb="6">
      <t>カブカ</t>
    </rPh>
    <rPh sb="10" eb="12">
      <t>シサン</t>
    </rPh>
    <rPh sb="12" eb="14">
      <t>カカク</t>
    </rPh>
    <rPh sb="16" eb="18">
      <t>ショウライ</t>
    </rPh>
    <rPh sb="19" eb="21">
      <t>カカク</t>
    </rPh>
    <rPh sb="22" eb="23">
      <t>キ</t>
    </rPh>
    <phoneticPr fontId="1"/>
  </si>
  <si>
    <t>モデルには不確実性を表す項目が必要になる。</t>
    <rPh sb="5" eb="8">
      <t>フカクジツ</t>
    </rPh>
    <rPh sb="8" eb="9">
      <t>セイ</t>
    </rPh>
    <rPh sb="10" eb="11">
      <t>アラワ</t>
    </rPh>
    <rPh sb="12" eb="14">
      <t>コウモク</t>
    </rPh>
    <rPh sb="15" eb="17">
      <t>ヒツヨウ</t>
    </rPh>
    <phoneticPr fontId="1"/>
  </si>
  <si>
    <t>■原資産価格推移</t>
    <rPh sb="1" eb="4">
      <t>ゲンシサン</t>
    </rPh>
    <rPh sb="4" eb="6">
      <t>カカク</t>
    </rPh>
    <rPh sb="6" eb="8">
      <t>スイイ</t>
    </rPh>
    <phoneticPr fontId="1"/>
  </si>
  <si>
    <t>安全資産　＝　確実なリターンを将来確実に得られるはずの資産</t>
    <rPh sb="0" eb="2">
      <t>アンゼン</t>
    </rPh>
    <rPh sb="2" eb="4">
      <t>シサン</t>
    </rPh>
    <rPh sb="7" eb="9">
      <t>カクジツ</t>
    </rPh>
    <rPh sb="15" eb="17">
      <t>ショウライ</t>
    </rPh>
    <rPh sb="17" eb="19">
      <t>カクジツ</t>
    </rPh>
    <rPh sb="20" eb="21">
      <t>エ</t>
    </rPh>
    <rPh sb="27" eb="29">
      <t>シサン</t>
    </rPh>
    <phoneticPr fontId="1"/>
  </si>
  <si>
    <t>危険資産　＝　価格が不確実な資産を危険資産</t>
    <rPh sb="0" eb="2">
      <t>キケン</t>
    </rPh>
    <rPh sb="2" eb="4">
      <t>シサン</t>
    </rPh>
    <rPh sb="7" eb="9">
      <t>カカク</t>
    </rPh>
    <rPh sb="10" eb="13">
      <t>フカクジツ</t>
    </rPh>
    <rPh sb="14" eb="16">
      <t>シサン</t>
    </rPh>
    <rPh sb="17" eb="19">
      <t>キケン</t>
    </rPh>
    <rPh sb="19" eb="21">
      <t>シサン</t>
    </rPh>
    <phoneticPr fontId="1"/>
  </si>
  <si>
    <t>ブラックショールズ式は、</t>
    <rPh sb="9" eb="10">
      <t>シキ</t>
    </rPh>
    <phoneticPr fontId="1"/>
  </si>
  <si>
    <t>　　原資産価格を確率変数とする確率的なモデル(時間の経過とともに不確実な原資産の動きを確率的に表現するモデル）を導入し、</t>
    <rPh sb="2" eb="5">
      <t>ゲンシサン</t>
    </rPh>
    <rPh sb="5" eb="7">
      <t>カカク</t>
    </rPh>
    <rPh sb="8" eb="10">
      <t>カクリツ</t>
    </rPh>
    <rPh sb="10" eb="12">
      <t>ヘンスウ</t>
    </rPh>
    <rPh sb="15" eb="18">
      <t>カクリツテキ</t>
    </rPh>
    <rPh sb="23" eb="25">
      <t>ジカン</t>
    </rPh>
    <rPh sb="26" eb="28">
      <t>ケイカ</t>
    </rPh>
    <rPh sb="32" eb="35">
      <t>フカクジツ</t>
    </rPh>
    <rPh sb="36" eb="39">
      <t>ゲンシサン</t>
    </rPh>
    <rPh sb="40" eb="41">
      <t>ウゴ</t>
    </rPh>
    <rPh sb="43" eb="46">
      <t>カクリツテキ</t>
    </rPh>
    <rPh sb="47" eb="49">
      <t>ヒョウゲン</t>
    </rPh>
    <rPh sb="56" eb="58">
      <t>ドウニュウ</t>
    </rPh>
    <phoneticPr fontId="1"/>
  </si>
  <si>
    <t>　　無裁定という条件を使って、二つの資産から複製されたキャッシュフロー（複製ポートフォリオ）の合理的な期待値としてオプション</t>
    <rPh sb="2" eb="3">
      <t>ム</t>
    </rPh>
    <rPh sb="3" eb="5">
      <t>サイテイ</t>
    </rPh>
    <rPh sb="8" eb="10">
      <t>ジョウケン</t>
    </rPh>
    <rPh sb="11" eb="12">
      <t>ツカ</t>
    </rPh>
    <rPh sb="15" eb="16">
      <t>フタ</t>
    </rPh>
    <rPh sb="18" eb="20">
      <t>シサン</t>
    </rPh>
    <rPh sb="22" eb="24">
      <t>フクセイ</t>
    </rPh>
    <rPh sb="36" eb="38">
      <t>フクセイ</t>
    </rPh>
    <rPh sb="47" eb="50">
      <t>ゴウリテキ</t>
    </rPh>
    <rPh sb="51" eb="53">
      <t>キタイ</t>
    </rPh>
    <rPh sb="53" eb="54">
      <t>アタイ</t>
    </rPh>
    <phoneticPr fontId="1"/>
  </si>
  <si>
    <t>　　価格を算出する。</t>
    <rPh sb="2" eb="4">
      <t>カカク</t>
    </rPh>
    <rPh sb="5" eb="7">
      <t>サンシュツ</t>
    </rPh>
    <phoneticPr fontId="1"/>
  </si>
  <si>
    <t>■原資産価格推移の前提となる考え方</t>
    <rPh sb="1" eb="4">
      <t>ゲンシサン</t>
    </rPh>
    <rPh sb="4" eb="6">
      <t>カカク</t>
    </rPh>
    <rPh sb="6" eb="8">
      <t>スイイ</t>
    </rPh>
    <rPh sb="9" eb="11">
      <t>ゼンテイ</t>
    </rPh>
    <rPh sb="14" eb="15">
      <t>カンガ</t>
    </rPh>
    <rPh sb="16" eb="17">
      <t>カタ</t>
    </rPh>
    <phoneticPr fontId="1"/>
  </si>
  <si>
    <t>仮定</t>
    <rPh sb="0" eb="2">
      <t>カテイ</t>
    </rPh>
    <phoneticPr fontId="1"/>
  </si>
  <si>
    <t>　　ln Si+1/Si の確率分布は、iによるず同じになる。</t>
    <rPh sb="14" eb="16">
      <t>カクリツ</t>
    </rPh>
    <rPh sb="16" eb="18">
      <t>ブンプ</t>
    </rPh>
    <rPh sb="25" eb="26">
      <t>オナ</t>
    </rPh>
    <phoneticPr fontId="1"/>
  </si>
  <si>
    <t xml:space="preserve">         → 原資産の特性が時間変化しない</t>
    <rPh sb="11" eb="14">
      <t>ゲンシサン</t>
    </rPh>
    <rPh sb="15" eb="17">
      <t>トクセイ</t>
    </rPh>
    <rPh sb="18" eb="20">
      <t>ジカン</t>
    </rPh>
    <rPh sb="20" eb="22">
      <t>ヘンカ</t>
    </rPh>
    <phoneticPr fontId="1"/>
  </si>
  <si>
    <t xml:space="preserve">    ln Si+1/Si の確率分布は、それぞれ独立</t>
    <rPh sb="16" eb="18">
      <t>カクリツ</t>
    </rPh>
    <rPh sb="18" eb="20">
      <t>ブンプ</t>
    </rPh>
    <rPh sb="26" eb="28">
      <t>ドクリツ</t>
    </rPh>
    <phoneticPr fontId="1"/>
  </si>
  <si>
    <t>結論</t>
    <rPh sb="0" eb="2">
      <t>ケツロン</t>
    </rPh>
    <phoneticPr fontId="1"/>
  </si>
  <si>
    <t>　　ln S(t)/S0 は、正規分布（ブラウン運動過程：ウィナー過程）に従う</t>
    <rPh sb="15" eb="17">
      <t>セイキ</t>
    </rPh>
    <rPh sb="17" eb="19">
      <t>ブンプ</t>
    </rPh>
    <rPh sb="24" eb="26">
      <t>ウンドウ</t>
    </rPh>
    <rPh sb="26" eb="28">
      <t>カテイ</t>
    </rPh>
    <rPh sb="33" eb="35">
      <t>カテイ</t>
    </rPh>
    <rPh sb="37" eb="38">
      <t>シタガ</t>
    </rPh>
    <phoneticPr fontId="1"/>
  </si>
  <si>
    <t xml:space="preserve">    ⇒　S(t)は対数正規分布（幾何ブラウン運動過程）に従う。</t>
    <rPh sb="11" eb="13">
      <t>タイスウ</t>
    </rPh>
    <rPh sb="13" eb="15">
      <t>セイキ</t>
    </rPh>
    <rPh sb="15" eb="17">
      <t>ブンプ</t>
    </rPh>
    <rPh sb="18" eb="20">
      <t>キカ</t>
    </rPh>
    <rPh sb="24" eb="26">
      <t>ウンドウ</t>
    </rPh>
    <rPh sb="26" eb="28">
      <t>カテイ</t>
    </rPh>
    <rPh sb="30" eb="31">
      <t>シタガ</t>
    </rPh>
    <phoneticPr fontId="1"/>
  </si>
  <si>
    <t>原資産価格推移の３つの記述</t>
    <rPh sb="0" eb="1">
      <t>ゲン</t>
    </rPh>
    <rPh sb="11" eb="13">
      <t>キジュツ</t>
    </rPh>
    <phoneticPr fontId="1"/>
  </si>
  <si>
    <t>①確率分布（密度関数）による表現　：　対数正規分布の密度関数</t>
    <rPh sb="1" eb="3">
      <t>カクリツ</t>
    </rPh>
    <rPh sb="3" eb="5">
      <t>ブンプ</t>
    </rPh>
    <rPh sb="6" eb="8">
      <t>ミツド</t>
    </rPh>
    <rPh sb="8" eb="10">
      <t>カンスウ</t>
    </rPh>
    <rPh sb="14" eb="16">
      <t>ヒョウゲン</t>
    </rPh>
    <rPh sb="19" eb="21">
      <t>タイスウ</t>
    </rPh>
    <rPh sb="21" eb="23">
      <t>セイキ</t>
    </rPh>
    <rPh sb="23" eb="25">
      <t>ブンプ</t>
    </rPh>
    <rPh sb="26" eb="28">
      <t>ミツド</t>
    </rPh>
    <rPh sb="28" eb="30">
      <t>カンスウ</t>
    </rPh>
    <phoneticPr fontId="1"/>
  </si>
  <si>
    <t>f(St) = 1/√2πσ^2t  ×　1/St  × exp [ -(lnSt/S0 - (μ - σ^2/2)t )^2 / 2σ^2t ]</t>
    <phoneticPr fontId="1"/>
  </si>
  <si>
    <t>②確率微分評定式による表現　：　原資産価格推移のルール（微小時間での推移）</t>
    <rPh sb="1" eb="3">
      <t>カクリツ</t>
    </rPh>
    <rPh sb="3" eb="5">
      <t>ビブン</t>
    </rPh>
    <rPh sb="5" eb="7">
      <t>ヒョウテイ</t>
    </rPh>
    <rPh sb="7" eb="8">
      <t>シキ</t>
    </rPh>
    <rPh sb="11" eb="13">
      <t>ヒョウゲン</t>
    </rPh>
    <rPh sb="16" eb="19">
      <t>ゲンシサン</t>
    </rPh>
    <rPh sb="19" eb="21">
      <t>カカク</t>
    </rPh>
    <rPh sb="21" eb="23">
      <t>スイイ</t>
    </rPh>
    <rPh sb="28" eb="30">
      <t>ビショウ</t>
    </rPh>
    <rPh sb="30" eb="32">
      <t>ジカン</t>
    </rPh>
    <rPh sb="34" eb="36">
      <t>スイイ</t>
    </rPh>
    <phoneticPr fontId="1"/>
  </si>
  <si>
    <t>原資産価格の連続時間での推移は、微小時間の推移の積み重ねである。</t>
    <rPh sb="0" eb="3">
      <t>ゲンシサン</t>
    </rPh>
    <rPh sb="3" eb="5">
      <t>カカク</t>
    </rPh>
    <rPh sb="6" eb="8">
      <t>レンゾク</t>
    </rPh>
    <rPh sb="8" eb="10">
      <t>ジカン</t>
    </rPh>
    <rPh sb="12" eb="14">
      <t>スイイ</t>
    </rPh>
    <rPh sb="16" eb="18">
      <t>ビショウ</t>
    </rPh>
    <rPh sb="18" eb="20">
      <t>ジカン</t>
    </rPh>
    <rPh sb="21" eb="23">
      <t>スイイ</t>
    </rPh>
    <rPh sb="24" eb="25">
      <t>ツ</t>
    </rPh>
    <rPh sb="26" eb="27">
      <t>カサ</t>
    </rPh>
    <phoneticPr fontId="1"/>
  </si>
  <si>
    <t>dS(t) = μS(t) dt  +  σS(t)dW(t)</t>
    <phoneticPr fontId="1"/>
  </si>
  <si>
    <t>dS(t)/S(t)  =  μ・dt  +  σk・dW(t)</t>
    <phoneticPr fontId="1"/>
  </si>
  <si>
    <t>③二項モデル</t>
    <rPh sb="1" eb="3">
      <t>ニコウ</t>
    </rPh>
    <phoneticPr fontId="1"/>
  </si>
  <si>
    <t>S（ｔ）</t>
    <phoneticPr fontId="1"/>
  </si>
  <si>
    <t>u ×　S(ｔ）</t>
    <phoneticPr fontId="1"/>
  </si>
  <si>
    <t>d ×　S(ｔ）</t>
    <phoneticPr fontId="1"/>
  </si>
  <si>
    <t>dt</t>
    <phoneticPr fontId="1"/>
  </si>
  <si>
    <t>ｐ　は　リスク中立確率</t>
    <rPh sb="7" eb="9">
      <t>チュウリツ</t>
    </rPh>
    <rPh sb="9" eb="11">
      <t>カクリツ</t>
    </rPh>
    <phoneticPr fontId="1"/>
  </si>
  <si>
    <t>u = exp ( μ×dt  +  σ√dt )</t>
    <phoneticPr fontId="1"/>
  </si>
  <si>
    <t>d = exp ( μ×dt  -  σ√dt )</t>
    <phoneticPr fontId="1"/>
  </si>
  <si>
    <t>確率・統計でよく使う定理</t>
    <rPh sb="0" eb="2">
      <t>カクリツ</t>
    </rPh>
    <rPh sb="3" eb="5">
      <t>トウケイ</t>
    </rPh>
    <rPh sb="8" eb="9">
      <t>ツカ</t>
    </rPh>
    <rPh sb="10" eb="12">
      <t>テイリ</t>
    </rPh>
    <phoneticPr fontId="1"/>
  </si>
  <si>
    <t>定理１　　独立な（相関の無い）　２つの確率変数</t>
    <rPh sb="0" eb="2">
      <t>テイリ</t>
    </rPh>
    <rPh sb="5" eb="7">
      <t>ドクリツ</t>
    </rPh>
    <rPh sb="9" eb="11">
      <t>ソウカン</t>
    </rPh>
    <rPh sb="12" eb="13">
      <t>ナ</t>
    </rPh>
    <rPh sb="19" eb="21">
      <t>カクリツ</t>
    </rPh>
    <rPh sb="21" eb="23">
      <t>ヘンスウ</t>
    </rPh>
    <phoneticPr fontId="1"/>
  </si>
  <si>
    <t>X、Yが確率変数で、その期待値・分散をそれぞれ、μx,μy  ・　σx^2,σy^2とする。</t>
    <rPh sb="4" eb="6">
      <t>カクリツ</t>
    </rPh>
    <rPh sb="6" eb="8">
      <t>ヘンスウ</t>
    </rPh>
    <rPh sb="12" eb="15">
      <t>キタイチ</t>
    </rPh>
    <rPh sb="16" eb="18">
      <t>ブンサン</t>
    </rPh>
    <phoneticPr fontId="1"/>
  </si>
  <si>
    <t>X、Yが独立の時、　Z　= X + Y の期待値と分散は以下になる。</t>
    <rPh sb="4" eb="6">
      <t>ドクリツ</t>
    </rPh>
    <rPh sb="7" eb="8">
      <t>トキ</t>
    </rPh>
    <rPh sb="21" eb="24">
      <t>キタイチ</t>
    </rPh>
    <rPh sb="25" eb="27">
      <t>ブンサン</t>
    </rPh>
    <rPh sb="28" eb="30">
      <t>イカ</t>
    </rPh>
    <phoneticPr fontId="1"/>
  </si>
  <si>
    <t>　　期待値　＝　μx  + μy</t>
    <rPh sb="2" eb="5">
      <t>キタイチ</t>
    </rPh>
    <phoneticPr fontId="1"/>
  </si>
  <si>
    <t>　　分散　　 ＝　σx^2  +  σy^2</t>
    <rPh sb="2" eb="4">
      <t>ブンサン</t>
    </rPh>
    <phoneticPr fontId="1"/>
  </si>
  <si>
    <t>定理２　　中心極限定理</t>
    <rPh sb="0" eb="2">
      <t>テイリ</t>
    </rPh>
    <rPh sb="5" eb="7">
      <t>チュウシン</t>
    </rPh>
    <rPh sb="7" eb="9">
      <t>キョクゲン</t>
    </rPh>
    <rPh sb="9" eb="11">
      <t>テイリ</t>
    </rPh>
    <phoneticPr fontId="1"/>
  </si>
  <si>
    <t>確率変数X1,X2,・・・,Xnが互いに独立で、それぞれ同じ分布特性(期待値=μ、分散=σ^2）を持つとき、</t>
    <rPh sb="0" eb="2">
      <t>カクリツ</t>
    </rPh>
    <rPh sb="2" eb="4">
      <t>ヘンスウ</t>
    </rPh>
    <rPh sb="17" eb="18">
      <t>タガ</t>
    </rPh>
    <rPh sb="20" eb="22">
      <t>ドクリツ</t>
    </rPh>
    <rPh sb="28" eb="29">
      <t>オナ</t>
    </rPh>
    <rPh sb="30" eb="32">
      <t>ブンプ</t>
    </rPh>
    <rPh sb="32" eb="34">
      <t>トクセイ</t>
    </rPh>
    <rPh sb="35" eb="38">
      <t>キタイチ</t>
    </rPh>
    <rPh sb="41" eb="43">
      <t>ブンサン</t>
    </rPh>
    <rPh sb="49" eb="50">
      <t>モ</t>
    </rPh>
    <phoneticPr fontId="1"/>
  </si>
  <si>
    <t>　Z　　～　N(nμ , nσ^2 )</t>
    <phoneticPr fontId="1"/>
  </si>
  <si>
    <t>また、ｎ→∞　　Z/n  ～ N(μ , σ^2/n ) に収束する</t>
    <rPh sb="30" eb="32">
      <t>シュウソク</t>
    </rPh>
    <phoneticPr fontId="1"/>
  </si>
  <si>
    <r>
      <t>Z = X1 + X2 + ・・・ + Xn は、nが十分に大きいとき、　　</t>
    </r>
    <r>
      <rPr>
        <b/>
        <sz val="12"/>
        <color rgb="FFFF0000"/>
        <rFont val="ＭＳ Ｐゴシック"/>
        <family val="3"/>
        <charset val="128"/>
        <scheme val="minor"/>
      </rPr>
      <t>期待値 = ｎμ　　分散=ｎσ^2</t>
    </r>
    <r>
      <rPr>
        <sz val="12"/>
        <color theme="1"/>
        <rFont val="ＭＳ Ｐゴシック"/>
        <family val="3"/>
        <charset val="128"/>
        <scheme val="minor"/>
      </rPr>
      <t xml:space="preserve">   の正規分布であるとみなせる。</t>
    </r>
    <rPh sb="27" eb="29">
      <t>ジュウブン</t>
    </rPh>
    <rPh sb="30" eb="31">
      <t>オオ</t>
    </rPh>
    <phoneticPr fontId="1"/>
  </si>
  <si>
    <t>[1] 確率変数 ln S(t)/S0 の分布</t>
    <rPh sb="4" eb="6">
      <t>カクリツ</t>
    </rPh>
    <rPh sb="6" eb="8">
      <t>ヘンスウ</t>
    </rPh>
    <rPh sb="21" eb="23">
      <t>ブンプ</t>
    </rPh>
    <phoneticPr fontId="1"/>
  </si>
  <si>
    <t>S(t) / S0  =  S1/S0 × S2/S1 × ・・・・ × St/St-1</t>
    <phoneticPr fontId="1"/>
  </si>
  <si>
    <t>ln S(t)/S0  = lnS1/S0 + lnS2/S1 + ・・・ + lnSt/St-1</t>
    <phoneticPr fontId="1"/>
  </si>
  <si>
    <t>lnS1/S0 , lnS2/S1 ・・・ lnSt/St-1 は、すべて同じ確率分布を持ち、かつ独立であるとする。</t>
    <rPh sb="37" eb="38">
      <t>オナ</t>
    </rPh>
    <rPh sb="39" eb="41">
      <t>カクリツ</t>
    </rPh>
    <rPh sb="41" eb="43">
      <t>ブンプ</t>
    </rPh>
    <rPh sb="44" eb="45">
      <t>モ</t>
    </rPh>
    <rPh sb="49" eb="51">
      <t>ドクリツ</t>
    </rPh>
    <phoneticPr fontId="1"/>
  </si>
  <si>
    <t>この時のそれぞれのログリターンの期待値・分散を以下と置く。</t>
    <rPh sb="2" eb="3">
      <t>トキ</t>
    </rPh>
    <rPh sb="16" eb="19">
      <t>キタイチ</t>
    </rPh>
    <rPh sb="20" eb="22">
      <t>ブンサン</t>
    </rPh>
    <rPh sb="23" eb="25">
      <t>イカ</t>
    </rPh>
    <rPh sb="26" eb="27">
      <t>オ</t>
    </rPh>
    <phoneticPr fontId="1"/>
  </si>
  <si>
    <t>　　分散　　= σ^2</t>
    <rPh sb="2" eb="4">
      <t>ブンサン</t>
    </rPh>
    <phoneticPr fontId="1"/>
  </si>
  <si>
    <t>中心極限定理より、ln S(t)/S0 の期待値・分散は、以下となる。</t>
    <rPh sb="0" eb="2">
      <t>チュウシン</t>
    </rPh>
    <rPh sb="2" eb="4">
      <t>キョクゲン</t>
    </rPh>
    <rPh sb="4" eb="6">
      <t>テイリ</t>
    </rPh>
    <rPh sb="21" eb="24">
      <t>キタイチ</t>
    </rPh>
    <rPh sb="25" eb="27">
      <t>ブンサン</t>
    </rPh>
    <rPh sb="29" eb="31">
      <t>イカ</t>
    </rPh>
    <phoneticPr fontId="1"/>
  </si>
  <si>
    <t>　　分散    = tσ^2</t>
    <rPh sb="2" eb="4">
      <t>ブンサン</t>
    </rPh>
    <phoneticPr fontId="1"/>
  </si>
  <si>
    <t>x = lnS(t)/S0と置くと、確率密度関数f(x)は</t>
    <rPh sb="14" eb="15">
      <t>オ</t>
    </rPh>
    <rPh sb="18" eb="20">
      <t>カクリツ</t>
    </rPh>
    <rPh sb="20" eb="22">
      <t>ミツド</t>
    </rPh>
    <rPh sb="22" eb="24">
      <t>カンスウ</t>
    </rPh>
    <phoneticPr fontId="1"/>
  </si>
  <si>
    <t>　　期待値 = ν</t>
    <rPh sb="2" eb="5">
      <t>キタイチ</t>
    </rPh>
    <phoneticPr fontId="1"/>
  </si>
  <si>
    <t>　　期待値 = tν</t>
    <rPh sb="2" eb="5">
      <t>キタイチ</t>
    </rPh>
    <phoneticPr fontId="1"/>
  </si>
  <si>
    <t>lnS(t)/S0  ～  N(ｔν , tσ^2）</t>
    <phoneticPr fontId="1"/>
  </si>
  <si>
    <t>（証明）</t>
    <rPh sb="1" eb="3">
      <t>ショウメイ</t>
    </rPh>
    <phoneticPr fontId="1"/>
  </si>
  <si>
    <t>f(x) = 1/√2πσ＾2t　×　exp {  -(x-νt)^2 / 2σ^2t }</t>
    <phoneticPr fontId="1"/>
  </si>
  <si>
    <t>f(x) = 1/√2π分散  ×　　e ^ { -  (x - 期待)^2 / 2×分散 }</t>
    <rPh sb="12" eb="14">
      <t>ブンサン</t>
    </rPh>
    <rPh sb="33" eb="35">
      <t>キタイ</t>
    </rPh>
    <rPh sb="43" eb="45">
      <t>ブンサン</t>
    </rPh>
    <phoneticPr fontId="1"/>
  </si>
  <si>
    <t>[2] 確率変数 ln S(t) の分布</t>
    <rPh sb="4" eb="6">
      <t>カクリツ</t>
    </rPh>
    <rPh sb="6" eb="8">
      <t>ヘンスウ</t>
    </rPh>
    <rPh sb="18" eb="20">
      <t>ブンプ</t>
    </rPh>
    <phoneticPr fontId="1"/>
  </si>
  <si>
    <t>ln S(t) = ln S(t)/S0 + lnS0</t>
    <phoneticPr fontId="1"/>
  </si>
  <si>
    <t>lnS0は定数であり、かつlnS(t)/S0は期待値νt , 分散σ^2ｔの正規分布に従う。</t>
    <rPh sb="5" eb="7">
      <t>テイスウ</t>
    </rPh>
    <rPh sb="23" eb="26">
      <t>キタイチ</t>
    </rPh>
    <rPh sb="31" eb="33">
      <t>ブンサン</t>
    </rPh>
    <rPh sb="38" eb="40">
      <t>セイキ</t>
    </rPh>
    <rPh sb="40" eb="42">
      <t>ブンプ</t>
    </rPh>
    <rPh sb="43" eb="44">
      <t>シタガ</t>
    </rPh>
    <phoneticPr fontId="1"/>
  </si>
  <si>
    <t>よって、lnS(t)も以下の正規分布に従う。</t>
    <rPh sb="11" eb="13">
      <t>イカ</t>
    </rPh>
    <rPh sb="14" eb="16">
      <t>セイキ</t>
    </rPh>
    <rPh sb="16" eb="18">
      <t>ブンプ</t>
    </rPh>
    <rPh sb="19" eb="20">
      <t>シタガ</t>
    </rPh>
    <phoneticPr fontId="1"/>
  </si>
  <si>
    <t>　　期待値 = tν + lnS0</t>
    <rPh sb="2" eb="5">
      <t>キタイチ</t>
    </rPh>
    <phoneticPr fontId="1"/>
  </si>
  <si>
    <t>lnS(t)  ～  N(ｔν+ lnS0 , tσ^2）</t>
    <phoneticPr fontId="1"/>
  </si>
  <si>
    <t>y = lnS(t)と置くと、確率密度関数g(y)は</t>
    <rPh sb="11" eb="12">
      <t>オ</t>
    </rPh>
    <rPh sb="15" eb="17">
      <t>カクリツ</t>
    </rPh>
    <rPh sb="17" eb="19">
      <t>ミツド</t>
    </rPh>
    <rPh sb="19" eb="21">
      <t>カンスウ</t>
    </rPh>
    <phoneticPr fontId="1"/>
  </si>
  <si>
    <t>g(y) = 1/√2πσ＾2t　×　exp {  -(y - lnS0-νt)^2 / 2σ^2t }</t>
    <phoneticPr fontId="1"/>
  </si>
  <si>
    <t xml:space="preserve">     → ln S(t) = ln S(t)/S0 + lnS0  →　y = x + lnS0 →　 x　= y - lnS0</t>
    <phoneticPr fontId="1"/>
  </si>
  <si>
    <t>[3] 確率変数 S(t) の分布</t>
    <rPh sb="4" eb="6">
      <t>カクリツ</t>
    </rPh>
    <rPh sb="6" eb="8">
      <t>ヘンスウ</t>
    </rPh>
    <rPh sb="15" eb="17">
      <t>ブンプ</t>
    </rPh>
    <phoneticPr fontId="1"/>
  </si>
  <si>
    <t>S(t) = z , lnS(t) = yと置くと、z = e^yが成り立つ。</t>
    <rPh sb="22" eb="23">
      <t>オ</t>
    </rPh>
    <rPh sb="34" eb="35">
      <t>ナ</t>
    </rPh>
    <rPh sb="36" eb="37">
      <t>タ</t>
    </rPh>
    <phoneticPr fontId="1"/>
  </si>
  <si>
    <t>h(z) = 1/√2πσ＾2t　×　1/z  × exp {  -(lnz - lnS0-νt)^2 / 2σ^2t }</t>
    <phoneticPr fontId="1"/>
  </si>
  <si>
    <t>z = e^y →　y = ln z</t>
    <phoneticPr fontId="1"/>
  </si>
  <si>
    <t>h(z) = 1/√2πσ＾2t　×　1/z  × exp {  -(ln z/S0 -νt)^2 / 2σ^2t }</t>
    <phoneticPr fontId="1"/>
  </si>
  <si>
    <t>zの取りうる範囲は、0　～ ∞</t>
    <rPh sb="2" eb="3">
      <t>ト</t>
    </rPh>
    <rPh sb="6" eb="8">
      <t>ハンイ</t>
    </rPh>
    <phoneticPr fontId="1"/>
  </si>
  <si>
    <t>■期待値</t>
    <rPh sb="1" eb="4">
      <t>キタイチ</t>
    </rPh>
    <phoneticPr fontId="1"/>
  </si>
  <si>
    <t>∫　z × h(z) dz = S0 × exp { (ν + σ^2 /2)t }</t>
    <phoneticPr fontId="1"/>
  </si>
  <si>
    <t>■分散</t>
    <rPh sb="1" eb="3">
      <t>ブンサン</t>
    </rPh>
    <phoneticPr fontId="1"/>
  </si>
  <si>
    <t>対数正規分布に従う。</t>
    <rPh sb="0" eb="2">
      <t>タイスウ</t>
    </rPh>
    <rPh sb="2" eb="4">
      <t>セイキ</t>
    </rPh>
    <rPh sb="4" eb="6">
      <t>ブンプ</t>
    </rPh>
    <rPh sb="7" eb="8">
      <t>シタガ</t>
    </rPh>
    <phoneticPr fontId="1"/>
  </si>
  <si>
    <t>（z = e^yが成り立ち、かつyは正規分布に従うので、zは対数正規分布に従う。）</t>
    <rPh sb="9" eb="10">
      <t>ナ</t>
    </rPh>
    <rPh sb="11" eb="12">
      <t>タ</t>
    </rPh>
    <rPh sb="18" eb="22">
      <t>セイキブンプ</t>
    </rPh>
    <rPh sb="23" eb="24">
      <t>シタガ</t>
    </rPh>
    <rPh sb="30" eb="32">
      <t>タイスウ</t>
    </rPh>
    <rPh sb="32" eb="36">
      <t>セイキブンプ</t>
    </rPh>
    <rPh sb="37" eb="38">
      <t>シタガ</t>
    </rPh>
    <phoneticPr fontId="1"/>
  </si>
  <si>
    <t>確率微分方程式　（アプローチ２）</t>
    <rPh sb="0" eb="2">
      <t>カクリツ</t>
    </rPh>
    <rPh sb="2" eb="4">
      <t>ビブン</t>
    </rPh>
    <rPh sb="4" eb="7">
      <t>ホウテイシキ</t>
    </rPh>
    <phoneticPr fontId="1"/>
  </si>
  <si>
    <t>標準ブラウン運動（ウィナー過程）　W(ｔ）の導入</t>
    <rPh sb="0" eb="2">
      <t>ヒョウジュン</t>
    </rPh>
    <rPh sb="6" eb="8">
      <t>ウンドウ</t>
    </rPh>
    <rPh sb="13" eb="15">
      <t>カテイ</t>
    </rPh>
    <rPh sb="22" eb="24">
      <t>ドウニュウ</t>
    </rPh>
    <phoneticPr fontId="1"/>
  </si>
  <si>
    <t>時間と共に変化する確率変数W(t)の過程（確率過程）が、以下の条件を満たす場合、標準ブラウン運動といいます。</t>
    <rPh sb="0" eb="2">
      <t>ジカン</t>
    </rPh>
    <rPh sb="3" eb="4">
      <t>トモ</t>
    </rPh>
    <rPh sb="5" eb="7">
      <t>ヘンカ</t>
    </rPh>
    <rPh sb="9" eb="11">
      <t>カクリツ</t>
    </rPh>
    <rPh sb="11" eb="13">
      <t>ヘンスウ</t>
    </rPh>
    <rPh sb="18" eb="20">
      <t>カテイ</t>
    </rPh>
    <rPh sb="21" eb="23">
      <t>カクリツ</t>
    </rPh>
    <rPh sb="23" eb="25">
      <t>カテイ</t>
    </rPh>
    <rPh sb="28" eb="30">
      <t>イカ</t>
    </rPh>
    <rPh sb="31" eb="33">
      <t>ジョウケン</t>
    </rPh>
    <rPh sb="34" eb="35">
      <t>ミ</t>
    </rPh>
    <rPh sb="37" eb="39">
      <t>バアイ</t>
    </rPh>
    <rPh sb="40" eb="42">
      <t>ヒョウジュン</t>
    </rPh>
    <rPh sb="46" eb="48">
      <t>ウンドウ</t>
    </rPh>
    <phoneticPr fontId="1"/>
  </si>
  <si>
    <t>W(t)は期待値0  、　分散t の正規分布に従う。　　（加えて、 W(0) = 0 )　　→ W(Δt) は、期待値0  , 分散Δtの正規分布に従う。</t>
    <rPh sb="5" eb="8">
      <t>キタイチ</t>
    </rPh>
    <rPh sb="13" eb="15">
      <t>ブンサン</t>
    </rPh>
    <rPh sb="18" eb="20">
      <t>セイキ</t>
    </rPh>
    <rPh sb="20" eb="22">
      <t>ブンプ</t>
    </rPh>
    <rPh sb="23" eb="24">
      <t>シタガ</t>
    </rPh>
    <rPh sb="29" eb="30">
      <t>クワ</t>
    </rPh>
    <rPh sb="56" eb="59">
      <t>キタイチ</t>
    </rPh>
    <rPh sb="64" eb="66">
      <t>ブンサン</t>
    </rPh>
    <rPh sb="69" eb="71">
      <t>セイキ</t>
    </rPh>
    <rPh sb="71" eb="73">
      <t>ブンプ</t>
    </rPh>
    <rPh sb="74" eb="75">
      <t>シタガ</t>
    </rPh>
    <phoneticPr fontId="1"/>
  </si>
  <si>
    <t>W(t)はtに関して連続である。</t>
    <rPh sb="7" eb="8">
      <t>カン</t>
    </rPh>
    <rPh sb="10" eb="12">
      <t>レンゾク</t>
    </rPh>
    <phoneticPr fontId="1"/>
  </si>
  <si>
    <t>W(t + Δt） - W(t) の分布は、W(Δt）の分布と同じ。　（斉時性）</t>
    <rPh sb="18" eb="20">
      <t>ブンプ</t>
    </rPh>
    <rPh sb="28" eb="30">
      <t>ブンプ</t>
    </rPh>
    <rPh sb="31" eb="32">
      <t>オナ</t>
    </rPh>
    <rPh sb="36" eb="37">
      <t>ヒトシ</t>
    </rPh>
    <rPh sb="37" eb="38">
      <t>トキ</t>
    </rPh>
    <rPh sb="38" eb="39">
      <t>セイ</t>
    </rPh>
    <phoneticPr fontId="1"/>
  </si>
  <si>
    <t>異なる区間における変位は、独立である。</t>
    <rPh sb="0" eb="1">
      <t>コト</t>
    </rPh>
    <rPh sb="3" eb="5">
      <t>クカン</t>
    </rPh>
    <rPh sb="9" eb="11">
      <t>ヘンイ</t>
    </rPh>
    <rPh sb="13" eb="15">
      <t>ドクリツ</t>
    </rPh>
    <phoneticPr fontId="1"/>
  </si>
  <si>
    <t>これは、lnS(t)/S0の分布において、ν=0,σ=1と置いたものと同じ。</t>
    <rPh sb="14" eb="16">
      <t>ブンプ</t>
    </rPh>
    <rPh sb="29" eb="30">
      <t>オ</t>
    </rPh>
    <rPh sb="35" eb="36">
      <t>オナ</t>
    </rPh>
    <phoneticPr fontId="1"/>
  </si>
  <si>
    <t>標準ブラウン運動W(t)を使った、t年ログリターン：lnS(t)/S0の推移</t>
    <rPh sb="0" eb="2">
      <t>ヒョウジュン</t>
    </rPh>
    <rPh sb="6" eb="8">
      <t>ウンドウ</t>
    </rPh>
    <rPh sb="13" eb="14">
      <t>ツカ</t>
    </rPh>
    <rPh sb="18" eb="19">
      <t>ネン</t>
    </rPh>
    <rPh sb="36" eb="38">
      <t>スイイ</t>
    </rPh>
    <phoneticPr fontId="1"/>
  </si>
  <si>
    <t>[1]標準ブラウン運動 W(t) ： 期待値0、標準偏差√t、分散tの正規分布</t>
    <rPh sb="3" eb="5">
      <t>ヒョウジュン</t>
    </rPh>
    <rPh sb="9" eb="11">
      <t>ウンドウ</t>
    </rPh>
    <rPh sb="19" eb="22">
      <t>キタイチ</t>
    </rPh>
    <rPh sb="24" eb="26">
      <t>ヒョウジュン</t>
    </rPh>
    <rPh sb="26" eb="28">
      <t>ヘンサ</t>
    </rPh>
    <rPh sb="31" eb="33">
      <t>ブンサン</t>
    </rPh>
    <rPh sb="35" eb="37">
      <t>セイキ</t>
    </rPh>
    <rPh sb="37" eb="39">
      <t>ブンプ</t>
    </rPh>
    <phoneticPr fontId="1"/>
  </si>
  <si>
    <t>[2]　σ　×　W(t) ： 期待値0、標準偏差σ√t、分散σ^2tの正規分布</t>
    <rPh sb="15" eb="18">
      <t>キタイチ</t>
    </rPh>
    <rPh sb="20" eb="22">
      <t>ヒョウジュン</t>
    </rPh>
    <rPh sb="22" eb="24">
      <t>ヘンサ</t>
    </rPh>
    <rPh sb="28" eb="30">
      <t>ブンサン</t>
    </rPh>
    <rPh sb="35" eb="37">
      <t>セイキ</t>
    </rPh>
    <rPh sb="37" eb="39">
      <t>ブンプ</t>
    </rPh>
    <phoneticPr fontId="1"/>
  </si>
  <si>
    <t>[3]　νt + σW(t) ： 期待値νt、標準偏差σ√t、分散σ^2tの正規分布</t>
    <rPh sb="17" eb="20">
      <t>キタイチ</t>
    </rPh>
    <rPh sb="23" eb="25">
      <t>ヒョウジュン</t>
    </rPh>
    <rPh sb="25" eb="27">
      <t>ヘンサ</t>
    </rPh>
    <rPh sb="31" eb="33">
      <t>ブンサン</t>
    </rPh>
    <rPh sb="38" eb="40">
      <t>セイキ</t>
    </rPh>
    <rPh sb="40" eb="42">
      <t>ブンプ</t>
    </rPh>
    <phoneticPr fontId="1"/>
  </si>
  <si>
    <t>①ブラウン運動を用いて考えた、確率微分方程式より導き出した以下の分布</t>
    <rPh sb="5" eb="7">
      <t>ウンドウ</t>
    </rPh>
    <rPh sb="8" eb="9">
      <t>モチ</t>
    </rPh>
    <rPh sb="11" eb="12">
      <t>カンガ</t>
    </rPh>
    <rPh sb="15" eb="17">
      <t>カクリツ</t>
    </rPh>
    <rPh sb="17" eb="19">
      <t>ビブン</t>
    </rPh>
    <rPh sb="19" eb="22">
      <t>ホウテイシキ</t>
    </rPh>
    <rPh sb="24" eb="25">
      <t>ミチビ</t>
    </rPh>
    <rPh sb="26" eb="27">
      <t>ダ</t>
    </rPh>
    <rPh sb="29" eb="31">
      <t>イカ</t>
    </rPh>
    <rPh sb="32" eb="34">
      <t>ブンプ</t>
    </rPh>
    <phoneticPr fontId="1"/>
  </si>
  <si>
    <t>②連続型の確率密度関数より、中心極限定理より導き出した以下の分布</t>
    <rPh sb="1" eb="3">
      <t>レンゾク</t>
    </rPh>
    <rPh sb="3" eb="4">
      <t>ガタ</t>
    </rPh>
    <rPh sb="5" eb="7">
      <t>カクリツ</t>
    </rPh>
    <rPh sb="7" eb="9">
      <t>ミツド</t>
    </rPh>
    <rPh sb="9" eb="11">
      <t>カンスウ</t>
    </rPh>
    <rPh sb="14" eb="16">
      <t>チュウシン</t>
    </rPh>
    <rPh sb="16" eb="18">
      <t>キョクゲン</t>
    </rPh>
    <rPh sb="18" eb="20">
      <t>テイリ</t>
    </rPh>
    <rPh sb="22" eb="23">
      <t>ミチビ</t>
    </rPh>
    <rPh sb="24" eb="25">
      <t>ダ</t>
    </rPh>
    <rPh sb="27" eb="29">
      <t>イカ</t>
    </rPh>
    <rPh sb="30" eb="32">
      <t>ブンプ</t>
    </rPh>
    <phoneticPr fontId="1"/>
  </si>
  <si>
    <t>①と②は全く同じ分布</t>
    <rPh sb="4" eb="5">
      <t>マッタ</t>
    </rPh>
    <rPh sb="6" eb="7">
      <t>オナ</t>
    </rPh>
    <rPh sb="8" eb="10">
      <t>ブンプ</t>
    </rPh>
    <phoneticPr fontId="1"/>
  </si>
  <si>
    <t>よって、以下が言える。</t>
    <rPh sb="4" eb="6">
      <t>イカ</t>
    </rPh>
    <rPh sb="7" eb="8">
      <t>イ</t>
    </rPh>
    <phoneticPr fontId="1"/>
  </si>
  <si>
    <t>　νt + σW(t) ： 期待値νt、標準偏差σ√t、分散σ^2tの正規分布</t>
    <phoneticPr fontId="1"/>
  </si>
  <si>
    <t>lnS(t)/S0  =  νt + σW(t)　　・・・　(7)</t>
    <phoneticPr fontId="1"/>
  </si>
  <si>
    <t>lnS(t)  =  lnS0 + νt + σW(t)　　・・・　(8)</t>
    <phoneticPr fontId="1"/>
  </si>
  <si>
    <t>微小時間における変位で考えると、(8)は、以下に変形出来る。</t>
    <rPh sb="0" eb="2">
      <t>ビショウ</t>
    </rPh>
    <rPh sb="2" eb="4">
      <t>ジカン</t>
    </rPh>
    <rPh sb="8" eb="10">
      <t>ヘンイ</t>
    </rPh>
    <rPh sb="11" eb="12">
      <t>カンガ</t>
    </rPh>
    <rPh sb="21" eb="23">
      <t>イカ</t>
    </rPh>
    <rPh sb="24" eb="26">
      <t>ヘンケイ</t>
    </rPh>
    <rPh sb="26" eb="28">
      <t>デキ</t>
    </rPh>
    <phoneticPr fontId="1"/>
  </si>
  <si>
    <t>lnS(dt)  =  νdt + σW(dt)</t>
    <phoneticPr fontId="1"/>
  </si>
  <si>
    <t>↓</t>
    <phoneticPr fontId="1"/>
  </si>
  <si>
    <t>dlnS(t)  =  νdt + σdW(t)</t>
    <phoneticPr fontId="1"/>
  </si>
  <si>
    <t>dlnS(t)  =  νdt + σdW(t)　　・・・　(9)</t>
    <phoneticPr fontId="1"/>
  </si>
  <si>
    <t>(8)→(9)の証明</t>
    <rPh sb="8" eb="10">
      <t>ショウメイ</t>
    </rPh>
    <phoneticPr fontId="1"/>
  </si>
  <si>
    <t>微小時間( t → t+dt）における変位を考える。</t>
    <rPh sb="0" eb="2">
      <t>ビショウ</t>
    </rPh>
    <rPh sb="2" eb="4">
      <t>ジカン</t>
    </rPh>
    <rPh sb="19" eb="21">
      <t>ヘンイ</t>
    </rPh>
    <rPh sb="22" eb="23">
      <t>カンガ</t>
    </rPh>
    <phoneticPr fontId="1"/>
  </si>
  <si>
    <t>ln S ( t + dt) = lnS0 + ν(t+dt) + σW(t+dt) ・・・　(10)となるので、</t>
    <phoneticPr fontId="1"/>
  </si>
  <si>
    <t>(10)式 - (8)式</t>
    <rPh sb="4" eb="5">
      <t>シキ</t>
    </rPh>
    <rPh sb="11" eb="12">
      <t>シキ</t>
    </rPh>
    <phoneticPr fontId="1"/>
  </si>
  <si>
    <t>lnS(t + dt) - lnS(t) = ν(dt) + σ(W(t+dt) - W(dt) )</t>
    <phoneticPr fontId="1"/>
  </si>
  <si>
    <t>ここで、lnS(t + dt) - lnS(t) = d lnS(t)</t>
    <phoneticPr fontId="1"/>
  </si>
  <si>
    <t>ウィナー過程より、(W(t+dt) - W(dt)　= W(dt) = dW(t)</t>
    <rPh sb="4" eb="6">
      <t>カテイ</t>
    </rPh>
    <phoneticPr fontId="1"/>
  </si>
  <si>
    <t>問題（連続モデル）</t>
    <rPh sb="0" eb="2">
      <t>モンダイ</t>
    </rPh>
    <rPh sb="3" eb="5">
      <t>レンゾク</t>
    </rPh>
    <phoneticPr fontId="1"/>
  </si>
  <si>
    <t>サイコロ１～６が出る確率は一様に1/6です。</t>
    <rPh sb="8" eb="9">
      <t>デ</t>
    </rPh>
    <rPh sb="10" eb="12">
      <t>カクリツ</t>
    </rPh>
    <rPh sb="13" eb="15">
      <t>イチヨウ</t>
    </rPh>
    <phoneticPr fontId="1"/>
  </si>
  <si>
    <t>サイコロを5000回振って和をとった確率変数は、近似的に何分布に従うでしょうか？</t>
    <rPh sb="9" eb="10">
      <t>カイ</t>
    </rPh>
    <rPh sb="10" eb="11">
      <t>フ</t>
    </rPh>
    <rPh sb="13" eb="14">
      <t>ワ</t>
    </rPh>
    <rPh sb="18" eb="20">
      <t>カクリツ</t>
    </rPh>
    <rPh sb="20" eb="22">
      <t>ヘンスウ</t>
    </rPh>
    <rPh sb="24" eb="27">
      <t>キンジテキ</t>
    </rPh>
    <rPh sb="28" eb="29">
      <t>ナニ</t>
    </rPh>
    <rPh sb="29" eb="31">
      <t>ブンプ</t>
    </rPh>
    <rPh sb="32" eb="33">
      <t>シタガ</t>
    </rPh>
    <phoneticPr fontId="1"/>
  </si>
  <si>
    <t>1回振った時の期待値と、分散</t>
    <rPh sb="1" eb="2">
      <t>カイ</t>
    </rPh>
    <rPh sb="2" eb="3">
      <t>フ</t>
    </rPh>
    <rPh sb="5" eb="6">
      <t>トキ</t>
    </rPh>
    <rPh sb="7" eb="9">
      <t>キタイ</t>
    </rPh>
    <rPh sb="9" eb="10">
      <t>アタイ</t>
    </rPh>
    <rPh sb="12" eb="14">
      <t>ブンサン</t>
    </rPh>
    <phoneticPr fontId="1"/>
  </si>
  <si>
    <t>5000回振ったときの期待値、分散、標準偏差</t>
    <rPh sb="4" eb="5">
      <t>カイ</t>
    </rPh>
    <rPh sb="5" eb="6">
      <t>フ</t>
    </rPh>
    <rPh sb="11" eb="14">
      <t>キタイチ</t>
    </rPh>
    <rPh sb="15" eb="17">
      <t>ブンサン</t>
    </rPh>
    <rPh sb="18" eb="22">
      <t>ヒョウジュンヘンサ</t>
    </rPh>
    <phoneticPr fontId="1"/>
  </si>
  <si>
    <t>中心極限定理より、上記の期待値・分散・標準偏差とする正規分布に従う。</t>
    <rPh sb="0" eb="2">
      <t>チュウシン</t>
    </rPh>
    <rPh sb="2" eb="4">
      <t>キョクゲン</t>
    </rPh>
    <rPh sb="4" eb="6">
      <t>テイリ</t>
    </rPh>
    <rPh sb="9" eb="11">
      <t>ジョウキ</t>
    </rPh>
    <rPh sb="12" eb="15">
      <t>キタイチ</t>
    </rPh>
    <rPh sb="16" eb="18">
      <t>ブンサン</t>
    </rPh>
    <rPh sb="19" eb="21">
      <t>ヒョウジュン</t>
    </rPh>
    <rPh sb="21" eb="23">
      <t>ヘンサ</t>
    </rPh>
    <rPh sb="26" eb="28">
      <t>セイキ</t>
    </rPh>
    <rPh sb="28" eb="30">
      <t>ブンプ</t>
    </rPh>
    <rPh sb="31" eb="32">
      <t>シタガ</t>
    </rPh>
    <phoneticPr fontId="1"/>
  </si>
  <si>
    <t>ログリターンの分布が独立に等しい分布に従うことから求めなさい</t>
    <rPh sb="7" eb="9">
      <t>ブンプ</t>
    </rPh>
    <rPh sb="10" eb="12">
      <t>ドクリツ</t>
    </rPh>
    <rPh sb="13" eb="14">
      <t>ヒト</t>
    </rPh>
    <rPh sb="16" eb="18">
      <t>ブンプ</t>
    </rPh>
    <rPh sb="19" eb="20">
      <t>シタガ</t>
    </rPh>
    <rPh sb="25" eb="26">
      <t>モト</t>
    </rPh>
    <phoneticPr fontId="1"/>
  </si>
  <si>
    <t>Tをn分割したものが、Δt　＝ dt</t>
    <rPh sb="3" eb="5">
      <t>ブンカツ</t>
    </rPh>
    <phoneticPr fontId="1"/>
  </si>
  <si>
    <t>時点Tにおける原資産価格S(T)について、ログリターンlnS(T)/S(0)の従う確率分布を、微小期間Δt ( = T/n)における</t>
    <rPh sb="0" eb="2">
      <t>ジテン</t>
    </rPh>
    <rPh sb="7" eb="10">
      <t>ゲンシサン</t>
    </rPh>
    <rPh sb="10" eb="12">
      <t>カカク</t>
    </rPh>
    <rPh sb="39" eb="40">
      <t>シタガ</t>
    </rPh>
    <rPh sb="41" eb="43">
      <t>カクリツ</t>
    </rPh>
    <rPh sb="43" eb="45">
      <t>ブンプ</t>
    </rPh>
    <rPh sb="47" eb="49">
      <t>ビショウ</t>
    </rPh>
    <rPh sb="49" eb="51">
      <t>キカン</t>
    </rPh>
    <phoneticPr fontId="1"/>
  </si>
  <si>
    <t>S1 = S(1*Δt) = S(dt)</t>
    <phoneticPr fontId="1"/>
  </si>
  <si>
    <t>S2 = S(2*Δt) = S(2dt)</t>
    <phoneticPr fontId="1"/>
  </si>
  <si>
    <t>：</t>
    <phoneticPr fontId="1"/>
  </si>
  <si>
    <t>Sn = S(n*Δt) = S(ndt) = S(T)</t>
    <phoneticPr fontId="1"/>
  </si>
  <si>
    <t>以下のようになる</t>
    <rPh sb="0" eb="2">
      <t>イカ</t>
    </rPh>
    <phoneticPr fontId="1"/>
  </si>
  <si>
    <t>S(T)/S(0) = S1/S0 × S2/S1 ×　・・・ × Sn/Sn-1</t>
    <phoneticPr fontId="1"/>
  </si>
  <si>
    <t>lnS(T)/S(0) = lnS1/S0 + lnS2/S1 + ・・・ + lnSn/Sn-1</t>
    <phoneticPr fontId="1"/>
  </si>
  <si>
    <t>lnS1/S0、・・・lnSn/Sn-1は、期待値ν、分散σ^2に従うとすると、</t>
    <rPh sb="22" eb="25">
      <t>キタイチ</t>
    </rPh>
    <rPh sb="27" eb="29">
      <t>ブンサン</t>
    </rPh>
    <rPh sb="33" eb="34">
      <t>シタガ</t>
    </rPh>
    <phoneticPr fontId="1"/>
  </si>
  <si>
    <t>中心極限定理より、lnS(T)/S(0)は、以下のようになる。</t>
    <rPh sb="0" eb="6">
      <t>チュウシンキョクゲンテイリ</t>
    </rPh>
    <rPh sb="22" eb="24">
      <t>イカ</t>
    </rPh>
    <phoneticPr fontId="1"/>
  </si>
  <si>
    <t>　　期待値 = Tν</t>
    <rPh sb="2" eb="5">
      <t>キタイチ</t>
    </rPh>
    <phoneticPr fontId="1"/>
  </si>
  <si>
    <t>　　分散    = Tσ^2</t>
    <rPh sb="2" eb="4">
      <t>ブンサン</t>
    </rPh>
    <phoneticPr fontId="1"/>
  </si>
  <si>
    <t>lnS(T)/S0  ～  N(Tν , Tσ^2）</t>
    <phoneticPr fontId="1"/>
  </si>
  <si>
    <t>伊藤の公式</t>
    <rPh sb="0" eb="2">
      <t>イトウ</t>
    </rPh>
    <rPh sb="3" eb="5">
      <t>コウシキ</t>
    </rPh>
    <phoneticPr fontId="1"/>
  </si>
  <si>
    <t>確率過程X(t)が伊藤過程（ウィナー過程）に従う場合、</t>
    <rPh sb="0" eb="2">
      <t>カクリツ</t>
    </rPh>
    <rPh sb="2" eb="4">
      <t>カテイ</t>
    </rPh>
    <rPh sb="9" eb="11">
      <t>イトウ</t>
    </rPh>
    <rPh sb="11" eb="13">
      <t>カテイ</t>
    </rPh>
    <rPh sb="18" eb="20">
      <t>カテイ</t>
    </rPh>
    <rPh sb="22" eb="23">
      <t>シタガ</t>
    </rPh>
    <rPh sb="24" eb="26">
      <t>バアイ</t>
    </rPh>
    <phoneticPr fontId="1"/>
  </si>
  <si>
    <t>dX = μ（X,t)dt + σ(X,t)dW</t>
    <phoneticPr fontId="1"/>
  </si>
  <si>
    <t>これ即ち、以下と対比さえるとよくわかる。</t>
    <rPh sb="2" eb="3">
      <t>スナワ</t>
    </rPh>
    <rPh sb="5" eb="7">
      <t>イカ</t>
    </rPh>
    <rPh sb="8" eb="10">
      <t>タイヒ</t>
    </rPh>
    <phoneticPr fontId="1"/>
  </si>
  <si>
    <t>X = lnS(t)が分かる</t>
    <rPh sb="11" eb="12">
      <t>ワ</t>
    </rPh>
    <phoneticPr fontId="1"/>
  </si>
  <si>
    <t>↓　以下が伊藤の公式</t>
    <rPh sb="2" eb="4">
      <t>イカ</t>
    </rPh>
    <rPh sb="5" eb="7">
      <t>イトウ</t>
    </rPh>
    <rPh sb="8" eb="10">
      <t>コウシキ</t>
    </rPh>
    <phoneticPr fontId="1"/>
  </si>
  <si>
    <t>■過程（前提条件）</t>
    <rPh sb="1" eb="3">
      <t>カテイ</t>
    </rPh>
    <rPh sb="4" eb="6">
      <t>ゼンテイ</t>
    </rPh>
    <rPh sb="6" eb="8">
      <t>ジョウケン</t>
    </rPh>
    <phoneticPr fontId="1"/>
  </si>
  <si>
    <t>■結論（定理）</t>
    <rPh sb="1" eb="3">
      <t>ケツロン</t>
    </rPh>
    <rPh sb="4" eb="6">
      <t>テイリ</t>
    </rPh>
    <phoneticPr fontId="1"/>
  </si>
  <si>
    <t>Y(t) = f(X , t ) は、以下となる。</t>
    <rPh sb="19" eb="21">
      <t>イカ</t>
    </rPh>
    <phoneticPr fontId="1"/>
  </si>
  <si>
    <t>dY = { ∂/∂X ・ f(X , t ) ・ μ(X , t )  +  ∂/∂t ・ f(X , t )  +  1/2・∂^2/∂^2X・f(X , t )・σ^2(X , t ) } dt   +   ∂/∂X  ・ f(X , t ) ・ σ(X , t )　dW</t>
  </si>
  <si>
    <t>dY = { ∂/∂X ・ f(X , t ) ・ μ(X , t )  +  ∂/∂t ・ f(X , t )  +  1/2・∂^2/∂^2X・f(X , t )・σ^2(X , t ) } dt   +   ∂/∂X  ・ f(X , t ) ・ σ(X , t )　dW</t>
    <phoneticPr fontId="1"/>
  </si>
  <si>
    <t>問題１</t>
    <rPh sb="0" eb="2">
      <t>モンダイ</t>
    </rPh>
    <phoneticPr fontId="1"/>
  </si>
  <si>
    <t>X(t) = lnS(t)</t>
    <phoneticPr fontId="1"/>
  </si>
  <si>
    <t>μ(x , t ) = ν</t>
    <phoneticPr fontId="1"/>
  </si>
  <si>
    <t>σ(x , t ) = σ</t>
    <phoneticPr fontId="1"/>
  </si>
  <si>
    <t>とする。</t>
    <phoneticPr fontId="1"/>
  </si>
  <si>
    <t>Y = S(t)</t>
    <phoneticPr fontId="1"/>
  </si>
  <si>
    <t>上記を元にを、計算する。</t>
    <rPh sb="0" eb="2">
      <t>ジョウキ</t>
    </rPh>
    <rPh sb="3" eb="4">
      <t>モト</t>
    </rPh>
    <rPh sb="7" eb="9">
      <t>ケイサン</t>
    </rPh>
    <phoneticPr fontId="1"/>
  </si>
  <si>
    <t>・</t>
    <phoneticPr fontId="1"/>
  </si>
  <si>
    <t>∂/∂X ・ f(X , t )  = e^x = S(t)</t>
    <phoneticPr fontId="1"/>
  </si>
  <si>
    <t>Y(t)  = f(X , t )  =  e^x = S(t)</t>
    <phoneticPr fontId="1"/>
  </si>
  <si>
    <t>∂/∂t ・ f(X , t ) = 0</t>
    <phoneticPr fontId="1"/>
  </si>
  <si>
    <t>∂^2/∂X^2・f(X , t ) = e^X = S(t)</t>
    <phoneticPr fontId="1"/>
  </si>
  <si>
    <t>dS(t) = { S(t)・ν + 0  + 1/2・S（ｔ）・σ^2　} df  +  S(t) ・σ dw</t>
    <phoneticPr fontId="1"/>
  </si>
  <si>
    <t>dS(t) /S(t) = 　（ ν + 1/2σ^2 ) dt + σ dw</t>
    <phoneticPr fontId="1"/>
  </si>
  <si>
    <t>ν = μ - 1/2σ^2より</t>
    <phoneticPr fontId="1"/>
  </si>
  <si>
    <t>dS(t) /S(t) = 　μ dt + σ dw</t>
    <phoneticPr fontId="1"/>
  </si>
  <si>
    <t>Y = lnS(t)</t>
    <phoneticPr fontId="1"/>
  </si>
  <si>
    <t>Y(t)  = f(X , t )  =  X = lnS(t)</t>
    <phoneticPr fontId="1"/>
  </si>
  <si>
    <t>∂/∂X ・ f(X , t )  = 1</t>
    <phoneticPr fontId="1"/>
  </si>
  <si>
    <t>∂^2/∂X^2・f(X , t ) = 0</t>
    <phoneticPr fontId="1"/>
  </si>
  <si>
    <t>d lnS(t) = { ν + 0  + 0　} df  +  1 ・σ dw</t>
    <phoneticPr fontId="1"/>
  </si>
  <si>
    <t>d lnS(t) = 　νdt + σ dw</t>
    <phoneticPr fontId="1"/>
  </si>
  <si>
    <t>d lnS(t) = 　(μ -1/2σ^2) dt + σ dw</t>
    <phoneticPr fontId="1"/>
  </si>
  <si>
    <t>二項モデルの復習</t>
    <rPh sb="0" eb="2">
      <t>ニコウ</t>
    </rPh>
    <rPh sb="6" eb="8">
      <t>フクシュウ</t>
    </rPh>
    <phoneticPr fontId="1"/>
  </si>
  <si>
    <t>１期間二項モデルの一般化で証明</t>
    <rPh sb="1" eb="3">
      <t>キカン</t>
    </rPh>
    <rPh sb="3" eb="5">
      <t>ニコウ</t>
    </rPh>
    <rPh sb="9" eb="11">
      <t>イッパン</t>
    </rPh>
    <rPh sb="11" eb="12">
      <t>カ</t>
    </rPh>
    <rPh sb="13" eb="15">
      <t>ショウメイ</t>
    </rPh>
    <phoneticPr fontId="1"/>
  </si>
  <si>
    <t>u = exp(νdt + σ√dt )</t>
    <phoneticPr fontId="1"/>
  </si>
  <si>
    <t>d = exp(νdt - σ√dt )</t>
    <phoneticPr fontId="1"/>
  </si>
  <si>
    <t>微小区間の二項モデルを、足し合わせる形で無理やり連続にし、</t>
    <rPh sb="0" eb="2">
      <t>ビショウ</t>
    </rPh>
    <rPh sb="2" eb="4">
      <t>クカン</t>
    </rPh>
    <rPh sb="5" eb="7">
      <t>ニコウ</t>
    </rPh>
    <rPh sb="12" eb="13">
      <t>タ</t>
    </rPh>
    <rPh sb="14" eb="15">
      <t>ア</t>
    </rPh>
    <rPh sb="18" eb="19">
      <t>カタチ</t>
    </rPh>
    <rPh sb="20" eb="22">
      <t>ムリ</t>
    </rPh>
    <rPh sb="24" eb="26">
      <t>レンゾク</t>
    </rPh>
    <phoneticPr fontId="1"/>
  </si>
  <si>
    <t>中心極限定理より、一般化して、連続型と離散型を同一と見なし</t>
    <rPh sb="0" eb="2">
      <t>チュウシン</t>
    </rPh>
    <rPh sb="2" eb="4">
      <t>キョクゲン</t>
    </rPh>
    <rPh sb="4" eb="6">
      <t>テイリ</t>
    </rPh>
    <rPh sb="9" eb="11">
      <t>イッパン</t>
    </rPh>
    <rPh sb="11" eb="12">
      <t>カ</t>
    </rPh>
    <rPh sb="15" eb="18">
      <t>レンゾクガタ</t>
    </rPh>
    <rPh sb="19" eb="22">
      <t>リサンガタ</t>
    </rPh>
    <rPh sb="23" eb="25">
      <t>ドウイツ</t>
    </rPh>
    <rPh sb="26" eb="27">
      <t>ミ</t>
    </rPh>
    <phoneticPr fontId="1"/>
  </si>
  <si>
    <t>ていた。</t>
    <phoneticPr fontId="1"/>
  </si>
  <si>
    <t>無裁定理論を持ち出す</t>
    <rPh sb="0" eb="1">
      <t>ム</t>
    </rPh>
    <rPh sb="1" eb="3">
      <t>サイテイ</t>
    </rPh>
    <rPh sb="3" eb="5">
      <t>リロン</t>
    </rPh>
    <rPh sb="6" eb="7">
      <t>モ</t>
    </rPh>
    <rPh sb="8" eb="9">
      <t>ダ</t>
    </rPh>
    <phoneticPr fontId="1"/>
  </si>
  <si>
    <t>結論を導き出した</t>
    <rPh sb="0" eb="2">
      <t>ケツロン</t>
    </rPh>
    <rPh sb="3" eb="4">
      <t>ミチビ</t>
    </rPh>
    <rPh sb="5" eb="6">
      <t>ダ</t>
    </rPh>
    <phoneticPr fontId="1"/>
  </si>
  <si>
    <t>ν　＝　μ - 1/2・σ^2</t>
    <phoneticPr fontId="1"/>
  </si>
  <si>
    <t>μ   =   ν + 1/2・σ^2</t>
    <phoneticPr fontId="1"/>
  </si>
  <si>
    <t>例題</t>
    <rPh sb="0" eb="2">
      <t>レイダイ</t>
    </rPh>
    <phoneticPr fontId="1"/>
  </si>
  <si>
    <t>１期間2項モデルの練習</t>
    <rPh sb="1" eb="3">
      <t>キカン</t>
    </rPh>
    <rPh sb="4" eb="5">
      <t>コウ</t>
    </rPh>
    <rPh sb="9" eb="11">
      <t>レンシュウ</t>
    </rPh>
    <phoneticPr fontId="1"/>
  </si>
  <si>
    <t>株価100円</t>
    <rPh sb="0" eb="2">
      <t>カブカ</t>
    </rPh>
    <rPh sb="5" eb="6">
      <t>エン</t>
    </rPh>
    <phoneticPr fontId="1"/>
  </si>
  <si>
    <t>１期間を１年とする</t>
    <rPh sb="1" eb="3">
      <t>キカン</t>
    </rPh>
    <rPh sb="5" eb="6">
      <t>ネン</t>
    </rPh>
    <phoneticPr fontId="1"/>
  </si>
  <si>
    <t>株価変動パターンは１年間で上昇25%、下落20%、安全利子率年率10%である。</t>
    <rPh sb="0" eb="2">
      <t>カブカ</t>
    </rPh>
    <rPh sb="2" eb="4">
      <t>ヘンドウ</t>
    </rPh>
    <rPh sb="10" eb="12">
      <t>ネンカン</t>
    </rPh>
    <rPh sb="13" eb="15">
      <t>ジョウショウ</t>
    </rPh>
    <rPh sb="19" eb="21">
      <t>ゲラク</t>
    </rPh>
    <rPh sb="25" eb="27">
      <t>アンゼン</t>
    </rPh>
    <rPh sb="27" eb="29">
      <t>リシ</t>
    </rPh>
    <rPh sb="29" eb="30">
      <t>リツ</t>
    </rPh>
    <rPh sb="30" eb="32">
      <t>ネンリツ</t>
    </rPh>
    <phoneticPr fontId="1"/>
  </si>
  <si>
    <t>この条件より、ν、σを求めよ。</t>
    <rPh sb="2" eb="4">
      <t>ジョウケン</t>
    </rPh>
    <rPh sb="11" eb="12">
      <t>モト</t>
    </rPh>
    <phoneticPr fontId="1"/>
  </si>
  <si>
    <t>dt=1年</t>
    <rPh sb="4" eb="5">
      <t>ネン</t>
    </rPh>
    <phoneticPr fontId="1"/>
  </si>
  <si>
    <t>n=1期間</t>
    <rPh sb="3" eb="5">
      <t>キカン</t>
    </rPh>
    <phoneticPr fontId="1"/>
  </si>
  <si>
    <t>K=110円</t>
    <rPh sb="5" eb="6">
      <t>エン</t>
    </rPh>
    <phoneticPr fontId="1"/>
  </si>
  <si>
    <t>u=1+25% = 1.25</t>
    <phoneticPr fontId="1"/>
  </si>
  <si>
    <t>d=1-20%=0.80</t>
    <phoneticPr fontId="1"/>
  </si>
  <si>
    <t>R=1+10=1.10</t>
    <phoneticPr fontId="1"/>
  </si>
  <si>
    <t>dt = 1（年）の為</t>
    <rPh sb="7" eb="8">
      <t>ネン</t>
    </rPh>
    <rPh sb="10" eb="11">
      <t>タメ</t>
    </rPh>
    <phoneticPr fontId="1"/>
  </si>
  <si>
    <t>1.25=exp(νdt + σ√dt)　　・・・①</t>
    <phoneticPr fontId="1"/>
  </si>
  <si>
    <t>0.80=exp(νdt - σ√dt)　　・・・②</t>
    <phoneticPr fontId="1"/>
  </si>
  <si>
    <t>①×②　　1.25*0.80=exp(2νdt)</t>
    <phoneticPr fontId="1"/>
  </si>
  <si>
    <t>LN(1.25*0.8) = 2ν</t>
    <phoneticPr fontId="1"/>
  </si>
  <si>
    <t>LN(1)=2ν</t>
    <phoneticPr fontId="1"/>
  </si>
  <si>
    <t>0=2ν</t>
    <phoneticPr fontId="1"/>
  </si>
  <si>
    <t>ν=0</t>
    <phoneticPr fontId="1"/>
  </si>
  <si>
    <t>解答</t>
    <rPh sb="0" eb="2">
      <t>カイトウ</t>
    </rPh>
    <phoneticPr fontId="1"/>
  </si>
  <si>
    <t>LN(1.25)= 0 + σ</t>
    <phoneticPr fontId="1"/>
  </si>
  <si>
    <t xml:space="preserve"> = σ</t>
    <phoneticPr fontId="1"/>
  </si>
  <si>
    <t>十期間二項モデルも基本的にはおなじ</t>
    <rPh sb="0" eb="1">
      <t>ジュッ</t>
    </rPh>
    <rPh sb="1" eb="3">
      <t>キカン</t>
    </rPh>
    <rPh sb="3" eb="5">
      <t>ニコウ</t>
    </rPh>
    <rPh sb="9" eb="12">
      <t>キホンテキ</t>
    </rPh>
    <phoneticPr fontId="1"/>
  </si>
  <si>
    <t>→ＭＡＸ関数などを使って解くことになる。</t>
    <rPh sb="4" eb="6">
      <t>カンスウ</t>
    </rPh>
    <rPh sb="9" eb="10">
      <t>ツカ</t>
    </rPh>
    <rPh sb="12" eb="13">
      <t>ト</t>
    </rPh>
    <phoneticPr fontId="1"/>
  </si>
  <si>
    <t>　 EXCELが用意してあるので、そこに値を入れれば通常の二項モデル同様に解答出来る。</t>
    <rPh sb="8" eb="10">
      <t>ヨウイ</t>
    </rPh>
    <rPh sb="20" eb="21">
      <t>アタイ</t>
    </rPh>
    <rPh sb="22" eb="23">
      <t>イ</t>
    </rPh>
    <rPh sb="26" eb="28">
      <t>ツウジョウ</t>
    </rPh>
    <rPh sb="29" eb="31">
      <t>ニコウ</t>
    </rPh>
    <rPh sb="34" eb="36">
      <t>ドウヨウ</t>
    </rPh>
    <rPh sb="37" eb="39">
      <t>カイトウ</t>
    </rPh>
    <rPh sb="39" eb="41">
      <t>デキ</t>
    </rPh>
    <phoneticPr fontId="1"/>
  </si>
  <si>
    <t>　 特にコールの値段・プットの値段もここから、求められるので、それを使って計算出来る。</t>
    <rPh sb="2" eb="3">
      <t>トク</t>
    </rPh>
    <rPh sb="8" eb="10">
      <t>ネダン</t>
    </rPh>
    <rPh sb="15" eb="17">
      <t>ネダン</t>
    </rPh>
    <rPh sb="23" eb="24">
      <t>モト</t>
    </rPh>
    <rPh sb="34" eb="35">
      <t>ツカ</t>
    </rPh>
    <rPh sb="37" eb="39">
      <t>ケイサン</t>
    </rPh>
    <rPh sb="39" eb="41">
      <t>デキ</t>
    </rPh>
    <phoneticPr fontId="1"/>
  </si>
  <si>
    <t>この問題を解くのに必要なＩｎｐutデータは、以下の５種類</t>
    <rPh sb="2" eb="4">
      <t>モンダイ</t>
    </rPh>
    <rPh sb="5" eb="6">
      <t>ト</t>
    </rPh>
    <rPh sb="9" eb="11">
      <t>ヒツヨウ</t>
    </rPh>
    <rPh sb="22" eb="24">
      <t>イカ</t>
    </rPh>
    <rPh sb="26" eb="28">
      <t>シュルイ</t>
    </rPh>
    <phoneticPr fontId="1"/>
  </si>
  <si>
    <t>原資産の特性</t>
    <rPh sb="0" eb="3">
      <t>ゲンシサン</t>
    </rPh>
    <rPh sb="4" eb="6">
      <t>トクセイ</t>
    </rPh>
    <phoneticPr fontId="1"/>
  </si>
  <si>
    <t>Ｓ　＝　原資産価格　（例. 15060円)</t>
    <rPh sb="4" eb="7">
      <t>ゲンシサン</t>
    </rPh>
    <rPh sb="7" eb="9">
      <t>カカク</t>
    </rPh>
    <rPh sb="11" eb="12">
      <t>レイ</t>
    </rPh>
    <rPh sb="19" eb="20">
      <t>エン</t>
    </rPh>
    <phoneticPr fontId="1"/>
  </si>
  <si>
    <t>μ　＝　連続複利表示　収益率期待値/１年当たり　（例. 1.40%)</t>
    <rPh sb="4" eb="6">
      <t>レンゾク</t>
    </rPh>
    <rPh sb="6" eb="8">
      <t>フクリ</t>
    </rPh>
    <rPh sb="8" eb="10">
      <t>ヒョウジ</t>
    </rPh>
    <rPh sb="11" eb="13">
      <t>シュウエキ</t>
    </rPh>
    <rPh sb="13" eb="14">
      <t>リツ</t>
    </rPh>
    <rPh sb="14" eb="17">
      <t>キタイチ</t>
    </rPh>
    <rPh sb="19" eb="20">
      <t>ネン</t>
    </rPh>
    <rPh sb="20" eb="21">
      <t>ア</t>
    </rPh>
    <rPh sb="25" eb="26">
      <t>レイ</t>
    </rPh>
    <phoneticPr fontId="1"/>
  </si>
  <si>
    <t>σ　＝　連続複利表示　収益率標準偏差/１年当たり　（例. 29.90%)</t>
    <rPh sb="4" eb="6">
      <t>レンゾク</t>
    </rPh>
    <rPh sb="6" eb="8">
      <t>フクリ</t>
    </rPh>
    <rPh sb="8" eb="10">
      <t>ヒョウジ</t>
    </rPh>
    <rPh sb="11" eb="13">
      <t>シュウエキ</t>
    </rPh>
    <rPh sb="13" eb="14">
      <t>リツ</t>
    </rPh>
    <rPh sb="14" eb="16">
      <t>ヒョウジュン</t>
    </rPh>
    <rPh sb="16" eb="18">
      <t>ヘンサ</t>
    </rPh>
    <rPh sb="20" eb="21">
      <t>ネン</t>
    </rPh>
    <rPh sb="21" eb="22">
      <t>ア</t>
    </rPh>
    <rPh sb="26" eb="27">
      <t>レイ</t>
    </rPh>
    <phoneticPr fontId="1"/>
  </si>
  <si>
    <t>安全資産金利</t>
    <rPh sb="0" eb="2">
      <t>アンゼン</t>
    </rPh>
    <rPh sb="2" eb="4">
      <t>シサン</t>
    </rPh>
    <rPh sb="4" eb="6">
      <t>キンリ</t>
    </rPh>
    <phoneticPr fontId="1"/>
  </si>
  <si>
    <t>Ｒ　＝　連続複利表示 安全資産金利 ( 0.50% )</t>
    <rPh sb="4" eb="6">
      <t>レンゾク</t>
    </rPh>
    <rPh sb="6" eb="8">
      <t>フクリ</t>
    </rPh>
    <rPh sb="8" eb="10">
      <t>ヒョウジ</t>
    </rPh>
    <rPh sb="11" eb="13">
      <t>アンゼン</t>
    </rPh>
    <rPh sb="13" eb="15">
      <t>シサン</t>
    </rPh>
    <rPh sb="15" eb="17">
      <t>キンリ</t>
    </rPh>
    <phoneticPr fontId="1"/>
  </si>
  <si>
    <t>オプションの内容</t>
    <rPh sb="6" eb="8">
      <t>ナイヨウ</t>
    </rPh>
    <phoneticPr fontId="1"/>
  </si>
  <si>
    <t>上記の与えられた入力値から原資産価格の推移は求めることが出来る。</t>
    <rPh sb="0" eb="2">
      <t>ジョウキ</t>
    </rPh>
    <rPh sb="3" eb="4">
      <t>アタ</t>
    </rPh>
    <rPh sb="8" eb="11">
      <t>ニュウリョクチ</t>
    </rPh>
    <rPh sb="13" eb="16">
      <t>ゲンシサン</t>
    </rPh>
    <rPh sb="16" eb="18">
      <t>カカク</t>
    </rPh>
    <rPh sb="19" eb="21">
      <t>スイイ</t>
    </rPh>
    <rPh sb="22" eb="23">
      <t>モト</t>
    </rPh>
    <rPh sb="28" eb="30">
      <t>デキ</t>
    </rPh>
    <phoneticPr fontId="1"/>
  </si>
  <si>
    <t>↓</t>
    <phoneticPr fontId="1"/>
  </si>
  <si>
    <t>次に、コールおよびプットのプレミアム推移が以下の式で求まる</t>
    <rPh sb="0" eb="1">
      <t>ツギ</t>
    </rPh>
    <rPh sb="18" eb="20">
      <t>スイイ</t>
    </rPh>
    <rPh sb="21" eb="23">
      <t>イカ</t>
    </rPh>
    <rPh sb="24" eb="25">
      <t>シキ</t>
    </rPh>
    <rPh sb="26" eb="27">
      <t>モト</t>
    </rPh>
    <phoneticPr fontId="1"/>
  </si>
  <si>
    <t>コール</t>
    <phoneticPr fontId="1"/>
  </si>
  <si>
    <t>プット</t>
    <phoneticPr fontId="1"/>
  </si>
  <si>
    <t xml:space="preserve"> = MAX(S - K , 0)</t>
    <phoneticPr fontId="1"/>
  </si>
  <si>
    <t xml:space="preserve"> = MAX(K - S , 0)</t>
    <phoneticPr fontId="1"/>
  </si>
  <si>
    <t>τ =　満期間での期日（日）</t>
    <rPh sb="4" eb="6">
      <t>マンキ</t>
    </rPh>
    <rPh sb="6" eb="7">
      <t>カン</t>
    </rPh>
    <rPh sb="9" eb="11">
      <t>キジツ</t>
    </rPh>
    <rPh sb="12" eb="13">
      <t>ヒ</t>
    </rPh>
    <phoneticPr fontId="1"/>
  </si>
  <si>
    <t>Ｋ　＝　権利行使価格（14000円)</t>
    <rPh sb="4" eb="6">
      <t>ケンリ</t>
    </rPh>
    <rPh sb="6" eb="8">
      <t>コウシ</t>
    </rPh>
    <rPh sb="8" eb="10">
      <t>カカク</t>
    </rPh>
    <rPh sb="16" eb="17">
      <t>エン</t>
    </rPh>
    <phoneticPr fontId="1"/>
  </si>
  <si>
    <t>リスク中立化</t>
    <rPh sb="3" eb="6">
      <t>チュウリツカ</t>
    </rPh>
    <phoneticPr fontId="1"/>
  </si>
  <si>
    <t>基本中の基本</t>
    <rPh sb="0" eb="3">
      <t>キホンチュウ</t>
    </rPh>
    <rPh sb="4" eb="6">
      <t>キホン</t>
    </rPh>
    <phoneticPr fontId="1"/>
  </si>
  <si>
    <t>ヨーロピアン</t>
    <phoneticPr fontId="1"/>
  </si>
  <si>
    <t>アメリカン</t>
    <phoneticPr fontId="1"/>
  </si>
  <si>
    <t>バミューダ</t>
    <phoneticPr fontId="1"/>
  </si>
  <si>
    <t>満期時のみ償還可能</t>
    <rPh sb="0" eb="3">
      <t>マンキジ</t>
    </rPh>
    <rPh sb="5" eb="7">
      <t>ショウカン</t>
    </rPh>
    <rPh sb="7" eb="9">
      <t>カノウ</t>
    </rPh>
    <phoneticPr fontId="1"/>
  </si>
  <si>
    <t>いつでも償還可能（早期償還を認める）</t>
    <rPh sb="4" eb="6">
      <t>ショウカン</t>
    </rPh>
    <rPh sb="6" eb="8">
      <t>カノウ</t>
    </rPh>
    <rPh sb="9" eb="11">
      <t>ソウキ</t>
    </rPh>
    <rPh sb="11" eb="13">
      <t>ショウカン</t>
    </rPh>
    <rPh sb="14" eb="15">
      <t>ミト</t>
    </rPh>
    <phoneticPr fontId="1"/>
  </si>
  <si>
    <t>途中で償還可能な日が、複数回期間指定で決められている</t>
    <rPh sb="0" eb="2">
      <t>トチュウ</t>
    </rPh>
    <rPh sb="3" eb="5">
      <t>ショウカン</t>
    </rPh>
    <rPh sb="5" eb="7">
      <t>カノウ</t>
    </rPh>
    <rPh sb="8" eb="9">
      <t>ヒ</t>
    </rPh>
    <rPh sb="11" eb="14">
      <t>フクスウカイ</t>
    </rPh>
    <rPh sb="14" eb="16">
      <t>キカン</t>
    </rPh>
    <rPh sb="16" eb="18">
      <t>シテイ</t>
    </rPh>
    <rPh sb="19" eb="20">
      <t>キ</t>
    </rPh>
    <phoneticPr fontId="1"/>
  </si>
  <si>
    <t>アメリカンのコールの場合の、早期償還例</t>
    <rPh sb="10" eb="12">
      <t>バアイ</t>
    </rPh>
    <rPh sb="14" eb="16">
      <t>ソウキ</t>
    </rPh>
    <rPh sb="16" eb="18">
      <t>ショウカン</t>
    </rPh>
    <rPh sb="18" eb="19">
      <t>レイ</t>
    </rPh>
    <phoneticPr fontId="1"/>
  </si>
  <si>
    <r>
      <t>これは</t>
    </r>
    <r>
      <rPr>
        <b/>
        <u/>
        <sz val="9"/>
        <color theme="1"/>
        <rFont val="ＭＳ Ｐゴシック"/>
        <family val="3"/>
        <charset val="128"/>
        <scheme val="minor"/>
      </rPr>
      <t>プレミアム分（本質的価値＋時間価値）</t>
    </r>
    <r>
      <rPr>
        <sz val="9"/>
        <color theme="1"/>
        <rFont val="ＭＳ Ｐゴシック"/>
        <family val="2"/>
        <charset val="128"/>
        <scheme val="minor"/>
      </rPr>
      <t>がコールの値段には含まれるということ。</t>
    </r>
    <phoneticPr fontId="1"/>
  </si>
  <si>
    <t>株価</t>
    <phoneticPr fontId="1"/>
  </si>
  <si>
    <t>オプション価値ツリー（アメリカン）</t>
    <phoneticPr fontId="1"/>
  </si>
  <si>
    <t>株価 = 80円</t>
    <phoneticPr fontId="1"/>
  </si>
  <si>
    <t>権利行使価格 = 95円</t>
    <phoneticPr fontId="1"/>
  </si>
  <si>
    <t>オプション価値はマイナスにはならない</t>
    <phoneticPr fontId="1"/>
  </si>
  <si>
    <t>ここはアメリカンだと</t>
    <phoneticPr fontId="1"/>
  </si>
  <si>
    <t>23にならないとおかしい</t>
    <phoneticPr fontId="1"/>
  </si>
  <si>
    <t>ヨーロピアンだと満期時のみ償還可能なのでありうる</t>
    <phoneticPr fontId="1"/>
  </si>
  <si>
    <t>でも、アメリカンだと早期償還が可能なので、早期償還をしてまた22.763円で</t>
    <phoneticPr fontId="1"/>
  </si>
  <si>
    <t>オプションを買いなおすと、裁定利益を得ることが出来てしまう。</t>
    <phoneticPr fontId="1"/>
  </si>
  <si>
    <t>K - S &lt; C とならなければ、無裁定理論により利益が得れる</t>
    <phoneticPr fontId="1"/>
  </si>
  <si>
    <t>つまり、K - S &lt; Cにならないとおかしいので、アメリカンの場合は以下とする。</t>
    <phoneticPr fontId="1"/>
  </si>
  <si>
    <t>MAX（ｘｘｘｘｘｘ , K-S)</t>
    <phoneticPr fontId="1"/>
  </si>
  <si>
    <t>もし、K-Sの方が大きかったら、オプション価値はK-Sにする。</t>
    <phoneticPr fontId="1"/>
  </si>
  <si>
    <t>1期間二項モデルのオプション価値</t>
    <rPh sb="1" eb="3">
      <t>キカン</t>
    </rPh>
    <rPh sb="3" eb="5">
      <t>ニコウ</t>
    </rPh>
    <rPh sb="14" eb="16">
      <t>カチ</t>
    </rPh>
    <phoneticPr fontId="1"/>
  </si>
  <si>
    <t>リスク中立下において、リスク中立確率:pを用いて考えると、</t>
    <rPh sb="3" eb="5">
      <t>チュウリツ</t>
    </rPh>
    <rPh sb="5" eb="6">
      <t>カ</t>
    </rPh>
    <rPh sb="14" eb="16">
      <t>チュウリツ</t>
    </rPh>
    <rPh sb="16" eb="18">
      <t>カクリツ</t>
    </rPh>
    <rPh sb="21" eb="22">
      <t>モチ</t>
    </rPh>
    <rPh sb="24" eb="25">
      <t>カンガ</t>
    </rPh>
    <phoneticPr fontId="1"/>
  </si>
  <si>
    <t>オプションの価値は以下になる。</t>
    <rPh sb="6" eb="8">
      <t>カチ</t>
    </rPh>
    <rPh sb="9" eb="11">
      <t>イカ</t>
    </rPh>
    <phoneticPr fontId="1"/>
  </si>
  <si>
    <t>Ｃ = 1/R × { p * uS  + (1-p) * dS }</t>
    <phoneticPr fontId="1"/>
  </si>
  <si>
    <t>2期間二項モデルのオプション価値</t>
    <rPh sb="1" eb="3">
      <t>キカン</t>
    </rPh>
    <rPh sb="3" eb="5">
      <t>ニコウ</t>
    </rPh>
    <rPh sb="14" eb="16">
      <t>カチ</t>
    </rPh>
    <phoneticPr fontId="1"/>
  </si>
  <si>
    <t>Ｃ = 1/R^2 × { p^2 * Cuu  + p(1-p) * Cud + (1-p)p * Cdu + (1-p)^2 * Cdd }</t>
    <phoneticPr fontId="1"/>
  </si>
  <si>
    <t>Cud と Cdu は別として扱う</t>
    <rPh sb="11" eb="12">
      <t>ベツ</t>
    </rPh>
    <rPh sb="15" eb="16">
      <t>アツカ</t>
    </rPh>
    <phoneticPr fontId="1"/>
  </si>
  <si>
    <t>オプションプレミアムは、無裁定の条件からp(リスク中立確率）を確立とする経済を仮想し、その経済での満期時におけるオプション価値の</t>
    <rPh sb="12" eb="13">
      <t>ム</t>
    </rPh>
    <rPh sb="13" eb="15">
      <t>サイテイ</t>
    </rPh>
    <rPh sb="16" eb="18">
      <t>ジョウケン</t>
    </rPh>
    <rPh sb="25" eb="27">
      <t>チュウリツ</t>
    </rPh>
    <rPh sb="27" eb="29">
      <t>カクリツ</t>
    </rPh>
    <rPh sb="31" eb="33">
      <t>カクリツ</t>
    </rPh>
    <rPh sb="36" eb="38">
      <t>ケイザイ</t>
    </rPh>
    <rPh sb="39" eb="41">
      <t>カソウ</t>
    </rPh>
    <rPh sb="45" eb="47">
      <t>ケイザイ</t>
    </rPh>
    <rPh sb="49" eb="52">
      <t>マンキジ</t>
    </rPh>
    <rPh sb="61" eb="63">
      <t>カチ</t>
    </rPh>
    <phoneticPr fontId="1"/>
  </si>
  <si>
    <t>期待値を計算し、それを安全利子率で割り戻した現在価値となる。</t>
    <rPh sb="0" eb="3">
      <t>キタイチ</t>
    </rPh>
    <rPh sb="4" eb="6">
      <t>ケイサン</t>
    </rPh>
    <rPh sb="11" eb="13">
      <t>アンゼン</t>
    </rPh>
    <rPh sb="13" eb="15">
      <t>リシ</t>
    </rPh>
    <rPh sb="15" eb="16">
      <t>リツ</t>
    </rPh>
    <rPh sb="17" eb="18">
      <t>ワ</t>
    </rPh>
    <rPh sb="19" eb="20">
      <t>モド</t>
    </rPh>
    <rPh sb="22" eb="24">
      <t>ゲンザイ</t>
    </rPh>
    <rPh sb="24" eb="26">
      <t>カチ</t>
    </rPh>
    <phoneticPr fontId="1"/>
  </si>
  <si>
    <t>→　リスク中立下では、上記のような式でオプション価値を求めることが出来ますよということ</t>
    <rPh sb="5" eb="7">
      <t>チュウリツ</t>
    </rPh>
    <rPh sb="7" eb="8">
      <t>カ</t>
    </rPh>
    <rPh sb="11" eb="13">
      <t>ジョウキ</t>
    </rPh>
    <rPh sb="17" eb="18">
      <t>シキ</t>
    </rPh>
    <rPh sb="24" eb="26">
      <t>カチ</t>
    </rPh>
    <rPh sb="27" eb="28">
      <t>モト</t>
    </rPh>
    <rPh sb="33" eb="35">
      <t>デキ</t>
    </rPh>
    <phoneticPr fontId="1"/>
  </si>
  <si>
    <t>連続モデルにおいて、リスク中立経済を考える</t>
    <rPh sb="0" eb="2">
      <t>レンゾク</t>
    </rPh>
    <rPh sb="13" eb="15">
      <t>チュウリツ</t>
    </rPh>
    <rPh sb="15" eb="17">
      <t>ケイザイ</t>
    </rPh>
    <rPh sb="18" eb="19">
      <t>カンガ</t>
    </rPh>
    <phoneticPr fontId="1"/>
  </si>
  <si>
    <t>①リスク中立下における期待値</t>
    <rPh sb="4" eb="6">
      <t>チュウリツ</t>
    </rPh>
    <rPh sb="6" eb="7">
      <t>カ</t>
    </rPh>
    <rPh sb="11" eb="14">
      <t>キタイチ</t>
    </rPh>
    <phoneticPr fontId="1"/>
  </si>
  <si>
    <t>安全資産利子率 = r</t>
    <rPh sb="0" eb="2">
      <t>アンゼン</t>
    </rPh>
    <rPh sb="2" eb="4">
      <t>シサン</t>
    </rPh>
    <rPh sb="4" eb="6">
      <t>リシ</t>
    </rPh>
    <rPh sb="6" eb="7">
      <t>リツ</t>
    </rPh>
    <phoneticPr fontId="1"/>
  </si>
  <si>
    <t>期間 = t</t>
    <rPh sb="0" eb="2">
      <t>キカン</t>
    </rPh>
    <phoneticPr fontId="1"/>
  </si>
  <si>
    <t>原資産価格 = S0</t>
    <rPh sb="0" eb="3">
      <t>ゲンシサン</t>
    </rPh>
    <rPh sb="3" eb="5">
      <t>カカク</t>
    </rPh>
    <phoneticPr fontId="1"/>
  </si>
  <si>
    <t>※連続モデルなので、連続複利で考える</t>
    <rPh sb="1" eb="3">
      <t>レンゾク</t>
    </rPh>
    <rPh sb="10" eb="12">
      <t>レンゾク</t>
    </rPh>
    <rPh sb="12" eb="14">
      <t>フクリ</t>
    </rPh>
    <rPh sb="15" eb="16">
      <t>カンガ</t>
    </rPh>
    <phoneticPr fontId="1"/>
  </si>
  <si>
    <t>期待値</t>
    <rPh sb="0" eb="3">
      <t>キタイチ</t>
    </rPh>
    <phoneticPr fontId="1"/>
  </si>
  <si>
    <t>ここで実世界における確率モデルを以下に表示する</t>
    <rPh sb="3" eb="4">
      <t>ジツ</t>
    </rPh>
    <rPh sb="4" eb="6">
      <t>セカイ</t>
    </rPh>
    <rPh sb="10" eb="12">
      <t>カクリツ</t>
    </rPh>
    <rPh sb="16" eb="18">
      <t>イカ</t>
    </rPh>
    <rPh sb="19" eb="21">
      <t>ヒョウジ</t>
    </rPh>
    <phoneticPr fontId="1"/>
  </si>
  <si>
    <t>S(t)は対数正規分布に従う。</t>
    <rPh sb="5" eb="7">
      <t>タイスウ</t>
    </rPh>
    <rPh sb="7" eb="9">
      <t>セイキ</t>
    </rPh>
    <rPh sb="9" eb="11">
      <t>ブンプ</t>
    </rPh>
    <rPh sb="12" eb="13">
      <t>シタガ</t>
    </rPh>
    <phoneticPr fontId="1"/>
  </si>
  <si>
    <t>期待値 = S0 × exp { (ν + σ^2 / 2 )t }</t>
    <rPh sb="0" eb="3">
      <t>キタイチ</t>
    </rPh>
    <phoneticPr fontId="1"/>
  </si>
  <si>
    <t xml:space="preserve"> ( ν + σ^2 / 2 ) t } </t>
    <phoneticPr fontId="1"/>
  </si>
  <si>
    <t>∫z^2 × h(z) dz - { ∫z × h(z) dz } ^2 = S0^2 × exp { (2ν + σ^2)t } × { exp(σ^2t) - 1}</t>
    <phoneticPr fontId="1"/>
  </si>
  <si>
    <t>分散 =  S0^2 × exp { (2ν + σ^2)t } × { exp(σ^2t) - 1}</t>
    <rPh sb="0" eb="2">
      <t>ブンサン</t>
    </rPh>
    <phoneticPr fontId="1"/>
  </si>
  <si>
    <t>S(t)の確立密度関数 f(S(t))は、</t>
    <rPh sb="5" eb="7">
      <t>カクリツ</t>
    </rPh>
    <rPh sb="7" eb="9">
      <t>ミツド</t>
    </rPh>
    <rPh sb="9" eb="11">
      <t>カンスウ</t>
    </rPh>
    <phoneticPr fontId="1"/>
  </si>
  <si>
    <t>ｆ( S(t) ) = 1/√2πσ＾2t　×　1/S(t)  × exp {  -( ln S(t)/S0   -  νt )^2 / 2σ^2t }</t>
    <phoneticPr fontId="1"/>
  </si>
  <si>
    <t>リスク中立経済で考えると、</t>
    <rPh sb="3" eb="5">
      <t>チュウリツ</t>
    </rPh>
    <rPh sb="5" eb="7">
      <t>ケイザイ</t>
    </rPh>
    <rPh sb="8" eb="9">
      <t>カンガ</t>
    </rPh>
    <phoneticPr fontId="1"/>
  </si>
  <si>
    <t>E [ St ] = e^rt * S0  =  S0 × exp { (ν + σ^2 / 2 )t } となる</t>
    <phoneticPr fontId="1"/>
  </si>
  <si>
    <t>よって、</t>
    <phoneticPr fontId="1"/>
  </si>
  <si>
    <t>rt = (ν + σ^2 / 2) t</t>
    <phoneticPr fontId="1"/>
  </si>
  <si>
    <t>r = ν + σ^2 /2</t>
    <phoneticPr fontId="1"/>
  </si>
  <si>
    <t>これでνがなくなり、rという単純な安全資産利子率とσで表すことが出来た。</t>
    <rPh sb="14" eb="16">
      <t>タンジュン</t>
    </rPh>
    <rPh sb="17" eb="19">
      <t>アンゼン</t>
    </rPh>
    <rPh sb="19" eb="21">
      <t>シサン</t>
    </rPh>
    <rPh sb="21" eb="23">
      <t>リシ</t>
    </rPh>
    <rPh sb="23" eb="24">
      <t>リツ</t>
    </rPh>
    <rPh sb="27" eb="28">
      <t>アラワ</t>
    </rPh>
    <rPh sb="32" eb="34">
      <t>デキ</t>
    </rPh>
    <phoneticPr fontId="1"/>
  </si>
  <si>
    <t>Ｅ[St]  =  e^rt  ×　S0　（確立速度と呼ぶ）</t>
    <rPh sb="22" eb="24">
      <t>カクリツ</t>
    </rPh>
    <rPh sb="24" eb="26">
      <t>ソクド</t>
    </rPh>
    <rPh sb="27" eb="28">
      <t>ヨ</t>
    </rPh>
    <phoneticPr fontId="1"/>
  </si>
  <si>
    <t xml:space="preserve"> (ν + σ^2 / 2 ) × t</t>
    <phoneticPr fontId="1"/>
  </si>
  <si>
    <t>ドリフト係数がr で置き換えられるのがうれしい</t>
    <rPh sb="4" eb="6">
      <t>ケイスウ</t>
    </rPh>
    <rPh sb="10" eb="11">
      <t>オ</t>
    </rPh>
    <rPh sb="12" eb="13">
      <t>カ</t>
    </rPh>
    <phoneticPr fontId="1"/>
  </si>
  <si>
    <t>リスク中立経済で議論する場合、現実経済における株式　個別のリターン（μ）に依存しないモデルになっていることです。</t>
    <rPh sb="3" eb="5">
      <t>チュウリツ</t>
    </rPh>
    <rPh sb="5" eb="7">
      <t>ケイザイ</t>
    </rPh>
    <rPh sb="8" eb="10">
      <t>ギロン</t>
    </rPh>
    <rPh sb="12" eb="14">
      <t>バアイ</t>
    </rPh>
    <rPh sb="15" eb="17">
      <t>ゲンジツ</t>
    </rPh>
    <rPh sb="17" eb="19">
      <t>ケイザイ</t>
    </rPh>
    <rPh sb="23" eb="25">
      <t>カブシキ</t>
    </rPh>
    <rPh sb="26" eb="28">
      <t>コベツ</t>
    </rPh>
    <rPh sb="37" eb="39">
      <t>イゾン</t>
    </rPh>
    <phoneticPr fontId="1"/>
  </si>
  <si>
    <t>つまり、リスク中立経済では、どのような株式に投資をしても期待リターンは安全資産利子率と同じになります。</t>
    <rPh sb="7" eb="9">
      <t>チュウリツ</t>
    </rPh>
    <rPh sb="9" eb="11">
      <t>ケイザイ</t>
    </rPh>
    <rPh sb="19" eb="21">
      <t>カブシキ</t>
    </rPh>
    <rPh sb="22" eb="24">
      <t>トウシ</t>
    </rPh>
    <rPh sb="28" eb="30">
      <t>キタイ</t>
    </rPh>
    <rPh sb="35" eb="37">
      <t>アンゼン</t>
    </rPh>
    <rPh sb="37" eb="39">
      <t>シサン</t>
    </rPh>
    <rPh sb="39" eb="42">
      <t>リシリツ</t>
    </rPh>
    <rPh sb="43" eb="44">
      <t>オナ</t>
    </rPh>
    <phoneticPr fontId="1"/>
  </si>
  <si>
    <t>ただし、株式固有のリスクとして考えているリターンの標準偏差（ボラティリティ）σは、現実世界と同様に株式固有の値をとることになります。</t>
    <rPh sb="4" eb="6">
      <t>カブシキ</t>
    </rPh>
    <rPh sb="6" eb="8">
      <t>コユウ</t>
    </rPh>
    <rPh sb="15" eb="16">
      <t>カンガ</t>
    </rPh>
    <rPh sb="25" eb="27">
      <t>ヒョウジュン</t>
    </rPh>
    <rPh sb="27" eb="29">
      <t>ヘンサ</t>
    </rPh>
    <rPh sb="41" eb="43">
      <t>ゲンジツ</t>
    </rPh>
    <rPh sb="43" eb="45">
      <t>セカイ</t>
    </rPh>
    <rPh sb="46" eb="48">
      <t>ドウヨウ</t>
    </rPh>
    <rPh sb="49" eb="51">
      <t>カブシキ</t>
    </rPh>
    <rPh sb="51" eb="53">
      <t>コユウ</t>
    </rPh>
    <rPh sb="54" eb="55">
      <t>アタイ</t>
    </rPh>
    <phoneticPr fontId="1"/>
  </si>
  <si>
    <t>連続モデル（現実世界）</t>
    <rPh sb="0" eb="2">
      <t>レンゾク</t>
    </rPh>
    <rPh sb="6" eb="8">
      <t>ゲンジツ</t>
    </rPh>
    <rPh sb="8" eb="10">
      <t>セカイ</t>
    </rPh>
    <phoneticPr fontId="1"/>
  </si>
  <si>
    <t>連続モデル（リスク中立経済）</t>
    <rPh sb="0" eb="2">
      <t>レンゾク</t>
    </rPh>
    <rPh sb="9" eb="11">
      <t>チュウリツ</t>
    </rPh>
    <rPh sb="11" eb="13">
      <t>ケイザイ</t>
    </rPh>
    <phoneticPr fontId="1"/>
  </si>
  <si>
    <t>ν = r - σ^2/2</t>
    <phoneticPr fontId="1"/>
  </si>
  <si>
    <t>lnS(t)/S0  ～  N(ｔ・（r - σ^2/2） , tσ^2）</t>
    <phoneticPr fontId="1"/>
  </si>
  <si>
    <t>正規分布に従う</t>
    <rPh sb="0" eb="2">
      <t>セイキ</t>
    </rPh>
    <rPh sb="2" eb="4">
      <t>ブンプ</t>
    </rPh>
    <rPh sb="5" eb="6">
      <t>シタガ</t>
    </rPh>
    <phoneticPr fontId="1"/>
  </si>
  <si>
    <r>
      <t xml:space="preserve">　　期待値 = </t>
    </r>
    <r>
      <rPr>
        <b/>
        <u/>
        <sz val="12"/>
        <color rgb="FFFF0000"/>
        <rFont val="ＭＳ Ｐゴシック"/>
        <family val="3"/>
        <charset val="128"/>
        <scheme val="minor"/>
      </rPr>
      <t>t　×　（r - σ^2/2）　</t>
    </r>
    <r>
      <rPr>
        <b/>
        <sz val="12"/>
        <color rgb="FF0000FF"/>
        <rFont val="ＭＳ Ｐゴシック"/>
        <family val="3"/>
        <charset val="128"/>
        <scheme val="minor"/>
      </rPr>
      <t>: ドリフト係数からνがない</t>
    </r>
    <rPh sb="2" eb="5">
      <t>キタイチ</t>
    </rPh>
    <rPh sb="30" eb="32">
      <t>ケイスウ</t>
    </rPh>
    <phoneticPr fontId="1"/>
  </si>
  <si>
    <t>ln S(t)/S0 の期待値・分散</t>
  </si>
  <si>
    <t>対数正規分布に従う</t>
    <rPh sb="0" eb="2">
      <t>タイスウ</t>
    </rPh>
    <rPh sb="2" eb="4">
      <t>セイキ</t>
    </rPh>
    <rPh sb="4" eb="6">
      <t>ブンプ</t>
    </rPh>
    <rPh sb="7" eb="8">
      <t>シタガ</t>
    </rPh>
    <phoneticPr fontId="1"/>
  </si>
  <si>
    <t>S(t) の期待値・分散</t>
    <phoneticPr fontId="1"/>
  </si>
  <si>
    <t>期待値 = S0 × e ^ rt</t>
    <rPh sb="0" eb="3">
      <t>キタイチ</t>
    </rPh>
    <phoneticPr fontId="1"/>
  </si>
  <si>
    <t>分散 =  ・・・</t>
    <rPh sb="0" eb="2">
      <t>ブンサン</t>
    </rPh>
    <phoneticPr fontId="1"/>
  </si>
  <si>
    <t>Stの期待値は、S0 * e^rtなので、これはS0の安全資産の時刻tでの価値と同じ。</t>
    <rPh sb="3" eb="6">
      <t>キタイチ</t>
    </rPh>
    <rPh sb="27" eb="29">
      <t>アンゼン</t>
    </rPh>
    <rPh sb="29" eb="31">
      <t>シサン</t>
    </rPh>
    <rPh sb="32" eb="34">
      <t>ジコク</t>
    </rPh>
    <rPh sb="37" eb="39">
      <t>カチ</t>
    </rPh>
    <rPh sb="40" eb="41">
      <t>オナ</t>
    </rPh>
    <phoneticPr fontId="1"/>
  </si>
  <si>
    <t>→リスク中立確率と呼ばれる理由　：　危険資産の詳細の期待値が安全資産の将来価値と等しくなる</t>
    <rPh sb="4" eb="6">
      <t>チュウリツ</t>
    </rPh>
    <rPh sb="6" eb="8">
      <t>カクリツ</t>
    </rPh>
    <rPh sb="9" eb="10">
      <t>ヨ</t>
    </rPh>
    <rPh sb="13" eb="15">
      <t>リユウ</t>
    </rPh>
    <rPh sb="18" eb="20">
      <t>キケン</t>
    </rPh>
    <rPh sb="20" eb="22">
      <t>シサン</t>
    </rPh>
    <rPh sb="23" eb="25">
      <t>ショウサイ</t>
    </rPh>
    <rPh sb="26" eb="29">
      <t>キタイチ</t>
    </rPh>
    <rPh sb="30" eb="32">
      <t>アンゼン</t>
    </rPh>
    <rPh sb="32" eb="34">
      <t>シサン</t>
    </rPh>
    <rPh sb="35" eb="37">
      <t>ショウライ</t>
    </rPh>
    <rPh sb="37" eb="39">
      <t>カチ</t>
    </rPh>
    <rPh sb="40" eb="41">
      <t>ヒト</t>
    </rPh>
    <phoneticPr fontId="1"/>
  </si>
  <si>
    <t>ブラウン運動（ウィナー過程）　Ｗ（ｔ)　のまとめ</t>
    <rPh sb="4" eb="6">
      <t>ウンドウ</t>
    </rPh>
    <rPh sb="11" eb="13">
      <t>カテイ</t>
    </rPh>
    <phoneticPr fontId="1"/>
  </si>
  <si>
    <t>② W(0)  =  0</t>
    <phoneticPr fontId="1"/>
  </si>
  <si>
    <t>① W(t)  ～  N(0 , t)  →　標準関分布にＷ（ｔ）：ブラウン運動は従う</t>
    <rPh sb="23" eb="25">
      <t>ヒョウジュン</t>
    </rPh>
    <rPh sb="25" eb="26">
      <t>セキ</t>
    </rPh>
    <rPh sb="26" eb="28">
      <t>ブンプ</t>
    </rPh>
    <rPh sb="38" eb="40">
      <t>ウンドウ</t>
    </rPh>
    <rPh sb="41" eb="42">
      <t>シタガ</t>
    </rPh>
    <phoneticPr fontId="1"/>
  </si>
  <si>
    <t>③ W(t)は、tに関して連続</t>
    <rPh sb="10" eb="11">
      <t>カン</t>
    </rPh>
    <rPh sb="13" eb="15">
      <t>レンゾク</t>
    </rPh>
    <phoneticPr fontId="1"/>
  </si>
  <si>
    <t>④ W( t + ⊿t ) - W(t) の分布は、 W(⊿t）の分布と同じ　→　斉時性</t>
    <rPh sb="22" eb="24">
      <t>ブンプ</t>
    </rPh>
    <rPh sb="33" eb="35">
      <t>ブンプ</t>
    </rPh>
    <rPh sb="36" eb="37">
      <t>オナ</t>
    </rPh>
    <rPh sb="41" eb="42">
      <t>ヒトシ</t>
    </rPh>
    <rPh sb="42" eb="43">
      <t>ジ</t>
    </rPh>
    <rPh sb="43" eb="44">
      <t>セイ</t>
    </rPh>
    <phoneticPr fontId="1"/>
  </si>
  <si>
    <t>⑤ 異なる区間における変位は独立である</t>
    <rPh sb="2" eb="3">
      <t>コト</t>
    </rPh>
    <rPh sb="5" eb="7">
      <t>クカン</t>
    </rPh>
    <rPh sb="11" eb="12">
      <t>ヘン</t>
    </rPh>
    <rPh sb="12" eb="13">
      <t>クライ</t>
    </rPh>
    <rPh sb="14" eb="16">
      <t>ドクリツ</t>
    </rPh>
    <phoneticPr fontId="1"/>
  </si>
  <si>
    <t>W(t)を使ったln S(t)/S0 の表現</t>
    <rPh sb="5" eb="6">
      <t>ツカ</t>
    </rPh>
    <rPh sb="20" eb="22">
      <t>ヒョウゲン</t>
    </rPh>
    <phoneticPr fontId="1"/>
  </si>
  <si>
    <t>分散</t>
    <rPh sb="0" eb="2">
      <t>ブンサン</t>
    </rPh>
    <phoneticPr fontId="1"/>
  </si>
  <si>
    <t>σ^2 × t</t>
    <phoneticPr fontId="1"/>
  </si>
  <si>
    <t>t</t>
    <phoneticPr fontId="1"/>
  </si>
  <si>
    <t>ln S(t)/S0  ～　　Ｎ（νt , σ^2）</t>
    <phoneticPr fontId="1"/>
  </si>
  <si>
    <t xml:space="preserve">ln S(t)/S0 </t>
    <phoneticPr fontId="1"/>
  </si>
  <si>
    <t>W(t)</t>
    <phoneticPr fontId="1"/>
  </si>
  <si>
    <t>σＷ(t)</t>
    <phoneticPr fontId="1"/>
  </si>
  <si>
    <t>νt + σW(t)</t>
    <phoneticPr fontId="1"/>
  </si>
  <si>
    <t>νｔ</t>
    <phoneticPr fontId="1"/>
  </si>
  <si>
    <t>確立微分方程式</t>
    <rPh sb="0" eb="2">
      <t>カクリツ</t>
    </rPh>
    <rPh sb="2" eb="4">
      <t>ビブン</t>
    </rPh>
    <rPh sb="4" eb="7">
      <t>ホウテイシキ</t>
    </rPh>
    <phoneticPr fontId="1"/>
  </si>
  <si>
    <t>ln S(t)/S0  =  νt + σＷ(t)</t>
    <phoneticPr fontId="1"/>
  </si>
  <si>
    <t>ln S(t)  =  lnS0  +  νt + σＷ(t)</t>
    <phoneticPr fontId="1"/>
  </si>
  <si>
    <t>ln S(t + dt)  =  lnS0  +  ν(t + dt ) + σＷ(t + dt)</t>
    <phoneticPr fontId="1"/>
  </si>
  <si>
    <t>ln S(t + dt) - ln S(t )  =  νdt  + σ{Ｗ(t + dt) - Ｗ(t) }</t>
    <phoneticPr fontId="1"/>
  </si>
  <si>
    <t>d lnS(t)</t>
    <phoneticPr fontId="1"/>
  </si>
  <si>
    <t>d W(t)</t>
    <phoneticPr fontId="1"/>
  </si>
  <si>
    <t>d lnS(t)  =  νdt + σＷ（ｔ）</t>
    <phoneticPr fontId="1"/>
  </si>
  <si>
    <t>リスク中立経済における t ～ t + dt 間の lnS(t) の変位 ( = dlnS(t) )</t>
    <rPh sb="3" eb="5">
      <t>チュウリツ</t>
    </rPh>
    <rPh sb="5" eb="7">
      <t>ケイザイ</t>
    </rPh>
    <rPh sb="23" eb="24">
      <t>カン</t>
    </rPh>
    <rPh sb="34" eb="36">
      <t>ヘンイ</t>
    </rPh>
    <phoneticPr fontId="1"/>
  </si>
  <si>
    <t>⊿ln S(t)</t>
    <phoneticPr fontId="1"/>
  </si>
  <si>
    <t>分布形</t>
    <rPh sb="0" eb="2">
      <t>ブンプ</t>
    </rPh>
    <rPh sb="2" eb="3">
      <t>ケイ</t>
    </rPh>
    <phoneticPr fontId="1"/>
  </si>
  <si>
    <t>現実経済</t>
    <rPh sb="0" eb="2">
      <t>ゲンジツ</t>
    </rPh>
    <rPh sb="2" eb="4">
      <t>ケイザイ</t>
    </rPh>
    <phoneticPr fontId="1"/>
  </si>
  <si>
    <t>リスク中立経済</t>
    <rPh sb="3" eb="5">
      <t>チュウリツ</t>
    </rPh>
    <rPh sb="5" eb="7">
      <t>ケイザイ</t>
    </rPh>
    <phoneticPr fontId="1"/>
  </si>
  <si>
    <t>νdt + σdW</t>
    <phoneticPr fontId="1"/>
  </si>
  <si>
    <t xml:space="preserve">νdt </t>
    <phoneticPr fontId="1"/>
  </si>
  <si>
    <t>σ^2 * dt</t>
    <phoneticPr fontId="1"/>
  </si>
  <si>
    <t>正規分布</t>
    <rPh sb="0" eb="2">
      <t>セイキ</t>
    </rPh>
    <rPh sb="2" eb="4">
      <t>ブンプ</t>
    </rPh>
    <phoneticPr fontId="1"/>
  </si>
  <si>
    <t>( r - σ^2 / 2) dt</t>
    <phoneticPr fontId="1"/>
  </si>
  <si>
    <t>dlnS(t)</t>
    <phoneticPr fontId="1"/>
  </si>
  <si>
    <t>( r - σ^2 / 2) dt + σdW</t>
    <phoneticPr fontId="1"/>
  </si>
  <si>
    <t>ln S(t)/S0の１期間（dt）分の変化</t>
    <rPh sb="12" eb="14">
      <t>キカン</t>
    </rPh>
    <rPh sb="18" eb="19">
      <t>ブン</t>
    </rPh>
    <rPh sb="20" eb="22">
      <t>ヘンカ</t>
    </rPh>
    <phoneticPr fontId="1"/>
  </si>
  <si>
    <t>１期間二項モデルを使って、上記を導出する　（リスク中立経済）</t>
    <rPh sb="1" eb="3">
      <t>キカン</t>
    </rPh>
    <rPh sb="3" eb="5">
      <t>ニコウ</t>
    </rPh>
    <rPh sb="9" eb="10">
      <t>ツカ</t>
    </rPh>
    <rPh sb="13" eb="15">
      <t>ジョウキ</t>
    </rPh>
    <rPh sb="16" eb="18">
      <t>ドウシュツ</t>
    </rPh>
    <rPh sb="25" eb="29">
      <t>チュウリツケイザイ</t>
    </rPh>
    <phoneticPr fontId="1"/>
  </si>
  <si>
    <t>[1]分布形の導出</t>
    <rPh sb="3" eb="5">
      <t>ブンプ</t>
    </rPh>
    <rPh sb="5" eb="6">
      <t>ケイ</t>
    </rPh>
    <rPh sb="7" eb="9">
      <t>ドウシュツ</t>
    </rPh>
    <phoneticPr fontId="1"/>
  </si>
  <si>
    <t>１期間分の変位をＸiとおくと、n期間分の変位はΣ Xi と表せる。</t>
    <rPh sb="1" eb="3">
      <t>キカン</t>
    </rPh>
    <rPh sb="3" eb="4">
      <t>ブン</t>
    </rPh>
    <rPh sb="5" eb="7">
      <t>ヘンイ</t>
    </rPh>
    <rPh sb="16" eb="18">
      <t>キカン</t>
    </rPh>
    <rPh sb="18" eb="19">
      <t>ブン</t>
    </rPh>
    <rPh sb="20" eb="22">
      <t>ヘンイ</t>
    </rPh>
    <rPh sb="29" eb="30">
      <t>アラワ</t>
    </rPh>
    <phoneticPr fontId="1"/>
  </si>
  <si>
    <t>ここで、それぞれのＸiはすべて同一分布に従い、かつ独立ですから、中心極限定理によれば、</t>
    <rPh sb="15" eb="17">
      <t>ドウイツ</t>
    </rPh>
    <rPh sb="17" eb="19">
      <t>ブンプ</t>
    </rPh>
    <rPh sb="20" eb="21">
      <t>シタガ</t>
    </rPh>
    <rPh sb="25" eb="27">
      <t>ドクリツ</t>
    </rPh>
    <rPh sb="32" eb="34">
      <t>チュウシン</t>
    </rPh>
    <rPh sb="34" eb="36">
      <t>キョクゲン</t>
    </rPh>
    <rPh sb="36" eb="38">
      <t>テイリ</t>
    </rPh>
    <phoneticPr fontId="1"/>
  </si>
  <si>
    <t>Σ Xi は nが無限大になったときには、正規分布になります。</t>
    <rPh sb="9" eb="12">
      <t>ムゲンダイ</t>
    </rPh>
    <rPh sb="21" eb="23">
      <t>セイキ</t>
    </rPh>
    <rPh sb="23" eb="25">
      <t>ブンプ</t>
    </rPh>
    <phoneticPr fontId="1"/>
  </si>
  <si>
    <t>[2] lnS(t)/S0の期待値</t>
    <rPh sb="14" eb="17">
      <t>キタイチ</t>
    </rPh>
    <phoneticPr fontId="1"/>
  </si>
  <si>
    <t>１期間（dt）の変位の期待値は、</t>
    <rPh sb="8" eb="10">
      <t>ヘンイ</t>
    </rPh>
    <rPh sb="11" eb="14">
      <t>キタイチ</t>
    </rPh>
    <phoneticPr fontId="1"/>
  </si>
  <si>
    <t xml:space="preserve">p ×(νdt + σ√dt)  +  (1-p) × (νdt - σ√dt)  </t>
    <phoneticPr fontId="1"/>
  </si>
  <si>
    <t>= νdt  +  (2p -1)× σ√dt</t>
    <phoneticPr fontId="1"/>
  </si>
  <si>
    <t>n期間（ndt = t)の変位の期待値は、</t>
    <rPh sb="1" eb="3">
      <t>キカン</t>
    </rPh>
    <rPh sb="13" eb="15">
      <t>ヘンイ</t>
    </rPh>
    <rPh sb="16" eb="19">
      <t>キタイチ</t>
    </rPh>
    <phoneticPr fontId="1"/>
  </si>
  <si>
    <t>n × { νdt  +  (2p -1)× σ√dt }</t>
    <phoneticPr fontId="1"/>
  </si>
  <si>
    <t>= νndt  + (2p - 1)×σn√dt</t>
    <phoneticPr fontId="1"/>
  </si>
  <si>
    <t>= νt  + (2p - 1)√n×σ√t</t>
    <phoneticPr fontId="1"/>
  </si>
  <si>
    <t>ここで、</t>
    <phoneticPr fontId="1"/>
  </si>
  <si>
    <t>lim(2p - 1 )√n  =  (r - ν)√t/σ - σ√t/2</t>
    <phoneticPr fontId="1"/>
  </si>
  <si>
    <t>であるから、n期間（ndt = t)の変位の期待値は、nが十分に大きいとき</t>
    <rPh sb="7" eb="9">
      <t>キカン</t>
    </rPh>
    <rPh sb="19" eb="21">
      <t>ヘンイ</t>
    </rPh>
    <rPh sb="22" eb="25">
      <t>キタイチ</t>
    </rPh>
    <rPh sb="29" eb="31">
      <t>ジュウブン</t>
    </rPh>
    <rPh sb="32" eb="33">
      <t>オオ</t>
    </rPh>
    <phoneticPr fontId="1"/>
  </si>
  <si>
    <t>νt + (r - ν)t - σ^2 / 2 ×t</t>
    <phoneticPr fontId="1"/>
  </si>
  <si>
    <t>= ( r - σ^2 / 2 ) ・ t</t>
    <phoneticPr fontId="1"/>
  </si>
  <si>
    <t>[3] lnS(t)/S0の分散</t>
    <rPh sb="14" eb="16">
      <t>ブンサン</t>
    </rPh>
    <phoneticPr fontId="1"/>
  </si>
  <si>
    <t>１期間（dt）の変位の分散は、</t>
    <rPh sb="8" eb="10">
      <t>ヘンイ</t>
    </rPh>
    <rPh sb="11" eb="13">
      <t>ブンサン</t>
    </rPh>
    <phoneticPr fontId="1"/>
  </si>
  <si>
    <t>p × (偏差)^2  +  (1-p)×(偏差)^2</t>
    <rPh sb="5" eb="7">
      <t>ヘンサ</t>
    </rPh>
    <rPh sb="22" eb="24">
      <t>ヘンサ</t>
    </rPh>
    <phoneticPr fontId="1"/>
  </si>
  <si>
    <t>= p  × ( νdt + σ√dt - 期待値)^2  +  (1-p) ・  ( νdt - σ√dt - 期待値)^2</t>
    <rPh sb="23" eb="26">
      <t>キタイチ</t>
    </rPh>
    <phoneticPr fontId="1"/>
  </si>
  <si>
    <t>= P ×(2 - 2p)^2 × σ^2dt + (1-p)×(-2p)^2×σ^2dt</t>
    <phoneticPr fontId="1"/>
  </si>
  <si>
    <t>= 4p × (1-p) × σ^2dt</t>
    <phoneticPr fontId="1"/>
  </si>
  <si>
    <t>n期間（ndt = t)の変位の分散は、</t>
    <rPh sb="1" eb="3">
      <t>キカン</t>
    </rPh>
    <rPh sb="13" eb="15">
      <t>ヘンイ</t>
    </rPh>
    <rPh sb="16" eb="18">
      <t>ブンサン</t>
    </rPh>
    <phoneticPr fontId="1"/>
  </si>
  <si>
    <t>n ×　{  4p × (1-p) × σ^2dt }</t>
    <phoneticPr fontId="1"/>
  </si>
  <si>
    <t>= 4p × (1-p) × σ^2・t</t>
    <phoneticPr fontId="1"/>
  </si>
  <si>
    <t>ここで</t>
    <phoneticPr fontId="1"/>
  </si>
  <si>
    <t>lim p = 1/2</t>
    <phoneticPr fontId="1"/>
  </si>
  <si>
    <t>であるから、n期間（ndt = t)の変位の分散は、nが十分に大きいとき</t>
    <rPh sb="22" eb="24">
      <t>ブンサン</t>
    </rPh>
    <phoneticPr fontId="1"/>
  </si>
  <si>
    <t>σ^2・t　　←　これは現実経済と同じになる</t>
    <rPh sb="12" eb="14">
      <t>ゲンジツ</t>
    </rPh>
    <rPh sb="14" eb="16">
      <t>ケイザイ</t>
    </rPh>
    <rPh sb="17" eb="18">
      <t>オナ</t>
    </rPh>
    <phoneticPr fontId="1"/>
  </si>
  <si>
    <t>■　S(t)　の期待値</t>
    <rPh sb="8" eb="11">
      <t>キタイチ</t>
    </rPh>
    <phoneticPr fontId="1"/>
  </si>
  <si>
    <t>ln St/S0 が期待値 (r - σ^2/2)t、分散σ^2tの正規分布（ブラウン運動過程）に従うので、</t>
    <rPh sb="10" eb="13">
      <t>キタイチ</t>
    </rPh>
    <rPh sb="27" eb="29">
      <t>ブンサン</t>
    </rPh>
    <rPh sb="34" eb="36">
      <t>セイキ</t>
    </rPh>
    <rPh sb="36" eb="38">
      <t>ブンプ</t>
    </rPh>
    <rPh sb="43" eb="45">
      <t>ウンドウ</t>
    </rPh>
    <rPh sb="45" eb="47">
      <t>カテイ</t>
    </rPh>
    <rPh sb="49" eb="50">
      <t>シタガ</t>
    </rPh>
    <phoneticPr fontId="1"/>
  </si>
  <si>
    <t>Stは対数正規分布（幾何ブラウン運動）に従い、その期待値は、</t>
    <rPh sb="3" eb="5">
      <t>タイスウ</t>
    </rPh>
    <rPh sb="5" eb="7">
      <t>セイキ</t>
    </rPh>
    <rPh sb="7" eb="9">
      <t>ブンプ</t>
    </rPh>
    <rPh sb="10" eb="12">
      <t>キカ</t>
    </rPh>
    <rPh sb="16" eb="18">
      <t>ウンドウ</t>
    </rPh>
    <rPh sb="20" eb="21">
      <t>シタガ</t>
    </rPh>
    <rPh sb="25" eb="28">
      <t>キタイチ</t>
    </rPh>
    <phoneticPr fontId="1"/>
  </si>
  <si>
    <t>S0 × exp(rt) となる</t>
    <phoneticPr fontId="1"/>
  </si>
  <si>
    <t>リスク中立評価法のまとめ</t>
    <rPh sb="3" eb="5">
      <t>チュウリツ</t>
    </rPh>
    <rPh sb="5" eb="8">
      <t>ヒョウカホウ</t>
    </rPh>
    <phoneticPr fontId="1"/>
  </si>
  <si>
    <t>以下の２つの条件が成り立つとき、リスク中立評価法はアービトラージフリーなオプション価格を与えることになる。</t>
    <rPh sb="0" eb="2">
      <t>イカ</t>
    </rPh>
    <rPh sb="6" eb="8">
      <t>ジョウケン</t>
    </rPh>
    <rPh sb="9" eb="10">
      <t>ナ</t>
    </rPh>
    <rPh sb="11" eb="12">
      <t>タ</t>
    </rPh>
    <rPh sb="19" eb="21">
      <t>チュウリツ</t>
    </rPh>
    <rPh sb="21" eb="24">
      <t>ヒョウカホウ</t>
    </rPh>
    <rPh sb="41" eb="43">
      <t>カカク</t>
    </rPh>
    <rPh sb="44" eb="45">
      <t>アタ</t>
    </rPh>
    <phoneticPr fontId="1"/>
  </si>
  <si>
    <t>リスク中立評価法の考え方</t>
    <rPh sb="3" eb="5">
      <t>チュウリツ</t>
    </rPh>
    <rPh sb="5" eb="7">
      <t>ヒョウカ</t>
    </rPh>
    <rPh sb="7" eb="8">
      <t>ホウ</t>
    </rPh>
    <rPh sb="9" eb="10">
      <t>カンガ</t>
    </rPh>
    <rPh sb="11" eb="12">
      <t>カタ</t>
    </rPh>
    <phoneticPr fontId="1"/>
  </si>
  <si>
    <t>確率速度変換</t>
    <rPh sb="0" eb="2">
      <t>カクリツ</t>
    </rPh>
    <rPh sb="2" eb="4">
      <t>ソクド</t>
    </rPh>
    <rPh sb="4" eb="6">
      <t>ヘンカン</t>
    </rPh>
    <phoneticPr fontId="1"/>
  </si>
  <si>
    <r>
      <t>①真の原資産価格の推移過程が、</t>
    </r>
    <r>
      <rPr>
        <b/>
        <u/>
        <sz val="11"/>
        <color rgb="FF0000FF"/>
        <rFont val="ＭＳ Ｐゴシック"/>
        <family val="3"/>
        <charset val="128"/>
        <scheme val="minor"/>
      </rPr>
      <t>対数正規分布（幾何ブラウン運動過程）</t>
    </r>
    <r>
      <rPr>
        <sz val="11"/>
        <color theme="1"/>
        <rFont val="ＭＳ Ｐゴシック"/>
        <family val="2"/>
        <charset val="128"/>
        <scheme val="minor"/>
      </rPr>
      <t>に従う。</t>
    </r>
    <rPh sb="1" eb="2">
      <t>シン</t>
    </rPh>
    <rPh sb="3" eb="6">
      <t>ゲンシサン</t>
    </rPh>
    <rPh sb="6" eb="8">
      <t>カカク</t>
    </rPh>
    <rPh sb="9" eb="11">
      <t>スイイ</t>
    </rPh>
    <rPh sb="11" eb="13">
      <t>カテイ</t>
    </rPh>
    <rPh sb="15" eb="17">
      <t>タイスウ</t>
    </rPh>
    <rPh sb="17" eb="19">
      <t>セイキ</t>
    </rPh>
    <rPh sb="19" eb="21">
      <t>ブンプ</t>
    </rPh>
    <rPh sb="22" eb="24">
      <t>キカ</t>
    </rPh>
    <rPh sb="28" eb="30">
      <t>ウンドウ</t>
    </rPh>
    <rPh sb="30" eb="32">
      <t>カテイ</t>
    </rPh>
    <rPh sb="34" eb="35">
      <t>シタガ</t>
    </rPh>
    <phoneticPr fontId="1"/>
  </si>
  <si>
    <r>
      <t>②対象とするオプション（に限らず、デリバティブ全般）は、</t>
    </r>
    <r>
      <rPr>
        <b/>
        <sz val="11"/>
        <color rgb="FF0000FF"/>
        <rFont val="ＭＳ Ｐゴシック"/>
        <family val="3"/>
        <charset val="128"/>
        <scheme val="minor"/>
      </rPr>
      <t>原資産と安全資産で複製することによる無裁定理論に従ってプライシング</t>
    </r>
    <r>
      <rPr>
        <sz val="11"/>
        <color theme="1"/>
        <rFont val="ＭＳ Ｐゴシック"/>
        <family val="2"/>
        <charset val="128"/>
        <scheme val="minor"/>
      </rPr>
      <t>される。（</t>
    </r>
    <r>
      <rPr>
        <b/>
        <sz val="11"/>
        <color rgb="FF0000FF"/>
        <rFont val="ＭＳ Ｐゴシック"/>
        <family val="3"/>
        <charset val="128"/>
        <scheme val="minor"/>
      </rPr>
      <t>リスク中立</t>
    </r>
    <r>
      <rPr>
        <sz val="11"/>
        <color theme="1"/>
        <rFont val="ＭＳ Ｐゴシック"/>
        <family val="2"/>
        <charset val="128"/>
        <scheme val="minor"/>
      </rPr>
      <t>）</t>
    </r>
    <rPh sb="1" eb="3">
      <t>タイショウ</t>
    </rPh>
    <rPh sb="13" eb="14">
      <t>カギ</t>
    </rPh>
    <rPh sb="23" eb="25">
      <t>ゼンパン</t>
    </rPh>
    <rPh sb="28" eb="31">
      <t>ゲンシサン</t>
    </rPh>
    <rPh sb="32" eb="34">
      <t>アンゼン</t>
    </rPh>
    <rPh sb="34" eb="36">
      <t>シサン</t>
    </rPh>
    <rPh sb="37" eb="39">
      <t>フクセイ</t>
    </rPh>
    <rPh sb="46" eb="47">
      <t>ム</t>
    </rPh>
    <rPh sb="47" eb="49">
      <t>サイテイ</t>
    </rPh>
    <rPh sb="49" eb="51">
      <t>リロン</t>
    </rPh>
    <rPh sb="52" eb="53">
      <t>シタガ</t>
    </rPh>
    <rPh sb="69" eb="71">
      <t>チュウリツ</t>
    </rPh>
    <phoneticPr fontId="1"/>
  </si>
  <si>
    <t>lnS(t)</t>
    <phoneticPr fontId="1"/>
  </si>
  <si>
    <t>正規分布</t>
    <rPh sb="0" eb="2">
      <t>セイキ</t>
    </rPh>
    <rPh sb="2" eb="4">
      <t>ブンプ</t>
    </rPh>
    <phoneticPr fontId="1"/>
  </si>
  <si>
    <t>期待値</t>
    <rPh sb="0" eb="3">
      <t>キタイチ</t>
    </rPh>
    <phoneticPr fontId="1"/>
  </si>
  <si>
    <t>分散</t>
    <rPh sb="0" eb="2">
      <t>ブンサン</t>
    </rPh>
    <phoneticPr fontId="1"/>
  </si>
  <si>
    <t>lnS0 + νt</t>
    <phoneticPr fontId="1"/>
  </si>
  <si>
    <t>σ^2 ・ t</t>
    <phoneticPr fontId="1"/>
  </si>
  <si>
    <t>lnS0 + （r - 0.5σ^2）t</t>
    <phoneticPr fontId="1"/>
  </si>
  <si>
    <t>デリバティブの価値（アービトラージフリーの原則）</t>
    <rPh sb="7" eb="9">
      <t>カチ</t>
    </rPh>
    <rPh sb="21" eb="23">
      <t>ゲンソク</t>
    </rPh>
    <phoneticPr fontId="1"/>
  </si>
  <si>
    <t>◆デリバティブのCFを原資産と安全資産で複製</t>
    <rPh sb="11" eb="14">
      <t>ゲンシサン</t>
    </rPh>
    <rPh sb="15" eb="17">
      <t>アンゼン</t>
    </rPh>
    <rPh sb="17" eb="19">
      <t>シサン</t>
    </rPh>
    <rPh sb="20" eb="22">
      <t>フクセイ</t>
    </rPh>
    <phoneticPr fontId="1"/>
  </si>
  <si>
    <t>◆複製ポートフォリオの現在価値　＝</t>
    <rPh sb="1" eb="3">
      <t>フクセイ</t>
    </rPh>
    <rPh sb="11" eb="13">
      <t>ゲンザイ</t>
    </rPh>
    <rPh sb="13" eb="15">
      <t>カチ</t>
    </rPh>
    <phoneticPr fontId="1"/>
  </si>
  <si>
    <t>◆デリバティブの将来の価値の期待値を安全利子率で現在価値に割り引いたもの</t>
    <rPh sb="8" eb="10">
      <t>ショウライ</t>
    </rPh>
    <rPh sb="11" eb="13">
      <t>カチ</t>
    </rPh>
    <rPh sb="14" eb="17">
      <t>キタイチ</t>
    </rPh>
    <rPh sb="18" eb="20">
      <t>アンゼン</t>
    </rPh>
    <rPh sb="20" eb="22">
      <t>リシ</t>
    </rPh>
    <rPh sb="22" eb="23">
      <t>リツ</t>
    </rPh>
    <rPh sb="24" eb="26">
      <t>ゲンザイ</t>
    </rPh>
    <rPh sb="26" eb="28">
      <t>カチ</t>
    </rPh>
    <rPh sb="29" eb="30">
      <t>ワ</t>
    </rPh>
    <rPh sb="31" eb="32">
      <t>ビ</t>
    </rPh>
    <phoneticPr fontId="1"/>
  </si>
  <si>
    <t>Black = Scholes式の導出</t>
    <rPh sb="15" eb="16">
      <t>シキ</t>
    </rPh>
    <rPh sb="17" eb="19">
      <t>ドウシュツ</t>
    </rPh>
    <phoneticPr fontId="1"/>
  </si>
  <si>
    <t>ヨーロピアン・コールオプションは、途中行使がなく、かつ満期時におけるオプションの価値が</t>
    <rPh sb="17" eb="19">
      <t>トチュウ</t>
    </rPh>
    <rPh sb="19" eb="21">
      <t>コウシ</t>
    </rPh>
    <rPh sb="27" eb="30">
      <t>マンキジ</t>
    </rPh>
    <rPh sb="40" eb="42">
      <t>カチ</t>
    </rPh>
    <phoneticPr fontId="1"/>
  </si>
  <si>
    <t>満期時の原資産価格だけで決まる（つまり経路依存型でない＋時間価値が0になっている）ので、</t>
  </si>
  <si>
    <t>コールプレミアムCが計算できる。</t>
    <rPh sb="10" eb="12">
      <t>ケイサン</t>
    </rPh>
    <phoneticPr fontId="1"/>
  </si>
  <si>
    <t>ｆ( S(t) ) = 1/√2πσ＾2t　×　1/S(t)  × exp {  -( ln S(t)/S0   -  ( r - σ^2/2 ) *t )^2 / 2σ^2t }</t>
    <phoneticPr fontId="1"/>
  </si>
  <si>
    <t>上記の関係式を使って、コールプレミアムCを計算する。</t>
    <rPh sb="0" eb="2">
      <t>ジョウキ</t>
    </rPh>
    <rPh sb="3" eb="5">
      <t>カンケイ</t>
    </rPh>
    <rPh sb="5" eb="6">
      <t>シキ</t>
    </rPh>
    <rPh sb="7" eb="8">
      <t>ツカ</t>
    </rPh>
    <rPh sb="21" eb="23">
      <t>ケイサン</t>
    </rPh>
    <phoneticPr fontId="1"/>
  </si>
  <si>
    <t>C = E[C*] × df = E[C*] × e^-rt　・・・(1)</t>
    <phoneticPr fontId="1"/>
  </si>
  <si>
    <t>E[C*] = ∫ C* × f(S*) dS*　・・・(2)</t>
    <phoneticPr fontId="1"/>
  </si>
  <si>
    <t>ｆ( S* ) = 1/√2πσ＾2τ　×　1/S*  × exp {  -( ln S*/S0   -  ( r - σ^2/2 ) *τ )^2 　/　 2σ^2τ }　・・・(3)</t>
    <phoneticPr fontId="1"/>
  </si>
  <si>
    <r>
      <t>まず(2)式のC*に、</t>
    </r>
    <r>
      <rPr>
        <b/>
        <u/>
        <sz val="9"/>
        <color rgb="FF0000FF"/>
        <rFont val="ＭＳ ゴシック"/>
        <family val="3"/>
        <charset val="128"/>
      </rPr>
      <t>C* = MAX[S* - K , 0]</t>
    </r>
    <r>
      <rPr>
        <sz val="9"/>
        <color theme="1"/>
        <rFont val="ＭＳ ゴシック"/>
        <family val="3"/>
        <charset val="128"/>
      </rPr>
      <t>を代入すると、</t>
    </r>
    <rPh sb="5" eb="6">
      <t>シキ</t>
    </rPh>
    <rPh sb="32" eb="34">
      <t>ダイニュウ</t>
    </rPh>
    <phoneticPr fontId="1"/>
  </si>
  <si>
    <t>E[C*] = ∫ MAX[S* - K , 0] × f(S*) dS*</t>
    <phoneticPr fontId="1"/>
  </si>
  <si>
    <t xml:space="preserve">      = ∫(0-&gt;K)  0 × f(S*) dS*  +  ∫(K-&gt;∞)  （S* - K） × f(S*) dS*</t>
    <phoneticPr fontId="1"/>
  </si>
  <si>
    <t>株価のリターン（期待値）</t>
    <rPh sb="0" eb="2">
      <t>カブカ</t>
    </rPh>
    <rPh sb="8" eb="11">
      <t>キタイチ</t>
    </rPh>
    <phoneticPr fontId="1"/>
  </si>
  <si>
    <t>権利行使価格のリターン（期待値）</t>
    <rPh sb="0" eb="2">
      <t>ケンリ</t>
    </rPh>
    <rPh sb="2" eb="4">
      <t>コウシ</t>
    </rPh>
    <rPh sb="4" eb="6">
      <t>カカク</t>
    </rPh>
    <rPh sb="12" eb="15">
      <t>キタイチ</t>
    </rPh>
    <phoneticPr fontId="1"/>
  </si>
  <si>
    <t>第①項</t>
    <rPh sb="0" eb="1">
      <t>ダイ</t>
    </rPh>
    <rPh sb="2" eb="3">
      <t>コウ</t>
    </rPh>
    <phoneticPr fontId="1"/>
  </si>
  <si>
    <t>第②項</t>
    <rPh sb="0" eb="1">
      <t>ダイ</t>
    </rPh>
    <rPh sb="2" eb="3">
      <t>コウ</t>
    </rPh>
    <phoneticPr fontId="1"/>
  </si>
  <si>
    <t xml:space="preserve">      = ∫(K-&gt;∞)  S* × f(S*) dS*　－　K ×∫(K-&gt;∞)  f(S*) dS*　・・・(4)</t>
    <phoneticPr fontId="1"/>
  </si>
  <si>
    <t>∫(K-&gt;∞)  S* × f(S*) dS*　　＝　　S0　× exp(rτ) ×　N（   (lnS0/K + rτ） / σ√τ   +   σ√τ/2      ）　・・・(5)</t>
    <phoneticPr fontId="1"/>
  </si>
  <si>
    <t>K ×∫(K-&gt;∞)  f(S*) dS* = K × N (  (lnS0/K + rτ)  /  σ√τ  -  σ√τ/2  )　・・・(6)</t>
    <phoneticPr fontId="1"/>
  </si>
  <si>
    <t>E[C*] = S0　× exp(rτ) ×　N（   (lnS0/K + rτ） / σ√τ   +   σ√τ/2      ）  -   K × N (  (lnS0/K + rτ)  /  σ√τ  -  σ√τ/2  )　・・・(7)</t>
    <phoneticPr fontId="1"/>
  </si>
  <si>
    <t>BS式の結論</t>
    <rPh sb="2" eb="3">
      <t>シキ</t>
    </rPh>
    <rPh sb="4" eb="6">
      <t>ケツロン</t>
    </rPh>
    <phoneticPr fontId="1"/>
  </si>
  <si>
    <t>C = E[C*] × e^-rt</t>
    <phoneticPr fontId="1"/>
  </si>
  <si>
    <t>見やすくすると</t>
    <rPh sb="0" eb="1">
      <t>ミ</t>
    </rPh>
    <phoneticPr fontId="1"/>
  </si>
  <si>
    <t>C = S0 × N(d1)  -  K × e^-rt × N(d2)</t>
    <phoneticPr fontId="1"/>
  </si>
  <si>
    <t xml:space="preserve">　　d1 = (lnS0/K + rτ） / σ√τ   +   σ√τ/2  </t>
    <phoneticPr fontId="1"/>
  </si>
  <si>
    <t>　　d2 = (lnS0/K + rτ)  /  σ√τ  -  σ√τ/2</t>
    <phoneticPr fontId="1"/>
  </si>
  <si>
    <t>Put Call Parity ( C - P = S0 - K × e^-rt)より、プットプレミアムは以下となる。</t>
    <rPh sb="53" eb="55">
      <t>イカ</t>
    </rPh>
    <phoneticPr fontId="1"/>
  </si>
  <si>
    <r>
      <t>P = S0 ×</t>
    </r>
    <r>
      <rPr>
        <u/>
        <sz val="20"/>
        <color rgb="FFFF0000"/>
        <rFont val="ＭＳ ゴシック"/>
        <family val="3"/>
        <charset val="128"/>
      </rPr>
      <t xml:space="preserve"> {N(d1) -1}</t>
    </r>
    <r>
      <rPr>
        <sz val="20"/>
        <color rgb="FF0000FF"/>
        <rFont val="ＭＳ ゴシック"/>
        <family val="3"/>
        <charset val="128"/>
      </rPr>
      <t xml:space="preserve">  -  K × e^-rt ×</t>
    </r>
    <r>
      <rPr>
        <u/>
        <sz val="20"/>
        <color rgb="FFFF0000"/>
        <rFont val="ＭＳ ゴシック"/>
        <family val="3"/>
        <charset val="128"/>
      </rPr>
      <t xml:space="preserve"> {N(d2) -1}</t>
    </r>
    <phoneticPr fontId="1"/>
  </si>
  <si>
    <t>バイナリーオプションとBS式の関係</t>
    <rPh sb="13" eb="14">
      <t>シキ</t>
    </rPh>
    <rPh sb="15" eb="17">
      <t>カンケイ</t>
    </rPh>
    <phoneticPr fontId="1"/>
  </si>
  <si>
    <t>バイナリーオプションと通常のヨーロピアンタイプのオプション式であるBS式の関係を見る。</t>
    <rPh sb="11" eb="13">
      <t>ツウジョウ</t>
    </rPh>
    <rPh sb="29" eb="30">
      <t>シキ</t>
    </rPh>
    <rPh sb="35" eb="36">
      <t>シキ</t>
    </rPh>
    <rPh sb="37" eb="39">
      <t>カンケイ</t>
    </rPh>
    <rPh sb="40" eb="41">
      <t>ミ</t>
    </rPh>
    <phoneticPr fontId="1"/>
  </si>
  <si>
    <t>バイナリーオプション</t>
    <phoneticPr fontId="1"/>
  </si>
  <si>
    <t>①キャッシュデジタルオプション（Cash or Nothing Option)</t>
    <phoneticPr fontId="1"/>
  </si>
  <si>
    <t>　満期時の原資産価格が行使価格を超えた場合、１円を受け取る。</t>
    <rPh sb="1" eb="4">
      <t>マンキジ</t>
    </rPh>
    <rPh sb="5" eb="8">
      <t>ゲンシサン</t>
    </rPh>
    <rPh sb="8" eb="10">
      <t>カカク</t>
    </rPh>
    <rPh sb="11" eb="13">
      <t>コウシ</t>
    </rPh>
    <rPh sb="13" eb="15">
      <t>カカク</t>
    </rPh>
    <rPh sb="16" eb="17">
      <t>コ</t>
    </rPh>
    <rPh sb="19" eb="21">
      <t>バアイ</t>
    </rPh>
    <rPh sb="23" eb="24">
      <t>エン</t>
    </rPh>
    <rPh sb="25" eb="26">
      <t>ウ</t>
    </rPh>
    <rPh sb="27" eb="28">
      <t>ト</t>
    </rPh>
    <phoneticPr fontId="1"/>
  </si>
  <si>
    <t>　行使価格以下の場合は、オプション価値はゼロとなる。</t>
    <rPh sb="1" eb="3">
      <t>コウシ</t>
    </rPh>
    <rPh sb="3" eb="5">
      <t>カカク</t>
    </rPh>
    <rPh sb="5" eb="7">
      <t>イカ</t>
    </rPh>
    <rPh sb="8" eb="10">
      <t>バアイ</t>
    </rPh>
    <rPh sb="17" eb="19">
      <t>カチ</t>
    </rPh>
    <phoneticPr fontId="1"/>
  </si>
  <si>
    <t>②アセットディジタルオプション（Asset or Nothing Option )</t>
    <phoneticPr fontId="1"/>
  </si>
  <si>
    <t>　満期時の原資産価格が行使価格を超えた場合、原資産１単位を受け取る。</t>
    <rPh sb="1" eb="4">
      <t>マンキジ</t>
    </rPh>
    <rPh sb="5" eb="8">
      <t>ゲンシサン</t>
    </rPh>
    <rPh sb="8" eb="10">
      <t>カカク</t>
    </rPh>
    <rPh sb="11" eb="13">
      <t>コウシ</t>
    </rPh>
    <rPh sb="13" eb="15">
      <t>カカク</t>
    </rPh>
    <rPh sb="16" eb="17">
      <t>コ</t>
    </rPh>
    <rPh sb="19" eb="21">
      <t>バアイ</t>
    </rPh>
    <rPh sb="22" eb="25">
      <t>ゲンシサン</t>
    </rPh>
    <rPh sb="26" eb="28">
      <t>タンイ</t>
    </rPh>
    <rPh sb="29" eb="30">
      <t>ウ</t>
    </rPh>
    <rPh sb="31" eb="32">
      <t>ト</t>
    </rPh>
    <phoneticPr fontId="1"/>
  </si>
  <si>
    <t>（１）上記２つのバイナリーオプションの満期時の価値をペイオフ・ダイアグラムに表せ。</t>
    <rPh sb="3" eb="5">
      <t>ジョウキ</t>
    </rPh>
    <rPh sb="19" eb="22">
      <t>マンキジ</t>
    </rPh>
    <rPh sb="23" eb="25">
      <t>カチ</t>
    </rPh>
    <rPh sb="38" eb="39">
      <t>アラワ</t>
    </rPh>
    <phoneticPr fontId="1"/>
  </si>
  <si>
    <t>（２）リスク中立評価法を用いて、上記２つのオプションのプレミアム計算式を導け。</t>
    <rPh sb="6" eb="8">
      <t>チュウリツ</t>
    </rPh>
    <rPh sb="8" eb="11">
      <t>ヒョウカホウ</t>
    </rPh>
    <rPh sb="12" eb="13">
      <t>モチ</t>
    </rPh>
    <rPh sb="16" eb="18">
      <t>ジョウキ</t>
    </rPh>
    <rPh sb="32" eb="34">
      <t>ケイサン</t>
    </rPh>
    <rPh sb="34" eb="35">
      <t>シキ</t>
    </rPh>
    <rPh sb="36" eb="37">
      <t>ミチビ</t>
    </rPh>
    <phoneticPr fontId="1"/>
  </si>
  <si>
    <t>　　満期時のペイオフ（価値）</t>
    <rPh sb="2" eb="5">
      <t>マンキジ</t>
    </rPh>
    <rPh sb="11" eb="13">
      <t>カチ</t>
    </rPh>
    <phoneticPr fontId="1"/>
  </si>
  <si>
    <t xml:space="preserve">V* = </t>
    <phoneticPr fontId="1"/>
  </si>
  <si>
    <t>0 ( 0 &lt;= S* &lt;= K)</t>
    <phoneticPr fontId="1"/>
  </si>
  <si>
    <t>1 ( K &lt; S*)</t>
    <phoneticPr fontId="1"/>
  </si>
  <si>
    <t>リスク中立下で満期時の原資産価格分布をf(S*)とすると、</t>
    <rPh sb="3" eb="5">
      <t>チュウリツ</t>
    </rPh>
    <rPh sb="5" eb="6">
      <t>カ</t>
    </rPh>
    <rPh sb="7" eb="10">
      <t>マンキジ</t>
    </rPh>
    <rPh sb="11" eb="14">
      <t>ゲンシサン</t>
    </rPh>
    <rPh sb="14" eb="16">
      <t>カカク</t>
    </rPh>
    <rPh sb="16" eb="18">
      <t>ブンプ</t>
    </rPh>
    <phoneticPr fontId="1"/>
  </si>
  <si>
    <t>オプションプレミアム = e^-rt ×　∫( 0 -&gt; ∞) V* × f(S*) dS*</t>
    <phoneticPr fontId="1"/>
  </si>
  <si>
    <t xml:space="preserve"> 　　　　= e^-rt ×　{ ∫ (0 -&gt; K) 0 × f(S*) dS*   +   ∫ (K -&gt; ∞) 1 × f(S*) dS* }</t>
    <phoneticPr fontId="1"/>
  </si>
  <si>
    <t xml:space="preserve"> 　　　　= e^-rt × ∫ (K -&gt; ∞) 1 × f(S*) dS*</t>
    <phoneticPr fontId="1"/>
  </si>
  <si>
    <t xml:space="preserve"> 　　　　= e^-rt × Prob [ S*  &gt;  K ]</t>
    <phoneticPr fontId="1"/>
  </si>
  <si>
    <t>ここで、lnS*はリスク中立下で、以下の正規分布に従う。</t>
    <rPh sb="12" eb="14">
      <t>チュウリツ</t>
    </rPh>
    <rPh sb="14" eb="15">
      <t>カ</t>
    </rPh>
    <rPh sb="17" eb="19">
      <t>イカ</t>
    </rPh>
    <rPh sb="20" eb="22">
      <t>セイキ</t>
    </rPh>
    <rPh sb="22" eb="24">
      <t>ブンプ</t>
    </rPh>
    <rPh sb="25" eb="26">
      <t>シタガ</t>
    </rPh>
    <phoneticPr fontId="1"/>
  </si>
  <si>
    <t>　　期待値</t>
    <rPh sb="2" eb="5">
      <t>キタイチ</t>
    </rPh>
    <phoneticPr fontId="1"/>
  </si>
  <si>
    <t>　　分散</t>
    <rPh sb="2" eb="4">
      <t>ブンサン</t>
    </rPh>
    <phoneticPr fontId="1"/>
  </si>
  <si>
    <t>σ^2τ</t>
    <phoneticPr fontId="1"/>
  </si>
  <si>
    <t>lnS + ( r - σ^2/2 ) τ</t>
    <phoneticPr fontId="1"/>
  </si>
  <si>
    <t>lnS*を標準化した</t>
    <rPh sb="5" eb="8">
      <t>ヒョウジュンカ</t>
    </rPh>
    <phoneticPr fontId="1"/>
  </si>
  <si>
    <t xml:space="preserve">  ( lnS* - 期待値 ) / √分散  =  { lnS*/S - (r - σ^2/2)τ } / σ√τは、標準正規分布（期待値0　、 分散1 )に従います。</t>
    <rPh sb="11" eb="14">
      <t>キタイチ</t>
    </rPh>
    <rPh sb="20" eb="22">
      <t>ブンサン</t>
    </rPh>
    <rPh sb="60" eb="62">
      <t>ヒョウジュン</t>
    </rPh>
    <rPh sb="62" eb="64">
      <t>セイキ</t>
    </rPh>
    <rPh sb="64" eb="66">
      <t>ブンプ</t>
    </rPh>
    <rPh sb="67" eb="70">
      <t>キタイチ</t>
    </rPh>
    <rPh sb="74" eb="76">
      <t>ブンサン</t>
    </rPh>
    <rPh sb="80" eb="81">
      <t>シタガ</t>
    </rPh>
    <phoneticPr fontId="1"/>
  </si>
  <si>
    <t xml:space="preserve"> 　　　　= e^-rt × Prob [ lnS*  &gt;  lnK ]</t>
    <phoneticPr fontId="1"/>
  </si>
  <si>
    <t xml:space="preserve"> Prob [ lnS*  &gt;  lnK ] =  Prob [ { lnS*/S - (r - σ^2/2)τ } / σ√τ  &gt;  { lnK/S - (r - σ^2/2)τ } / σ√τ ] </t>
    <phoneticPr fontId="1"/>
  </si>
  <si>
    <t xml:space="preserve">                       =  1 - N ( { lnK/S - (r - σ^2/2)τ } / σ√τ )</t>
    <phoneticPr fontId="1"/>
  </si>
  <si>
    <t xml:space="preserve">                       =  N ( { -lnK/S + (r - σ^2/2)τ } / σ√τ )   ∵ 1 - N(x) = N(-x)</t>
    <phoneticPr fontId="1"/>
  </si>
  <si>
    <t>よって</t>
    <phoneticPr fontId="1"/>
  </si>
  <si>
    <t xml:space="preserve">                       =  N ( { lnS/K + (r - σ^2/2)τ } / σ√τ )   </t>
    <phoneticPr fontId="1"/>
  </si>
  <si>
    <t xml:space="preserve">オプションプレミアム = e^-rt ×　N ( { lnS/K + (r - σ^2/2)τ } / σ√τ ) </t>
    <phoneticPr fontId="1"/>
  </si>
  <si>
    <t>K</t>
    <phoneticPr fontId="1"/>
  </si>
  <si>
    <t>S* ( K &lt; S*)</t>
    <phoneticPr fontId="1"/>
  </si>
  <si>
    <t>解法１</t>
    <rPh sb="0" eb="2">
      <t>カイホウ</t>
    </rPh>
    <phoneticPr fontId="1"/>
  </si>
  <si>
    <t>Black=Scholes式を利用する方法</t>
    <rPh sb="13" eb="14">
      <t>シキ</t>
    </rPh>
    <rPh sb="15" eb="17">
      <t>リヨウ</t>
    </rPh>
    <rPh sb="19" eb="21">
      <t>ホウホウ</t>
    </rPh>
    <phoneticPr fontId="1"/>
  </si>
  <si>
    <t>デジタル・オプションとヨーロピアンコールオプションとの間には、その満期時のペイオフ形状から次の関係がある。</t>
    <rPh sb="27" eb="28">
      <t>アイダ</t>
    </rPh>
    <rPh sb="33" eb="36">
      <t>マンキジ</t>
    </rPh>
    <rPh sb="41" eb="43">
      <t>ケイジョウ</t>
    </rPh>
    <rPh sb="45" eb="46">
      <t>ツギ</t>
    </rPh>
    <rPh sb="47" eb="49">
      <t>カンケイ</t>
    </rPh>
    <phoneticPr fontId="1"/>
  </si>
  <si>
    <t>オプションプレミアム = ｛　K　× e-rt・N(d2) } + { SN(d1) - K・e^-rt・N(d2) }</t>
    <phoneticPr fontId="1"/>
  </si>
  <si>
    <t>オプションプレミアム = SN(d1)</t>
    <phoneticPr fontId="1"/>
  </si>
  <si>
    <t>オプションプレミアム = SN(   (lnS/K + rτ） / σ√τ   +   σ√τ/2    )</t>
    <phoneticPr fontId="1"/>
  </si>
  <si>
    <t>アセットデジタルオプションのプレミアム</t>
    <phoneticPr fontId="1"/>
  </si>
  <si>
    <t>別の見方をすれば、ヨーロピアン・コールオプション・プレミアムを与えるBlack＝Scholes式の第一項目は、アセットデジタルオプションの</t>
    <rPh sb="0" eb="1">
      <t>ベツ</t>
    </rPh>
    <rPh sb="2" eb="4">
      <t>ミカタ</t>
    </rPh>
    <rPh sb="31" eb="32">
      <t>アタ</t>
    </rPh>
    <rPh sb="47" eb="48">
      <t>シキ</t>
    </rPh>
    <rPh sb="49" eb="50">
      <t>ダイ</t>
    </rPh>
    <rPh sb="50" eb="52">
      <t>イッコウ</t>
    </rPh>
    <rPh sb="52" eb="53">
      <t>メ</t>
    </rPh>
    <phoneticPr fontId="1"/>
  </si>
  <si>
    <t>プレミアムを、第二項目はK単位のキャッシュデジタルオプションのプレミアムをそれぞれ表している。</t>
    <rPh sb="7" eb="8">
      <t>ダイ</t>
    </rPh>
    <rPh sb="8" eb="10">
      <t>ニコウ</t>
    </rPh>
    <rPh sb="10" eb="11">
      <t>メ</t>
    </rPh>
    <rPh sb="13" eb="15">
      <t>タンイ</t>
    </rPh>
    <rPh sb="41" eb="42">
      <t>アラワ</t>
    </rPh>
    <phoneticPr fontId="1"/>
  </si>
  <si>
    <t>C = S × N(d1)  -  K × e^-rt × N(d2)</t>
    <phoneticPr fontId="1"/>
  </si>
  <si>
    <t>アセットデジタルオプションの</t>
    <phoneticPr fontId="1"/>
  </si>
  <si>
    <t>プレミアム</t>
    <phoneticPr fontId="1"/>
  </si>
  <si>
    <t>キャッシュデジタルオプションの</t>
    <phoneticPr fontId="1"/>
  </si>
  <si>
    <t>例題2</t>
    <rPh sb="0" eb="2">
      <t>レイダイ</t>
    </rPh>
    <phoneticPr fontId="1"/>
  </si>
  <si>
    <t>以下のペイオフ（満期時の価値）を持つオプション（途中行使無し）のプレミアム計算式を求めなさい。</t>
    <rPh sb="0" eb="2">
      <t>イカ</t>
    </rPh>
    <rPh sb="8" eb="11">
      <t>マンキジ</t>
    </rPh>
    <rPh sb="12" eb="14">
      <t>カチ</t>
    </rPh>
    <rPh sb="16" eb="17">
      <t>モ</t>
    </rPh>
    <rPh sb="24" eb="26">
      <t>トチュウ</t>
    </rPh>
    <rPh sb="26" eb="28">
      <t>コウシ</t>
    </rPh>
    <rPh sb="28" eb="29">
      <t>ナ</t>
    </rPh>
    <rPh sb="37" eb="39">
      <t>ケイサン</t>
    </rPh>
    <rPh sb="39" eb="40">
      <t>シキ</t>
    </rPh>
    <rPh sb="41" eb="42">
      <t>モト</t>
    </rPh>
    <phoneticPr fontId="1"/>
  </si>
  <si>
    <t>ただし、原資産価格は幾何ブラウン運動に従い、原資産からの配当支払いはないものとする。</t>
    <rPh sb="4" eb="7">
      <t>ゲンシサン</t>
    </rPh>
    <rPh sb="7" eb="9">
      <t>カカク</t>
    </rPh>
    <rPh sb="10" eb="12">
      <t>キカ</t>
    </rPh>
    <rPh sb="16" eb="18">
      <t>ウンドウ</t>
    </rPh>
    <rPh sb="19" eb="20">
      <t>シタガ</t>
    </rPh>
    <rPh sb="22" eb="25">
      <t>ゲンシサン</t>
    </rPh>
    <rPh sb="28" eb="30">
      <t>ハイトウ</t>
    </rPh>
    <rPh sb="30" eb="32">
      <t>シハラ</t>
    </rPh>
    <phoneticPr fontId="1"/>
  </si>
  <si>
    <t>（１）オプションA</t>
    <phoneticPr fontId="1"/>
  </si>
  <si>
    <t>K1</t>
    <phoneticPr fontId="1"/>
  </si>
  <si>
    <t>K2</t>
    <phoneticPr fontId="1"/>
  </si>
  <si>
    <r>
      <t>K1を行使価格とする</t>
    </r>
    <r>
      <rPr>
        <b/>
        <u/>
        <sz val="9"/>
        <color theme="1"/>
        <rFont val="ＭＳ ゴシック"/>
        <family val="3"/>
        <charset val="128"/>
      </rPr>
      <t>キャッシュデジタルコールのLong(買い）</t>
    </r>
    <r>
      <rPr>
        <sz val="9"/>
        <color theme="1"/>
        <rFont val="ＭＳ ゴシック"/>
        <family val="3"/>
        <charset val="128"/>
      </rPr>
      <t>と、K2を行使価格とする</t>
    </r>
    <r>
      <rPr>
        <b/>
        <u/>
        <sz val="9"/>
        <color theme="1"/>
        <rFont val="ＭＳ ゴシック"/>
        <family val="3"/>
        <charset val="128"/>
      </rPr>
      <t>キャッシュデジタルコールのShort(売り）</t>
    </r>
    <r>
      <rPr>
        <sz val="9"/>
        <color theme="1"/>
        <rFont val="ＭＳ ゴシック"/>
        <family val="3"/>
        <charset val="128"/>
      </rPr>
      <t>の組み合わせなので、</t>
    </r>
    <rPh sb="3" eb="5">
      <t>コウシ</t>
    </rPh>
    <rPh sb="5" eb="7">
      <t>カカク</t>
    </rPh>
    <rPh sb="28" eb="29">
      <t>カ</t>
    </rPh>
    <rPh sb="36" eb="38">
      <t>コウシ</t>
    </rPh>
    <rPh sb="38" eb="40">
      <t>カカク</t>
    </rPh>
    <rPh sb="62" eb="63">
      <t>ウ</t>
    </rPh>
    <rPh sb="66" eb="67">
      <t>ク</t>
    </rPh>
    <rPh sb="68" eb="69">
      <t>ア</t>
    </rPh>
    <phoneticPr fontId="1"/>
  </si>
  <si>
    <t xml:space="preserve">オプションプレミアム = e^-rt ×　N ( { lnS/K1 + (r - σ^2/2)τ } / σ√τ )    -   e^-rt ×　N ( { lnS/K2 + (r - σ^2/2)τ } / σ√τ ) </t>
    <phoneticPr fontId="1"/>
  </si>
  <si>
    <t>オプションプレミアム = e^-rt ×　{ N ( { lnS/K1 + (r - σ^2/2)τ } / σ√τ )    -   N ( { lnS/K2 + (r - σ^2/2)τ } / σ√τ )  }</t>
    <phoneticPr fontId="1"/>
  </si>
  <si>
    <t>（２）オプションB</t>
    <phoneticPr fontId="1"/>
  </si>
  <si>
    <t>K2-K1</t>
    <phoneticPr fontId="1"/>
  </si>
  <si>
    <t>C = S0　×　N（   (lnS0/K + rτ） / σ√τ   +   σ√τ/2      ）  -   K × e^-rt  ×  N (  (lnS0/K + rτ)  /  σ√τ  -  σ√τ/2  )</t>
    <phoneticPr fontId="1"/>
  </si>
  <si>
    <t>オプションプレミアム = S　×　N（   (lnS/K1 + rτ） / σ√τ   +   σ√τ/2      ）  -   K1 × e^-rt  ×  N (  (lnS/K + rτ)  /  σ√τ  -  σ√τ/2  )</t>
    <phoneticPr fontId="1"/>
  </si>
  <si>
    <t xml:space="preserve">                     -  S　×　N（   (lnS/K2 + rτ） / σ√τ   +   σ√τ/2      ）  +   K2 × e^-rt  ×  N (  (lnS/K + rτ)  /  σ√τ  -  σ√τ/2  )</t>
    <phoneticPr fontId="1"/>
  </si>
  <si>
    <t xml:space="preserve">                     -  (K2 - K1) × e^-rt  ×  N (  (lnS/K2 + rτ)  /  σ√τ  -  σ√τ/2  )</t>
    <phoneticPr fontId="1"/>
  </si>
  <si>
    <t>↓</t>
    <phoneticPr fontId="1"/>
  </si>
  <si>
    <t xml:space="preserve">                     -  S　×　N（   (lnS/K2 + rτ） / σ√τ   +   σ√τ/2      ） </t>
    <phoneticPr fontId="1"/>
  </si>
  <si>
    <t xml:space="preserve">                     + K1 × e^-rt  ×  N (  (lnS/K2 + rτ)  /  σ√τ  -  σ√τ/2  )</t>
    <phoneticPr fontId="1"/>
  </si>
  <si>
    <r>
      <rPr>
        <b/>
        <u/>
        <sz val="9"/>
        <color theme="1"/>
        <rFont val="ＭＳ ゴシック"/>
        <family val="3"/>
        <charset val="128"/>
      </rPr>
      <t>K1、K2を２つの行使価格とするブルコールスプレッド</t>
    </r>
    <r>
      <rPr>
        <sz val="9"/>
        <color theme="1"/>
        <rFont val="ＭＳ ゴシック"/>
        <family val="3"/>
        <charset val="128"/>
      </rPr>
      <t>と、</t>
    </r>
    <r>
      <rPr>
        <b/>
        <u/>
        <sz val="9"/>
        <color theme="1"/>
        <rFont val="ＭＳ ゴシック"/>
        <family val="3"/>
        <charset val="128"/>
      </rPr>
      <t>K2を行使価格とするキャッシュデジタルコール（K2-K1)単位のShort</t>
    </r>
    <r>
      <rPr>
        <sz val="9"/>
        <color theme="1"/>
        <rFont val="ＭＳ ゴシック"/>
        <family val="3"/>
        <charset val="128"/>
      </rPr>
      <t>の組み合わせなので、</t>
    </r>
    <rPh sb="9" eb="11">
      <t>コウシ</t>
    </rPh>
    <rPh sb="11" eb="13">
      <t>カカク</t>
    </rPh>
    <rPh sb="31" eb="33">
      <t>コウシ</t>
    </rPh>
    <rPh sb="33" eb="35">
      <t>カカク</t>
    </rPh>
    <rPh sb="57" eb="59">
      <t>タンイ</t>
    </rPh>
    <rPh sb="66" eb="67">
      <t>ク</t>
    </rPh>
    <rPh sb="68" eb="69">
      <t>ア</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</si>
</sst>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28">
    <numFmt numFmtId="176" formatCode="#,##0_ "/>
    <numFmt numFmtId="177" formatCode="#,##0.000_ "/>
    <numFmt numFmtId="178" formatCode="0.000%"/>
    <numFmt numFmtId="179" formatCode="0.0000%"/>
    <numFmt numFmtId="180" formatCode="0.00000%"/>
    <numFmt numFmtId="181" formatCode="0.0000000%"/>
    <numFmt numFmtId="182" formatCode="0.00000"/>
    <numFmt numFmtId="183" formatCode="0.0000"/>
    <numFmt numFmtId="184" formatCode="0.0"/>
    <numFmt numFmtId="185" formatCode="0.000000%"/>
    <numFmt numFmtId="186" formatCode="#,##0.000000_ "/>
    <numFmt numFmtId="187" formatCode="0.00_ "/>
    <numFmt numFmtId="188" formatCode="0.00000000%"/>
    <numFmt numFmtId="189" formatCode="0.0000000"/>
    <numFmt numFmtId="190" formatCode="0.000000000"/>
    <numFmt numFmtId="191" formatCode="0.00000000"/>
    <numFmt numFmtId="192" formatCode="0.000000"/>
    <numFmt numFmtId="193" formatCode="0.000"/>
    <numFmt numFmtId="194" formatCode="0.0000_ "/>
    <numFmt numFmtId="195" formatCode="0.00000_ "/>
    <numFmt numFmtId="196" formatCode="0.0000000_ "/>
    <numFmt numFmtId="197" formatCode="#,##0.0000_ "/>
    <numFmt numFmtId="198" formatCode="#,##0.0000000000_ "/>
    <numFmt numFmtId="199" formatCode="#,##0.00000000000_ "/>
    <numFmt numFmtId="200" formatCode="0.000000000%"/>
    <numFmt numFmtId="201" formatCode="0.0000000_);[Red]\(0.0000000\)"/>
    <numFmt numFmtId="202" formatCode="0.00000000000000_);[Red]\(0.00000000000000\)"/>
    <numFmt numFmtId="203" formatCode="#,##0.00000_ "/>
  </numFmts>
  <fonts count="123">
    <font>
      <sz val="11"/>
      <color theme="1"/>
      <name val="ＭＳ Ｐゴシック"/>
      <family val="2"/>
      <charset val="128"/>
      <scheme val="minor"/>
    </font>
    <font>
      <sz val="6"/>
      <name val="ＭＳ Ｐゴシック"/>
      <family val="2"/>
      <charset val="128"/>
      <scheme val="minor"/>
    </font>
    <font>
      <sz val="11"/>
      <color rgb="FFFF0000"/>
      <name val="ＭＳ Ｐゴシック"/>
      <family val="2"/>
      <charset val="128"/>
      <scheme val="minor"/>
    </font>
    <font>
      <sz val="9"/>
      <color theme="1"/>
      <name val="ＭＳ Ｐゴシック"/>
      <family val="2"/>
      <charset val="128"/>
      <scheme val="minor"/>
    </font>
    <font>
      <b/>
      <sz val="14"/>
      <color theme="1"/>
      <name val="ＭＳ Ｐゴシック"/>
      <family val="3"/>
      <charset val="128"/>
      <scheme val="minor"/>
    </font>
    <font>
      <sz val="11"/>
      <name val="ＭＳ Ｐゴシック"/>
      <family val="2"/>
      <charset val="128"/>
      <scheme val="minor"/>
    </font>
    <font>
      <sz val="20"/>
      <color theme="1"/>
      <name val="ＭＳ Ｐゴシック"/>
      <family val="2"/>
      <charset val="128"/>
      <scheme val="minor"/>
    </font>
    <font>
      <b/>
      <sz val="11"/>
      <color rgb="FFFF0000"/>
      <name val="ＭＳ Ｐゴシック"/>
      <family val="3"/>
      <charset val="128"/>
      <scheme val="minor"/>
    </font>
    <font>
      <sz val="24"/>
      <color theme="1"/>
      <name val="ＭＳ Ｐゴシック"/>
      <family val="2"/>
      <charset val="128"/>
      <scheme val="minor"/>
    </font>
    <font>
      <sz val="11"/>
      <color theme="3" tint="-0.499984740745262"/>
      <name val="ＭＳ Ｐゴシック"/>
      <family val="2"/>
      <charset val="128"/>
      <scheme val="minor"/>
    </font>
    <font>
      <b/>
      <sz val="11"/>
      <color theme="3" tint="-0.499984740745262"/>
      <name val="ＭＳ Ｐゴシック"/>
      <family val="3"/>
      <charset val="128"/>
      <scheme val="minor"/>
    </font>
    <font>
      <sz val="22"/>
      <color theme="1"/>
      <name val="ＭＳ Ｐゴシック"/>
      <family val="2"/>
      <charset val="128"/>
      <scheme val="minor"/>
    </font>
    <font>
      <sz val="26"/>
      <color theme="1"/>
      <name val="ＭＳ Ｐゴシック"/>
      <family val="2"/>
      <charset val="128"/>
      <scheme val="minor"/>
    </font>
    <font>
      <b/>
      <sz val="11"/>
      <color theme="1"/>
      <name val="ＭＳ Ｐゴシック"/>
      <family val="3"/>
      <charset val="128"/>
      <scheme val="minor"/>
    </font>
    <font>
      <sz val="9"/>
      <color theme="1"/>
      <name val="ＭＳ Ｐゴシック"/>
      <family val="3"/>
      <charset val="128"/>
      <scheme val="minor"/>
    </font>
    <font>
      <sz val="20"/>
      <color theme="1"/>
      <name val="ＭＳ ゴシック"/>
      <family val="3"/>
      <charset val="128"/>
    </font>
    <font>
      <sz val="9"/>
      <color theme="1"/>
      <name val="ＭＳ ゴシック"/>
      <family val="3"/>
      <charset val="128"/>
    </font>
    <font>
      <b/>
      <sz val="9"/>
      <color theme="1"/>
      <name val="ＭＳ ゴシック"/>
      <family val="3"/>
      <charset val="128"/>
    </font>
    <font>
      <b/>
      <sz val="14"/>
      <color theme="1"/>
      <name val="ＭＳ ゴシック"/>
      <family val="3"/>
      <charset val="128"/>
    </font>
    <font>
      <sz val="11"/>
      <color theme="1"/>
      <name val="ＭＳ ゴシック"/>
      <family val="3"/>
      <charset val="128"/>
    </font>
    <font>
      <sz val="9"/>
      <color rgb="FFFF0000"/>
      <name val="ＭＳ Ｐゴシック"/>
      <family val="3"/>
      <charset val="128"/>
      <scheme val="minor"/>
    </font>
    <font>
      <sz val="9"/>
      <name val="ＭＳ Ｐゴシック"/>
      <family val="3"/>
      <charset val="128"/>
      <scheme val="minor"/>
    </font>
    <font>
      <sz val="9"/>
      <color rgb="FF0000FF"/>
      <name val="ＭＳ Ｐゴシック"/>
      <family val="3"/>
      <charset val="128"/>
      <scheme val="minor"/>
    </font>
    <font>
      <b/>
      <sz val="10"/>
      <color rgb="FFFF0000"/>
      <name val="ＭＳ Ｐゴシック"/>
      <family val="3"/>
      <charset val="128"/>
      <scheme val="minor"/>
    </font>
    <font>
      <b/>
      <sz val="9"/>
      <color rgb="FFFF0000"/>
      <name val="ＭＳ Ｐゴシック"/>
      <family val="3"/>
      <charset val="128"/>
      <scheme val="minor"/>
    </font>
    <font>
      <b/>
      <sz val="10"/>
      <color theme="1"/>
      <name val="ＭＳ ゴシック"/>
      <family val="3"/>
      <charset val="128"/>
    </font>
    <font>
      <b/>
      <sz val="16"/>
      <color theme="1"/>
      <name val="ＭＳ ゴシック"/>
      <family val="3"/>
      <charset val="128"/>
    </font>
    <font>
      <b/>
      <sz val="9"/>
      <color rgb="FF0000FF"/>
      <name val="ＭＳ ゴシック"/>
      <family val="3"/>
      <charset val="128"/>
    </font>
    <font>
      <b/>
      <u/>
      <sz val="9"/>
      <color rgb="FF0000FF"/>
      <name val="ＭＳ ゴシック"/>
      <family val="3"/>
      <charset val="128"/>
    </font>
    <font>
      <sz val="10"/>
      <color theme="1"/>
      <name val="ＭＳ Ｐゴシック"/>
      <family val="2"/>
      <charset val="128"/>
      <scheme val="minor"/>
    </font>
    <font>
      <sz val="9"/>
      <name val="ＭＳ Ｐゴシック"/>
      <family val="2"/>
      <charset val="128"/>
      <scheme val="minor"/>
    </font>
    <font>
      <sz val="8"/>
      <color theme="1"/>
      <name val="ＭＳ ゴシック"/>
      <family val="3"/>
      <charset val="128"/>
    </font>
    <font>
      <sz val="9"/>
      <color rgb="FFFF0000"/>
      <name val="ＭＳ ゴシック"/>
      <family val="3"/>
      <charset val="128"/>
    </font>
    <font>
      <sz val="18"/>
      <color theme="1"/>
      <name val="ＭＳ Ｐゴシック"/>
      <family val="2"/>
      <charset val="128"/>
      <scheme val="minor"/>
    </font>
    <font>
      <b/>
      <sz val="10"/>
      <color theme="1"/>
      <name val="ＭＳ Ｐゴシック"/>
      <family val="3"/>
      <charset val="128"/>
      <scheme val="minor"/>
    </font>
    <font>
      <b/>
      <sz val="9"/>
      <color theme="1"/>
      <name val="ＭＳ Ｐゴシック"/>
      <family val="3"/>
      <charset val="128"/>
      <scheme val="minor"/>
    </font>
    <font>
      <b/>
      <sz val="14"/>
      <color rgb="FF0000FF"/>
      <name val="ＭＳ Ｐゴシック"/>
      <family val="3"/>
      <charset val="128"/>
      <scheme val="minor"/>
    </font>
    <font>
      <b/>
      <sz val="10"/>
      <color rgb="FF0000FF"/>
      <name val="ＭＳ Ｐゴシック"/>
      <family val="3"/>
      <charset val="128"/>
      <scheme val="minor"/>
    </font>
    <font>
      <sz val="9"/>
      <color theme="1" tint="4.9989318521683403E-2"/>
      <name val="ＭＳ Ｐゴシック"/>
      <family val="2"/>
      <charset val="128"/>
      <scheme val="minor"/>
    </font>
    <font>
      <sz val="16"/>
      <color rgb="FF0000FF"/>
      <name val="ＭＳ Ｐゴシック"/>
      <family val="2"/>
      <charset val="128"/>
      <scheme val="minor"/>
    </font>
    <font>
      <sz val="14"/>
      <color rgb="FF0000FF"/>
      <name val="ＭＳ Ｐゴシック"/>
      <family val="2"/>
      <charset val="128"/>
      <scheme val="minor"/>
    </font>
    <font>
      <sz val="20"/>
      <color rgb="FF0000FF"/>
      <name val="ＭＳ Ｐゴシック"/>
      <family val="2"/>
      <charset val="128"/>
      <scheme val="minor"/>
    </font>
    <font>
      <b/>
      <sz val="9"/>
      <color rgb="FF0000FF"/>
      <name val="ＭＳ Ｐゴシック"/>
      <family val="3"/>
      <charset val="128"/>
      <scheme val="minor"/>
    </font>
    <font>
      <sz val="12"/>
      <color theme="1"/>
      <name val="ＭＳ Ｐゴシック"/>
      <family val="2"/>
      <charset val="128"/>
      <scheme val="minor"/>
    </font>
    <font>
      <sz val="14"/>
      <color theme="1"/>
      <name val="ＭＳ Ｐゴシック"/>
      <family val="2"/>
      <charset val="128"/>
      <scheme val="minor"/>
    </font>
    <font>
      <u/>
      <sz val="9"/>
      <color theme="1"/>
      <name val="ＭＳ Ｐゴシック"/>
      <family val="2"/>
      <charset val="128"/>
      <scheme val="minor"/>
    </font>
    <font>
      <u/>
      <sz val="10"/>
      <color theme="1"/>
      <name val="ＭＳ Ｐゴシック"/>
      <family val="3"/>
      <charset val="128"/>
      <scheme val="minor"/>
    </font>
    <font>
      <u/>
      <sz val="12"/>
      <color theme="1"/>
      <name val="ＭＳ Ｐゴシック"/>
      <family val="3"/>
      <charset val="128"/>
      <scheme val="minor"/>
    </font>
    <font>
      <sz val="10"/>
      <color theme="1"/>
      <name val="ＭＳ Ｐゴシック"/>
      <family val="3"/>
      <charset val="128"/>
      <scheme val="minor"/>
    </font>
    <font>
      <b/>
      <u/>
      <sz val="10"/>
      <color theme="1"/>
      <name val="ＭＳ Ｐゴシック"/>
      <family val="3"/>
      <charset val="128"/>
      <scheme val="minor"/>
    </font>
    <font>
      <sz val="12"/>
      <color theme="3" tint="-0.499984740745262"/>
      <name val="ＭＳ Ｐゴシック"/>
      <family val="3"/>
      <charset val="128"/>
      <scheme val="minor"/>
    </font>
    <font>
      <sz val="12"/>
      <color theme="1"/>
      <name val="ＭＳ Ｐゴシック"/>
      <family val="3"/>
      <charset val="128"/>
      <scheme val="minor"/>
    </font>
    <font>
      <sz val="20"/>
      <color theme="1"/>
      <name val="ＭＳ Ｐゴシック"/>
      <family val="3"/>
      <charset val="128"/>
      <scheme val="minor"/>
    </font>
    <font>
      <b/>
      <sz val="16"/>
      <color theme="1"/>
      <name val="ＭＳ Ｐゴシック"/>
      <family val="3"/>
      <charset val="128"/>
      <scheme val="minor"/>
    </font>
    <font>
      <sz val="9"/>
      <color rgb="FF0000FF"/>
      <name val="ＭＳ Ｐゴシック"/>
      <family val="2"/>
      <charset val="128"/>
      <scheme val="minor"/>
    </font>
    <font>
      <sz val="20"/>
      <color rgb="FF0000FF"/>
      <name val="ＭＳ Ｐゴシック"/>
      <family val="3"/>
      <charset val="128"/>
      <scheme val="minor"/>
    </font>
    <font>
      <sz val="9"/>
      <color rgb="FFFF0000"/>
      <name val="ＭＳ Ｐゴシック"/>
      <family val="2"/>
      <charset val="128"/>
      <scheme val="minor"/>
    </font>
    <font>
      <b/>
      <sz val="18"/>
      <color theme="1"/>
      <name val="ＭＳ Ｐゴシック"/>
      <family val="3"/>
      <charset val="128"/>
      <scheme val="minor"/>
    </font>
    <font>
      <sz val="36"/>
      <color theme="1"/>
      <name val="ＭＳ Ｐゴシック"/>
      <family val="2"/>
      <charset val="128"/>
      <scheme val="minor"/>
    </font>
    <font>
      <b/>
      <sz val="11"/>
      <color rgb="FF0000FF"/>
      <name val="ＭＳ Ｐゴシック"/>
      <family val="3"/>
      <charset val="128"/>
      <scheme val="minor"/>
    </font>
    <font>
      <sz val="28"/>
      <color theme="1"/>
      <name val="ＭＳ Ｐゴシック"/>
      <family val="2"/>
      <charset val="128"/>
      <scheme val="minor"/>
    </font>
    <font>
      <b/>
      <sz val="12"/>
      <color rgb="FFFF0000"/>
      <name val="ＭＳ Ｐゴシック"/>
      <family val="3"/>
      <charset val="128"/>
      <scheme val="minor"/>
    </font>
    <font>
      <sz val="14"/>
      <color theme="1"/>
      <name val="ＭＳ Ｐゴシック"/>
      <family val="3"/>
      <charset val="128"/>
      <scheme val="minor"/>
    </font>
    <font>
      <sz val="16"/>
      <color theme="1"/>
      <name val="ＭＳ Ｐゴシック"/>
      <family val="2"/>
      <charset val="128"/>
      <scheme val="minor"/>
    </font>
    <font>
      <sz val="18"/>
      <color rgb="FFFF0000"/>
      <name val="ＭＳ Ｐゴシック"/>
      <family val="2"/>
      <charset val="128"/>
      <scheme val="minor"/>
    </font>
    <font>
      <u/>
      <sz val="18"/>
      <color rgb="FFFF0000"/>
      <name val="ＭＳ Ｐゴシック"/>
      <family val="3"/>
      <charset val="128"/>
      <scheme val="minor"/>
    </font>
    <font>
      <sz val="18"/>
      <color rgb="FFFF0000"/>
      <name val="ＭＳ Ｐゴシック"/>
      <family val="3"/>
      <charset val="128"/>
      <scheme val="minor"/>
    </font>
    <font>
      <sz val="18"/>
      <color theme="1"/>
      <name val="ＭＳ Ｐゴシック"/>
      <family val="3"/>
      <charset val="128"/>
      <scheme val="minor"/>
    </font>
    <font>
      <b/>
      <sz val="12"/>
      <color theme="1"/>
      <name val="ＭＳ Ｐゴシック"/>
      <family val="3"/>
      <charset val="128"/>
      <scheme val="minor"/>
    </font>
    <font>
      <b/>
      <sz val="28"/>
      <color theme="1"/>
      <name val="ＭＳ Ｐゴシック"/>
      <family val="3"/>
      <charset val="128"/>
      <scheme val="minor"/>
    </font>
    <font>
      <sz val="11"/>
      <color rgb="FF0000FF"/>
      <name val="ＭＳ Ｐゴシック"/>
      <family val="2"/>
      <charset val="128"/>
      <scheme val="minor"/>
    </font>
    <font>
      <sz val="11"/>
      <color rgb="FF0000FF"/>
      <name val="ＭＳ Ｐゴシック"/>
      <family val="3"/>
      <charset val="128"/>
      <scheme val="minor"/>
    </font>
    <font>
      <sz val="20"/>
      <color theme="0"/>
      <name val="ＭＳ Ｐゴシック"/>
      <family val="2"/>
      <charset val="128"/>
      <scheme val="minor"/>
    </font>
    <font>
      <sz val="9"/>
      <color theme="0"/>
      <name val="ＭＳ Ｐゴシック"/>
      <family val="3"/>
      <charset val="128"/>
      <scheme val="minor"/>
    </font>
    <font>
      <sz val="20"/>
      <color theme="0"/>
      <name val="ＭＳ Ｐゴシック"/>
      <family val="3"/>
      <charset val="128"/>
      <scheme val="minor"/>
    </font>
    <font>
      <sz val="18"/>
      <color rgb="FF0000FF"/>
      <name val="ＭＳ Ｐゴシック"/>
      <family val="2"/>
      <charset val="128"/>
      <scheme val="minor"/>
    </font>
    <font>
      <sz val="18"/>
      <color rgb="FF0000FF"/>
      <name val="ＭＳ Ｐゴシック"/>
      <family val="3"/>
      <charset val="128"/>
      <scheme val="minor"/>
    </font>
    <font>
      <b/>
      <u/>
      <sz val="9"/>
      <color rgb="FFFF0000"/>
      <name val="ＭＳ Ｐゴシック"/>
      <family val="3"/>
      <charset val="128"/>
      <scheme val="minor"/>
    </font>
    <font>
      <b/>
      <sz val="18"/>
      <color rgb="FF0000FF"/>
      <name val="ＭＳ Ｐゴシック"/>
      <family val="3"/>
      <charset val="128"/>
      <scheme val="minor"/>
    </font>
    <font>
      <sz val="9"/>
      <color theme="1"/>
      <name val="ＭＳゴシック"/>
      <family val="3"/>
      <charset val="128"/>
    </font>
    <font>
      <b/>
      <u/>
      <sz val="9"/>
      <color rgb="FF0000FF"/>
      <name val="ＭＳ Ｐゴシック"/>
      <family val="3"/>
      <charset val="128"/>
      <scheme val="minor"/>
    </font>
    <font>
      <sz val="10"/>
      <color rgb="FF000000"/>
      <name val="Arial"/>
      <family val="2"/>
    </font>
    <font>
      <sz val="10"/>
      <color rgb="FF000000"/>
      <name val="ＭＳ ゴシック"/>
      <family val="3"/>
      <charset val="128"/>
    </font>
    <font>
      <sz val="28"/>
      <color theme="1"/>
      <name val="ＭＳ ゴシック"/>
      <family val="3"/>
      <charset val="128"/>
    </font>
    <font>
      <b/>
      <sz val="11"/>
      <color theme="1"/>
      <name val="ＭＳ ゴシック"/>
      <family val="3"/>
      <charset val="128"/>
    </font>
    <font>
      <u/>
      <sz val="9"/>
      <color rgb="FFFF0000"/>
      <name val="ＭＳ ゴシック"/>
      <family val="3"/>
      <charset val="128"/>
    </font>
    <font>
      <b/>
      <u/>
      <sz val="9"/>
      <color theme="1"/>
      <name val="ＭＳ ゴシック"/>
      <family val="3"/>
      <charset val="128"/>
    </font>
    <font>
      <sz val="20"/>
      <color rgb="FFFF0000"/>
      <name val="ＭＳ ゴシック"/>
      <family val="3"/>
      <charset val="128"/>
    </font>
    <font>
      <sz val="18"/>
      <color rgb="FF0000FF"/>
      <name val="ＭＳ ゴシック"/>
      <family val="3"/>
      <charset val="128"/>
    </font>
    <font>
      <sz val="26"/>
      <color theme="1"/>
      <name val="ＭＳ ゴシック"/>
      <family val="3"/>
      <charset val="128"/>
    </font>
    <font>
      <sz val="22"/>
      <color theme="1"/>
      <name val="ＭＳ ゴシック"/>
      <family val="3"/>
      <charset val="128"/>
    </font>
    <font>
      <sz val="48"/>
      <color theme="1"/>
      <name val="ＭＳ Ｐゴシック"/>
      <family val="2"/>
      <charset val="128"/>
      <scheme val="minor"/>
    </font>
    <font>
      <b/>
      <u/>
      <sz val="11"/>
      <color theme="1"/>
      <name val="ＭＳ Ｐゴシック"/>
      <family val="3"/>
      <charset val="128"/>
      <scheme val="minor"/>
    </font>
    <font>
      <sz val="24"/>
      <color rgb="FFFF0000"/>
      <name val="ＭＳ Ｐゴシック"/>
      <family val="2"/>
      <charset val="128"/>
      <scheme val="minor"/>
    </font>
    <font>
      <sz val="24"/>
      <color theme="1"/>
      <name val="ＭＳ Ｐゴシック"/>
      <family val="3"/>
      <charset val="128"/>
      <scheme val="minor"/>
    </font>
    <font>
      <b/>
      <sz val="18"/>
      <color rgb="FFFF0000"/>
      <name val="ＭＳ Ｐゴシック"/>
      <family val="3"/>
      <charset val="128"/>
      <scheme val="minor"/>
    </font>
    <font>
      <b/>
      <sz val="12"/>
      <color rgb="FF0000FF"/>
      <name val="ＭＳ Ｐゴシック"/>
      <family val="3"/>
      <charset val="128"/>
      <scheme val="minor"/>
    </font>
    <font>
      <sz val="24"/>
      <color rgb="FF0000FF"/>
      <name val="ＭＳ Ｐゴシック"/>
      <family val="2"/>
      <charset val="128"/>
      <scheme val="minor"/>
    </font>
    <font>
      <b/>
      <sz val="20"/>
      <color rgb="FF0000FF"/>
      <name val="ＭＳ Ｐゴシック"/>
      <family val="3"/>
      <charset val="128"/>
      <scheme val="minor"/>
    </font>
    <font>
      <b/>
      <u/>
      <sz val="9"/>
      <color theme="1"/>
      <name val="ＭＳ Ｐゴシック"/>
      <family val="3"/>
      <charset val="128"/>
      <scheme val="minor"/>
    </font>
    <font>
      <b/>
      <sz val="16"/>
      <color rgb="FF0000FF"/>
      <name val="ＭＳ Ｐゴシック"/>
      <family val="3"/>
      <charset val="128"/>
      <scheme val="minor"/>
    </font>
    <font>
      <b/>
      <u/>
      <sz val="14"/>
      <color theme="1"/>
      <name val="ＭＳ Ｐゴシック"/>
      <family val="3"/>
      <charset val="128"/>
      <scheme val="minor"/>
    </font>
    <font>
      <sz val="12"/>
      <color rgb="FF0000FF"/>
      <name val="ＭＳ Ｐゴシック"/>
      <family val="3"/>
      <charset val="128"/>
      <scheme val="minor"/>
    </font>
    <font>
      <sz val="12"/>
      <name val="ＭＳ Ｐゴシック"/>
      <family val="3"/>
      <charset val="128"/>
      <scheme val="minor"/>
    </font>
    <font>
      <sz val="24"/>
      <color theme="1"/>
      <name val="ＭＳ ゴシック"/>
      <family val="3"/>
      <charset val="128"/>
    </font>
    <font>
      <u/>
      <sz val="9"/>
      <color rgb="FF0000FF"/>
      <name val="ＭＳ Ｐゴシック"/>
      <family val="3"/>
      <charset val="128"/>
      <scheme val="minor"/>
    </font>
    <font>
      <b/>
      <u/>
      <sz val="20"/>
      <color rgb="FF0000FF"/>
      <name val="ＭＳ Ｐゴシック"/>
      <family val="3"/>
      <charset val="128"/>
      <scheme val="minor"/>
    </font>
    <font>
      <sz val="16"/>
      <color theme="1"/>
      <name val="ＭＳ Ｐゴシック"/>
      <family val="3"/>
      <charset val="128"/>
      <scheme val="minor"/>
    </font>
    <font>
      <u/>
      <sz val="20"/>
      <color rgb="FF0000FF"/>
      <name val="ＭＳ ゴシック"/>
      <family val="3"/>
      <charset val="128"/>
    </font>
    <font>
      <u/>
      <sz val="9"/>
      <color rgb="FF0000FF"/>
      <name val="ＭＳ ゴシック"/>
      <family val="3"/>
      <charset val="128"/>
    </font>
    <font>
      <b/>
      <u/>
      <sz val="12"/>
      <color rgb="FFFF0000"/>
      <name val="ＭＳ Ｐゴシック"/>
      <family val="3"/>
      <charset val="128"/>
      <scheme val="minor"/>
    </font>
    <font>
      <b/>
      <u/>
      <sz val="9"/>
      <color rgb="FFFF0000"/>
      <name val="ＭＳ ゴシック"/>
      <family val="3"/>
      <charset val="128"/>
    </font>
    <font>
      <b/>
      <sz val="20"/>
      <color theme="1"/>
      <name val="ＭＳ Ｐゴシック"/>
      <family val="3"/>
      <charset val="128"/>
      <scheme val="minor"/>
    </font>
    <font>
      <b/>
      <sz val="22"/>
      <color theme="1"/>
      <name val="ＭＳ Ｐゴシック"/>
      <family val="3"/>
      <charset val="128"/>
      <scheme val="minor"/>
    </font>
    <font>
      <sz val="11"/>
      <color theme="1"/>
      <name val="ＭＳ Ｐゴシック"/>
      <family val="3"/>
      <charset val="128"/>
      <scheme val="minor"/>
    </font>
    <font>
      <b/>
      <u/>
      <sz val="11"/>
      <color rgb="FF0000FF"/>
      <name val="ＭＳ Ｐゴシック"/>
      <family val="3"/>
      <charset val="128"/>
      <scheme val="minor"/>
    </font>
    <font>
      <sz val="10"/>
      <color theme="1"/>
      <name val="ＭＳ ゴシック"/>
      <family val="3"/>
      <charset val="128"/>
    </font>
    <font>
      <sz val="12"/>
      <color theme="1"/>
      <name val="ＭＳ ゴシック"/>
      <family val="3"/>
      <charset val="128"/>
    </font>
    <font>
      <b/>
      <u/>
      <sz val="10"/>
      <color rgb="FF0000FF"/>
      <name val="ＭＳ ゴシック"/>
      <family val="3"/>
      <charset val="128"/>
    </font>
    <font>
      <sz val="18"/>
      <color theme="1"/>
      <name val="ＭＳ ゴシック"/>
      <family val="3"/>
      <charset val="128"/>
    </font>
    <font>
      <sz val="20"/>
      <color rgb="FF0000FF"/>
      <name val="ＭＳ ゴシック"/>
      <family val="3"/>
      <charset val="128"/>
    </font>
    <font>
      <u/>
      <sz val="20"/>
      <color rgb="FFFF0000"/>
      <name val="ＭＳ ゴシック"/>
      <family val="3"/>
      <charset val="128"/>
    </font>
    <font>
      <sz val="10"/>
      <color rgb="FF0000FF"/>
      <name val="ＭＳ ゴシック"/>
      <family val="3"/>
      <charset val="128"/>
    </font>
  </fonts>
  <fills count="29">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CCFFFF"/>
        <bgColor indexed="64"/>
      </patternFill>
    </fill>
    <fill>
      <patternFill patternType="solid">
        <fgColor rgb="FF00B050"/>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0"/>
        <bgColor indexed="64"/>
      </patternFill>
    </fill>
    <fill>
      <patternFill patternType="solid">
        <fgColor theme="5" tint="0.59999389629810485"/>
        <bgColor indexed="64"/>
      </patternFill>
    </fill>
    <fill>
      <patternFill patternType="solid">
        <fgColor theme="6" tint="-0.249977111117893"/>
        <bgColor indexed="64"/>
      </patternFill>
    </fill>
    <fill>
      <patternFill patternType="solid">
        <fgColor rgb="FFFFCC99"/>
        <bgColor indexed="64"/>
      </patternFill>
    </fill>
    <fill>
      <patternFill patternType="solid">
        <fgColor theme="2" tint="-0.89999084444715716"/>
        <bgColor indexed="64"/>
      </patternFill>
    </fill>
    <fill>
      <patternFill patternType="solid">
        <fgColor theme="1" tint="4.9989318521683403E-2"/>
        <bgColor indexed="64"/>
      </patternFill>
    </fill>
    <fill>
      <patternFill patternType="solid">
        <fgColor theme="4" tint="0.59999389629810485"/>
        <bgColor indexed="64"/>
      </patternFill>
    </fill>
    <fill>
      <patternFill patternType="solid">
        <fgColor rgb="FFFFFFCC"/>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rgb="FF66FFFF"/>
        <bgColor indexed="64"/>
      </patternFill>
    </fill>
    <fill>
      <patternFill patternType="solid">
        <fgColor rgb="FFFFFF99"/>
        <bgColor indexed="64"/>
      </patternFill>
    </fill>
    <fill>
      <patternFill patternType="solid">
        <fgColor rgb="FF92D050"/>
        <bgColor indexed="64"/>
      </patternFill>
    </fill>
    <fill>
      <patternFill patternType="solid">
        <fgColor theme="9" tint="0.39997558519241921"/>
        <bgColor indexed="64"/>
      </patternFill>
    </fill>
    <fill>
      <patternFill patternType="solid">
        <fgColor theme="1"/>
        <bgColor indexed="64"/>
      </patternFill>
    </fill>
    <fill>
      <patternFill patternType="solid">
        <fgColor rgb="FF00B0F0"/>
        <bgColor indexed="64"/>
      </patternFill>
    </fill>
    <fill>
      <patternFill patternType="solid">
        <fgColor rgb="FFFF9966"/>
        <bgColor indexed="64"/>
      </patternFill>
    </fill>
    <fill>
      <patternFill patternType="solid">
        <fgColor rgb="FFCC99FF"/>
        <bgColor indexed="64"/>
      </patternFill>
    </fill>
    <fill>
      <patternFill patternType="solid">
        <fgColor rgb="FFFF0000"/>
        <bgColor indexed="64"/>
      </patternFill>
    </fill>
    <fill>
      <patternFill patternType="solid">
        <fgColor rgb="FFCCFF99"/>
        <bgColor indexed="64"/>
      </patternFill>
    </fill>
    <fill>
      <patternFill patternType="solid">
        <fgColor rgb="FFCCFFCC"/>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rgb="FFFF0000"/>
      </left>
      <right/>
      <top style="thin">
        <color rgb="FFFF0000"/>
      </top>
      <bottom/>
      <diagonal/>
    </border>
    <border>
      <left/>
      <right style="thin">
        <color rgb="FFFF0000"/>
      </right>
      <top style="thin">
        <color rgb="FFFF0000"/>
      </top>
      <bottom/>
      <diagonal/>
    </border>
    <border>
      <left style="thin">
        <color rgb="FFFF0000"/>
      </left>
      <right/>
      <top/>
      <bottom style="thin">
        <color rgb="FFFF0000"/>
      </bottom>
      <diagonal/>
    </border>
    <border>
      <left/>
      <right style="thin">
        <color rgb="FFFF0000"/>
      </right>
      <top/>
      <bottom style="thin">
        <color rgb="FFFF0000"/>
      </bottom>
      <diagonal/>
    </border>
  </borders>
  <cellStyleXfs count="1">
    <xf numFmtId="0" fontId="0" fillId="0" borderId="0">
      <alignment vertical="center"/>
    </xf>
  </cellStyleXfs>
  <cellXfs count="882">
    <xf numFmtId="0" fontId="0" fillId="0" borderId="0" xfId="0">
      <alignment vertical="center"/>
    </xf>
    <xf numFmtId="0" fontId="0" fillId="4" borderId="2" xfId="0" applyFill="1" applyBorder="1">
      <alignment vertical="center"/>
    </xf>
    <xf numFmtId="0" fontId="0" fillId="4" borderId="3" xfId="0" applyFill="1" applyBorder="1">
      <alignment vertical="center"/>
    </xf>
    <xf numFmtId="0" fontId="0" fillId="4" borderId="4" xfId="0" applyFill="1" applyBorder="1">
      <alignment vertical="center"/>
    </xf>
    <xf numFmtId="0" fontId="0" fillId="4" borderId="7" xfId="0" applyFill="1" applyBorder="1">
      <alignment vertical="center"/>
    </xf>
    <xf numFmtId="0" fontId="0" fillId="4" borderId="8" xfId="0" applyFill="1" applyBorder="1">
      <alignment vertical="center"/>
    </xf>
    <xf numFmtId="0" fontId="0" fillId="4" borderId="9" xfId="0" applyFill="1" applyBorder="1">
      <alignment vertical="center"/>
    </xf>
    <xf numFmtId="0" fontId="0" fillId="0" borderId="1" xfId="0" applyBorder="1">
      <alignment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4" fillId="0" borderId="0" xfId="0" applyFont="1">
      <alignment vertical="center"/>
    </xf>
    <xf numFmtId="10" fontId="0" fillId="0" borderId="1" xfId="0" applyNumberFormat="1" applyBorder="1" applyAlignment="1">
      <alignment horizontal="center" vertical="center"/>
    </xf>
    <xf numFmtId="176" fontId="0" fillId="0" borderId="1" xfId="0" applyNumberFormat="1" applyBorder="1" applyAlignment="1">
      <alignment horizontal="center" vertical="center"/>
    </xf>
    <xf numFmtId="0" fontId="0" fillId="5" borderId="1" xfId="0" applyFill="1" applyBorder="1" applyAlignment="1">
      <alignment horizontal="center" vertical="center"/>
    </xf>
    <xf numFmtId="176" fontId="0" fillId="0" borderId="1" xfId="0" applyNumberFormat="1" applyBorder="1">
      <alignment vertical="center"/>
    </xf>
    <xf numFmtId="0" fontId="0" fillId="6" borderId="1" xfId="0" applyFill="1" applyBorder="1" applyAlignment="1">
      <alignment horizontal="center" vertical="center"/>
    </xf>
    <xf numFmtId="0" fontId="0" fillId="7" borderId="1" xfId="0" applyFill="1" applyBorder="1" applyAlignment="1">
      <alignment horizontal="center" vertical="center"/>
    </xf>
    <xf numFmtId="0" fontId="0" fillId="8" borderId="1" xfId="0" applyFill="1" applyBorder="1" applyAlignment="1">
      <alignment horizontal="center" vertical="center"/>
    </xf>
    <xf numFmtId="0" fontId="0" fillId="0" borderId="0" xfId="0" quotePrefix="1">
      <alignment vertical="center"/>
    </xf>
    <xf numFmtId="0" fontId="0" fillId="0" borderId="0" xfId="0" applyBorder="1" applyAlignment="1">
      <alignment horizontal="center" vertical="center"/>
    </xf>
    <xf numFmtId="177" fontId="0" fillId="0" borderId="1" xfId="0" applyNumberFormat="1" applyBorder="1">
      <alignment vertical="center"/>
    </xf>
    <xf numFmtId="0" fontId="0" fillId="4" borderId="5" xfId="0" applyFill="1" applyBorder="1">
      <alignment vertical="center"/>
    </xf>
    <xf numFmtId="0" fontId="0" fillId="4" borderId="0" xfId="0" applyFill="1" applyBorder="1">
      <alignment vertical="center"/>
    </xf>
    <xf numFmtId="0" fontId="0" fillId="4" borderId="6" xfId="0" applyFill="1" applyBorder="1">
      <alignment vertical="center"/>
    </xf>
    <xf numFmtId="0" fontId="0" fillId="0" borderId="0" xfId="0" applyBorder="1">
      <alignment vertical="center"/>
    </xf>
    <xf numFmtId="0" fontId="3" fillId="2" borderId="1" xfId="0" applyFont="1" applyFill="1" applyBorder="1" applyAlignment="1">
      <alignment horizontal="center" vertical="center"/>
    </xf>
    <xf numFmtId="178" fontId="0" fillId="0" borderId="1" xfId="0" applyNumberFormat="1" applyBorder="1" applyAlignment="1">
      <alignment horizontal="center" vertical="center"/>
    </xf>
    <xf numFmtId="9" fontId="0" fillId="0" borderId="1" xfId="0" applyNumberFormat="1" applyBorder="1">
      <alignment vertical="center"/>
    </xf>
    <xf numFmtId="10" fontId="0" fillId="0" borderId="1" xfId="0" applyNumberFormat="1" applyBorder="1">
      <alignment vertical="center"/>
    </xf>
    <xf numFmtId="180" fontId="0" fillId="0" borderId="10" xfId="0" applyNumberFormat="1" applyBorder="1">
      <alignment vertical="center"/>
    </xf>
    <xf numFmtId="176" fontId="2" fillId="9" borderId="1" xfId="0" applyNumberFormat="1" applyFont="1" applyFill="1" applyBorder="1" applyAlignment="1">
      <alignment horizontal="center" vertical="center"/>
    </xf>
    <xf numFmtId="176" fontId="5" fillId="8" borderId="1" xfId="0" applyNumberFormat="1" applyFont="1" applyFill="1" applyBorder="1" applyAlignment="1">
      <alignment horizontal="center" vertical="center"/>
    </xf>
    <xf numFmtId="0" fontId="3" fillId="0" borderId="0" xfId="0" quotePrefix="1" applyFont="1">
      <alignment vertical="center"/>
    </xf>
    <xf numFmtId="0" fontId="0" fillId="10" borderId="1" xfId="0" applyFill="1" applyBorder="1" applyAlignment="1">
      <alignment horizontal="center" vertical="center"/>
    </xf>
    <xf numFmtId="177" fontId="5" fillId="8" borderId="1" xfId="0" applyNumberFormat="1" applyFont="1" applyFill="1" applyBorder="1" applyAlignment="1">
      <alignment horizontal="center" vertical="center"/>
    </xf>
    <xf numFmtId="179" fontId="0" fillId="0" borderId="1" xfId="0" applyNumberFormat="1" applyBorder="1" applyAlignment="1">
      <alignment horizontal="center" vertical="center"/>
    </xf>
    <xf numFmtId="177" fontId="5" fillId="8" borderId="0" xfId="0" applyNumberFormat="1" applyFont="1" applyFill="1" applyBorder="1" applyAlignment="1">
      <alignment horizontal="center" vertical="center"/>
    </xf>
    <xf numFmtId="179" fontId="0" fillId="0" borderId="0" xfId="0" applyNumberFormat="1" applyBorder="1" applyAlignment="1">
      <alignment horizontal="center" vertical="center"/>
    </xf>
    <xf numFmtId="179" fontId="0" fillId="3" borderId="1" xfId="0" applyNumberFormat="1" applyFill="1" applyBorder="1" applyAlignment="1">
      <alignment horizontal="center" vertical="center"/>
    </xf>
    <xf numFmtId="0" fontId="0" fillId="7" borderId="1" xfId="0" applyFill="1" applyBorder="1">
      <alignment vertical="center"/>
    </xf>
    <xf numFmtId="0" fontId="6" fillId="0" borderId="0" xfId="0" applyFont="1">
      <alignment vertical="center"/>
    </xf>
    <xf numFmtId="0" fontId="0" fillId="2" borderId="1" xfId="0" applyFill="1" applyBorder="1">
      <alignment vertical="center"/>
    </xf>
    <xf numFmtId="0" fontId="7" fillId="0" borderId="0" xfId="0" applyFont="1">
      <alignment vertical="center"/>
    </xf>
    <xf numFmtId="180" fontId="0" fillId="0" borderId="1" xfId="0" applyNumberFormat="1" applyBorder="1">
      <alignment vertical="center"/>
    </xf>
    <xf numFmtId="180" fontId="0" fillId="11" borderId="1" xfId="0" applyNumberFormat="1" applyFill="1" applyBorder="1">
      <alignment vertical="center"/>
    </xf>
    <xf numFmtId="181" fontId="0" fillId="0" borderId="1" xfId="0" applyNumberFormat="1" applyBorder="1">
      <alignment vertical="center"/>
    </xf>
    <xf numFmtId="178" fontId="0" fillId="0" borderId="1" xfId="0" applyNumberFormat="1" applyBorder="1">
      <alignment vertical="center"/>
    </xf>
    <xf numFmtId="0" fontId="8" fillId="0" borderId="0" xfId="0" applyFont="1">
      <alignment vertical="center"/>
    </xf>
    <xf numFmtId="0" fontId="0" fillId="0" borderId="1" xfId="0" applyBorder="1" applyAlignment="1">
      <alignment horizontal="left" vertical="center"/>
    </xf>
    <xf numFmtId="0" fontId="0" fillId="0" borderId="0" xfId="0" applyAlignment="1">
      <alignment horizontal="left" vertical="center"/>
    </xf>
    <xf numFmtId="0" fontId="10" fillId="0" borderId="0" xfId="0" applyFont="1">
      <alignment vertical="center"/>
    </xf>
    <xf numFmtId="0" fontId="0" fillId="14" borderId="1" xfId="0" applyFill="1" applyBorder="1" applyAlignment="1">
      <alignment horizontal="center" vertical="center"/>
    </xf>
    <xf numFmtId="0" fontId="0" fillId="8" borderId="0" xfId="0" applyFill="1" applyBorder="1" applyAlignment="1">
      <alignment horizontal="left" vertical="center"/>
    </xf>
    <xf numFmtId="0" fontId="0" fillId="8" borderId="0" xfId="0" applyFill="1" applyBorder="1">
      <alignment vertical="center"/>
    </xf>
    <xf numFmtId="0" fontId="0" fillId="8" borderId="0" xfId="0" applyFill="1" applyBorder="1" applyAlignment="1">
      <alignment horizontal="center" vertical="center"/>
    </xf>
    <xf numFmtId="183" fontId="0" fillId="0" borderId="0" xfId="0" applyNumberFormat="1">
      <alignment vertical="center"/>
    </xf>
    <xf numFmtId="2" fontId="0" fillId="0" borderId="1" xfId="0" applyNumberFormat="1" applyBorder="1" applyAlignment="1">
      <alignment horizontal="center" vertical="center"/>
    </xf>
    <xf numFmtId="0" fontId="0" fillId="12" borderId="0" xfId="0" applyFill="1">
      <alignment vertical="center"/>
    </xf>
    <xf numFmtId="0" fontId="0" fillId="15" borderId="11" xfId="0" applyFill="1" applyBorder="1">
      <alignment vertical="center"/>
    </xf>
    <xf numFmtId="0" fontId="0" fillId="15" borderId="12" xfId="0" applyFill="1" applyBorder="1">
      <alignment vertical="center"/>
    </xf>
    <xf numFmtId="0" fontId="0" fillId="15" borderId="13" xfId="0" applyFill="1" applyBorder="1">
      <alignment vertical="center"/>
    </xf>
    <xf numFmtId="0" fontId="9" fillId="13" borderId="0" xfId="0" applyFont="1" applyFill="1">
      <alignment vertical="center"/>
    </xf>
    <xf numFmtId="0" fontId="11" fillId="0" borderId="0" xfId="0" applyFont="1">
      <alignment vertical="center"/>
    </xf>
    <xf numFmtId="0" fontId="0" fillId="11" borderId="1" xfId="0" applyFill="1" applyBorder="1" applyAlignment="1">
      <alignment horizontal="center" vertical="center"/>
    </xf>
    <xf numFmtId="0" fontId="0" fillId="0" borderId="0" xfId="0" applyFill="1" applyBorder="1" applyAlignment="1">
      <alignment horizontal="center" vertical="center"/>
    </xf>
    <xf numFmtId="0" fontId="0" fillId="0" borderId="0" xfId="0" applyFill="1" applyBorder="1" applyAlignment="1">
      <alignment horizontal="left" vertical="center"/>
    </xf>
    <xf numFmtId="0" fontId="0" fillId="0" borderId="0" xfId="0" applyAlignment="1">
      <alignment horizontal="right" vertical="center"/>
    </xf>
    <xf numFmtId="0" fontId="0" fillId="5" borderId="1" xfId="0" applyFill="1" applyBorder="1">
      <alignment vertical="center"/>
    </xf>
    <xf numFmtId="0" fontId="0" fillId="11" borderId="6" xfId="0" applyFill="1" applyBorder="1" applyAlignment="1">
      <alignment horizontal="center" vertical="center"/>
    </xf>
    <xf numFmtId="183" fontId="0" fillId="5" borderId="1" xfId="0" applyNumberFormat="1" applyFill="1" applyBorder="1">
      <alignment vertical="center"/>
    </xf>
    <xf numFmtId="182" fontId="0" fillId="5" borderId="1" xfId="0" applyNumberFormat="1" applyFill="1" applyBorder="1">
      <alignment vertical="center"/>
    </xf>
    <xf numFmtId="0" fontId="2" fillId="0" borderId="0" xfId="0" applyFont="1">
      <alignment vertical="center"/>
    </xf>
    <xf numFmtId="0" fontId="12" fillId="0" borderId="0" xfId="0" applyFont="1">
      <alignment vertical="center"/>
    </xf>
    <xf numFmtId="10" fontId="0" fillId="0" borderId="0" xfId="0" applyNumberFormat="1">
      <alignment vertical="center"/>
    </xf>
    <xf numFmtId="180" fontId="0" fillId="0" borderId="0" xfId="0" applyNumberFormat="1">
      <alignment vertical="center"/>
    </xf>
    <xf numFmtId="185" fontId="0" fillId="0" borderId="0" xfId="0" quotePrefix="1" applyNumberFormat="1">
      <alignment vertical="center"/>
    </xf>
    <xf numFmtId="0" fontId="0" fillId="2" borderId="0" xfId="0" quotePrefix="1" applyFill="1">
      <alignment vertical="center"/>
    </xf>
    <xf numFmtId="0" fontId="0" fillId="2" borderId="0" xfId="0" applyFill="1">
      <alignment vertical="center"/>
    </xf>
    <xf numFmtId="184" fontId="0" fillId="2" borderId="1" xfId="0" applyNumberFormat="1" applyFill="1" applyBorder="1">
      <alignment vertical="center"/>
    </xf>
    <xf numFmtId="0" fontId="13" fillId="0" borderId="0" xfId="0" applyFont="1">
      <alignment vertical="center"/>
    </xf>
    <xf numFmtId="10" fontId="0" fillId="0" borderId="0" xfId="0" applyNumberFormat="1" applyBorder="1" applyAlignment="1">
      <alignment horizontal="center" vertical="center"/>
    </xf>
    <xf numFmtId="10" fontId="0" fillId="9" borderId="1" xfId="0" applyNumberFormat="1" applyFill="1" applyBorder="1" applyAlignment="1">
      <alignment horizontal="center" vertical="center"/>
    </xf>
    <xf numFmtId="0" fontId="0" fillId="0" borderId="1" xfId="0" applyFill="1" applyBorder="1">
      <alignment vertical="center"/>
    </xf>
    <xf numFmtId="0" fontId="0" fillId="14" borderId="1" xfId="0" applyFill="1" applyBorder="1">
      <alignment vertical="center"/>
    </xf>
    <xf numFmtId="184" fontId="0" fillId="8" borderId="0" xfId="0" applyNumberFormat="1" applyFill="1" applyBorder="1">
      <alignment vertical="center"/>
    </xf>
    <xf numFmtId="186" fontId="2" fillId="9" borderId="1" xfId="0" applyNumberFormat="1" applyFont="1" applyFill="1" applyBorder="1" applyAlignment="1">
      <alignment horizontal="center" vertical="center"/>
    </xf>
    <xf numFmtId="179" fontId="0" fillId="0" borderId="10" xfId="0" applyNumberFormat="1" applyBorder="1">
      <alignment vertical="center"/>
    </xf>
    <xf numFmtId="0" fontId="3" fillId="0" borderId="0" xfId="0" applyFont="1">
      <alignment vertical="center"/>
    </xf>
    <xf numFmtId="0" fontId="3" fillId="0" borderId="1" xfId="0" applyFont="1" applyBorder="1" applyAlignment="1">
      <alignment horizontal="center" vertical="center"/>
    </xf>
    <xf numFmtId="0" fontId="3" fillId="7" borderId="1" xfId="0" applyFont="1" applyFill="1" applyBorder="1" applyAlignment="1">
      <alignment horizontal="center" vertical="center"/>
    </xf>
    <xf numFmtId="176" fontId="3" fillId="0" borderId="1" xfId="0" applyNumberFormat="1" applyFont="1" applyBorder="1" applyAlignment="1">
      <alignment horizontal="center" vertical="center"/>
    </xf>
    <xf numFmtId="10" fontId="3" fillId="0" borderId="1" xfId="0" applyNumberFormat="1" applyFont="1" applyBorder="1" applyAlignment="1">
      <alignment horizontal="center" vertical="center"/>
    </xf>
    <xf numFmtId="0" fontId="14" fillId="0" borderId="0" xfId="0" applyFont="1">
      <alignment vertical="center"/>
    </xf>
    <xf numFmtId="0" fontId="14" fillId="2" borderId="1" xfId="0" applyFont="1" applyFill="1" applyBorder="1" applyAlignment="1">
      <alignment horizontal="center" vertical="center"/>
    </xf>
    <xf numFmtId="0" fontId="14" fillId="5" borderId="1" xfId="0" applyFont="1" applyFill="1" applyBorder="1" applyAlignment="1">
      <alignment horizontal="center" vertical="center"/>
    </xf>
    <xf numFmtId="176" fontId="14" fillId="0" borderId="1" xfId="0" applyNumberFormat="1" applyFont="1" applyBorder="1" applyAlignment="1">
      <alignment horizontal="center" vertical="center"/>
    </xf>
    <xf numFmtId="0" fontId="14" fillId="0" borderId="1" xfId="0" applyFont="1" applyBorder="1" applyAlignment="1">
      <alignment horizontal="center" vertical="center"/>
    </xf>
    <xf numFmtId="10" fontId="14" fillId="0" borderId="1" xfId="0" applyNumberFormat="1" applyFont="1" applyBorder="1" applyAlignment="1">
      <alignment horizontal="center" vertical="center"/>
    </xf>
    <xf numFmtId="0" fontId="15" fillId="0" borderId="0" xfId="0" applyFont="1">
      <alignment vertical="center"/>
    </xf>
    <xf numFmtId="0" fontId="16" fillId="0" borderId="0" xfId="0" applyFont="1">
      <alignment vertical="center"/>
    </xf>
    <xf numFmtId="0" fontId="17" fillId="0" borderId="0" xfId="0" applyFont="1">
      <alignment vertical="center"/>
    </xf>
    <xf numFmtId="0" fontId="16" fillId="2" borderId="1" xfId="0" applyFont="1" applyFill="1" applyBorder="1" applyAlignment="1">
      <alignment horizontal="center" vertical="center"/>
    </xf>
    <xf numFmtId="0" fontId="16" fillId="5" borderId="1" xfId="0" applyFont="1" applyFill="1" applyBorder="1" applyAlignment="1">
      <alignment horizontal="center" vertical="center"/>
    </xf>
    <xf numFmtId="0" fontId="18" fillId="0" borderId="0" xfId="0" applyFont="1">
      <alignment vertical="center"/>
    </xf>
    <xf numFmtId="0" fontId="19" fillId="0" borderId="0" xfId="0" applyFont="1">
      <alignment vertical="center"/>
    </xf>
    <xf numFmtId="176" fontId="16" fillId="0" borderId="1" xfId="0" applyNumberFormat="1" applyFont="1" applyBorder="1" applyAlignment="1">
      <alignment horizontal="center" vertical="center"/>
    </xf>
    <xf numFmtId="0" fontId="16" fillId="0" borderId="1" xfId="0" applyFont="1" applyBorder="1" applyAlignment="1">
      <alignment horizontal="center" vertical="center"/>
    </xf>
    <xf numFmtId="10" fontId="16" fillId="0" borderId="1" xfId="0" applyNumberFormat="1" applyFont="1" applyBorder="1" applyAlignment="1">
      <alignment horizontal="center" vertical="center"/>
    </xf>
    <xf numFmtId="0" fontId="19" fillId="4" borderId="2" xfId="0" applyFont="1" applyFill="1" applyBorder="1">
      <alignment vertical="center"/>
    </xf>
    <xf numFmtId="0" fontId="19" fillId="4" borderId="3" xfId="0" applyFont="1" applyFill="1" applyBorder="1">
      <alignment vertical="center"/>
    </xf>
    <xf numFmtId="0" fontId="19" fillId="4" borderId="4" xfId="0" applyFont="1" applyFill="1" applyBorder="1">
      <alignment vertical="center"/>
    </xf>
    <xf numFmtId="0" fontId="19" fillId="4" borderId="7" xfId="0" applyFont="1" applyFill="1" applyBorder="1">
      <alignment vertical="center"/>
    </xf>
    <xf numFmtId="0" fontId="19" fillId="4" borderId="8" xfId="0" applyFont="1" applyFill="1" applyBorder="1">
      <alignment vertical="center"/>
    </xf>
    <xf numFmtId="0" fontId="19" fillId="4" borderId="9" xfId="0" applyFont="1" applyFill="1" applyBorder="1">
      <alignment vertical="center"/>
    </xf>
    <xf numFmtId="0" fontId="19" fillId="8" borderId="0" xfId="0" applyFont="1" applyFill="1" applyBorder="1">
      <alignment vertical="center"/>
    </xf>
    <xf numFmtId="0" fontId="16" fillId="0" borderId="0" xfId="0" quotePrefix="1" applyFont="1" applyBorder="1" applyAlignment="1">
      <alignment horizontal="left" vertical="center"/>
    </xf>
    <xf numFmtId="183" fontId="16" fillId="0" borderId="1" xfId="0" quotePrefix="1" applyNumberFormat="1" applyFont="1" applyBorder="1" applyAlignment="1">
      <alignment horizontal="center" vertical="center"/>
    </xf>
    <xf numFmtId="183" fontId="16" fillId="0" borderId="0" xfId="0" quotePrefix="1" applyNumberFormat="1" applyFont="1" applyBorder="1" applyAlignment="1">
      <alignment horizontal="center" vertical="center"/>
    </xf>
    <xf numFmtId="178" fontId="14" fillId="0" borderId="1" xfId="0" applyNumberFormat="1" applyFont="1" applyBorder="1" applyAlignment="1">
      <alignment horizontal="center" vertical="center"/>
    </xf>
    <xf numFmtId="0" fontId="14" fillId="0" borderId="1" xfId="0" applyFont="1" applyBorder="1">
      <alignment vertical="center"/>
    </xf>
    <xf numFmtId="180" fontId="14" fillId="0" borderId="10" xfId="0" applyNumberFormat="1" applyFont="1" applyBorder="1">
      <alignment vertical="center"/>
    </xf>
    <xf numFmtId="176" fontId="20" fillId="9" borderId="1" xfId="0" applyNumberFormat="1" applyFont="1" applyFill="1" applyBorder="1" applyAlignment="1">
      <alignment horizontal="center" vertical="center"/>
    </xf>
    <xf numFmtId="176" fontId="21" fillId="8" borderId="1" xfId="0" applyNumberFormat="1" applyFont="1" applyFill="1" applyBorder="1" applyAlignment="1">
      <alignment horizontal="center" vertical="center"/>
    </xf>
    <xf numFmtId="0" fontId="14" fillId="0" borderId="0" xfId="0" quotePrefix="1" applyFont="1">
      <alignment vertical="center"/>
    </xf>
    <xf numFmtId="0" fontId="14" fillId="0" borderId="0" xfId="0" applyFont="1" applyBorder="1">
      <alignment vertical="center"/>
    </xf>
    <xf numFmtId="10" fontId="22" fillId="0" borderId="1" xfId="0" applyNumberFormat="1" applyFont="1" applyBorder="1" applyAlignment="1">
      <alignment horizontal="center" vertical="center"/>
    </xf>
    <xf numFmtId="178" fontId="22" fillId="4" borderId="1" xfId="0" applyNumberFormat="1" applyFont="1" applyFill="1" applyBorder="1" applyAlignment="1">
      <alignment horizontal="center" vertical="center"/>
    </xf>
    <xf numFmtId="0" fontId="22" fillId="0" borderId="0" xfId="0" applyFont="1">
      <alignment vertical="center"/>
    </xf>
    <xf numFmtId="178" fontId="14" fillId="0" borderId="1" xfId="0" quotePrefix="1" applyNumberFormat="1" applyFont="1" applyBorder="1" applyAlignment="1">
      <alignment horizontal="center" vertical="center"/>
    </xf>
    <xf numFmtId="178" fontId="14" fillId="0" borderId="0" xfId="0" quotePrefix="1" applyNumberFormat="1" applyFont="1" applyBorder="1" applyAlignment="1">
      <alignment horizontal="left" vertical="center"/>
    </xf>
    <xf numFmtId="0" fontId="23" fillId="11" borderId="1" xfId="0" applyFont="1" applyFill="1" applyBorder="1" applyAlignment="1">
      <alignment horizontal="center" vertical="center"/>
    </xf>
    <xf numFmtId="0" fontId="24" fillId="0" borderId="0" xfId="0" applyFont="1">
      <alignment vertical="center"/>
    </xf>
    <xf numFmtId="0" fontId="24" fillId="0" borderId="0" xfId="0" quotePrefix="1" applyFont="1">
      <alignment vertical="center"/>
    </xf>
    <xf numFmtId="180" fontId="24" fillId="0" borderId="10" xfId="0" applyNumberFormat="1" applyFont="1" applyBorder="1">
      <alignment vertical="center"/>
    </xf>
    <xf numFmtId="0" fontId="26" fillId="0" borderId="0" xfId="0" applyFont="1">
      <alignment vertical="center"/>
    </xf>
    <xf numFmtId="0" fontId="27" fillId="0" borderId="0" xfId="0" applyFont="1">
      <alignment vertical="center"/>
    </xf>
    <xf numFmtId="0" fontId="16" fillId="4" borderId="3" xfId="0" applyFont="1" applyFill="1" applyBorder="1">
      <alignment vertical="center"/>
    </xf>
    <xf numFmtId="0" fontId="16" fillId="4" borderId="4" xfId="0" applyFont="1" applyFill="1" applyBorder="1">
      <alignment vertical="center"/>
    </xf>
    <xf numFmtId="0" fontId="16" fillId="4" borderId="7" xfId="0" applyFont="1" applyFill="1" applyBorder="1">
      <alignment vertical="center"/>
    </xf>
    <xf numFmtId="0" fontId="16" fillId="4" borderId="8" xfId="0" applyFont="1" applyFill="1" applyBorder="1">
      <alignment vertical="center"/>
    </xf>
    <xf numFmtId="0" fontId="16" fillId="4" borderId="9" xfId="0" applyFont="1" applyFill="1" applyBorder="1">
      <alignment vertical="center"/>
    </xf>
    <xf numFmtId="179" fontId="0" fillId="0" borderId="1" xfId="0" quotePrefix="1" applyNumberFormat="1" applyBorder="1" applyAlignment="1">
      <alignment horizontal="center" vertical="center"/>
    </xf>
    <xf numFmtId="179" fontId="3" fillId="0" borderId="0" xfId="0" quotePrefix="1" applyNumberFormat="1" applyFont="1" applyBorder="1" applyAlignment="1">
      <alignment horizontal="left" vertical="center"/>
    </xf>
    <xf numFmtId="0" fontId="16" fillId="0" borderId="0" xfId="0" applyFont="1" applyBorder="1">
      <alignment vertical="center"/>
    </xf>
    <xf numFmtId="0" fontId="3" fillId="0" borderId="0" xfId="0" quotePrefix="1" applyFont="1" applyBorder="1">
      <alignment vertical="center"/>
    </xf>
    <xf numFmtId="0" fontId="0" fillId="3" borderId="1" xfId="0" applyFill="1" applyBorder="1" applyAlignment="1">
      <alignment horizontal="center" vertical="center"/>
    </xf>
    <xf numFmtId="0" fontId="0" fillId="16" borderId="1" xfId="0" applyFill="1" applyBorder="1" applyAlignment="1">
      <alignment horizontal="center" vertical="center"/>
    </xf>
    <xf numFmtId="177" fontId="5" fillId="8" borderId="1" xfId="0" quotePrefix="1" applyNumberFormat="1" applyFont="1" applyFill="1" applyBorder="1" applyAlignment="1">
      <alignment horizontal="center" vertical="center"/>
    </xf>
    <xf numFmtId="177" fontId="30" fillId="8" borderId="0" xfId="0" quotePrefix="1" applyNumberFormat="1" applyFont="1" applyFill="1" applyBorder="1" applyAlignment="1">
      <alignment horizontal="left" vertical="center"/>
    </xf>
    <xf numFmtId="0" fontId="16" fillId="0" borderId="0" xfId="0" applyFont="1" applyAlignment="1">
      <alignment horizontal="left" vertical="center"/>
    </xf>
    <xf numFmtId="0" fontId="29" fillId="0" borderId="0" xfId="0" applyFont="1">
      <alignment vertical="center"/>
    </xf>
    <xf numFmtId="0" fontId="16" fillId="0" borderId="0" xfId="0" applyFont="1" applyAlignment="1">
      <alignment horizontal="center" vertical="center"/>
    </xf>
    <xf numFmtId="9" fontId="16" fillId="0" borderId="1" xfId="0" applyNumberFormat="1" applyFont="1" applyBorder="1" applyAlignment="1">
      <alignment horizontal="center" vertical="center"/>
    </xf>
    <xf numFmtId="178" fontId="16" fillId="0" borderId="1" xfId="0" applyNumberFormat="1" applyFont="1" applyBorder="1" applyAlignment="1">
      <alignment horizontal="center" vertical="center"/>
    </xf>
    <xf numFmtId="0" fontId="31" fillId="5" borderId="1" xfId="0" applyFont="1" applyFill="1" applyBorder="1" applyAlignment="1">
      <alignment horizontal="center" vertical="center"/>
    </xf>
    <xf numFmtId="0" fontId="16" fillId="17" borderId="1" xfId="0" applyFont="1" applyFill="1" applyBorder="1" applyAlignment="1">
      <alignment horizontal="center" vertical="center"/>
    </xf>
    <xf numFmtId="178" fontId="16" fillId="0" borderId="1" xfId="0" quotePrefix="1" applyNumberFormat="1" applyFont="1" applyBorder="1" applyAlignment="1">
      <alignment horizontal="center" vertical="center"/>
    </xf>
    <xf numFmtId="178" fontId="16" fillId="0" borderId="0" xfId="0" quotePrefix="1" applyNumberFormat="1" applyFont="1" applyBorder="1" applyAlignment="1">
      <alignment horizontal="left" vertical="center"/>
    </xf>
    <xf numFmtId="0" fontId="16" fillId="13" borderId="0" xfId="0" applyFont="1" applyFill="1">
      <alignment vertical="center"/>
    </xf>
    <xf numFmtId="0" fontId="16" fillId="0" borderId="0" xfId="0" quotePrefix="1" applyFont="1">
      <alignment vertical="center"/>
    </xf>
    <xf numFmtId="0" fontId="16" fillId="0" borderId="0" xfId="0" applyFont="1" applyAlignment="1">
      <alignment horizontal="right" vertical="center"/>
    </xf>
    <xf numFmtId="0" fontId="25" fillId="8" borderId="0" xfId="0" applyFont="1" applyFill="1">
      <alignment vertical="center"/>
    </xf>
    <xf numFmtId="0" fontId="16" fillId="0" borderId="1" xfId="0" applyFont="1" applyBorder="1">
      <alignment vertical="center"/>
    </xf>
    <xf numFmtId="0" fontId="16" fillId="16" borderId="1" xfId="0" applyFont="1" applyFill="1" applyBorder="1" applyAlignment="1">
      <alignment horizontal="center" vertical="center"/>
    </xf>
    <xf numFmtId="0" fontId="14" fillId="0" borderId="0" xfId="0" applyFont="1" applyBorder="1" applyAlignment="1">
      <alignment horizontal="left" vertical="center"/>
    </xf>
    <xf numFmtId="0" fontId="16" fillId="0" borderId="1" xfId="0" quotePrefix="1" applyFont="1" applyBorder="1">
      <alignment vertical="center"/>
    </xf>
    <xf numFmtId="0" fontId="16" fillId="5" borderId="1" xfId="0" applyFont="1" applyFill="1" applyBorder="1">
      <alignment vertical="center"/>
    </xf>
    <xf numFmtId="0" fontId="16" fillId="10" borderId="1" xfId="0" applyFont="1" applyFill="1" applyBorder="1" applyAlignment="1">
      <alignment horizontal="center" vertical="center"/>
    </xf>
    <xf numFmtId="0" fontId="16" fillId="18" borderId="1" xfId="0" applyFont="1" applyFill="1" applyBorder="1" applyAlignment="1">
      <alignment horizontal="center" vertical="center"/>
    </xf>
    <xf numFmtId="0" fontId="14" fillId="18" borderId="1" xfId="0" applyFont="1" applyFill="1" applyBorder="1" applyAlignment="1">
      <alignment horizontal="center" vertical="center"/>
    </xf>
    <xf numFmtId="2" fontId="16" fillId="16" borderId="1" xfId="0" applyNumberFormat="1" applyFont="1" applyFill="1" applyBorder="1" applyAlignment="1">
      <alignment horizontal="center" vertical="center"/>
    </xf>
    <xf numFmtId="0" fontId="16" fillId="0" borderId="0" xfId="0" quotePrefix="1" applyFont="1" applyBorder="1">
      <alignment vertical="center"/>
    </xf>
    <xf numFmtId="0" fontId="22" fillId="8" borderId="0" xfId="0" applyFont="1" applyFill="1" applyBorder="1" applyAlignment="1">
      <alignment horizontal="center" vertical="center"/>
    </xf>
    <xf numFmtId="0" fontId="29" fillId="4" borderId="2" xfId="0" applyFont="1" applyFill="1" applyBorder="1">
      <alignment vertical="center"/>
    </xf>
    <xf numFmtId="187" fontId="16" fillId="0" borderId="1" xfId="0" applyNumberFormat="1" applyFont="1" applyBorder="1" applyAlignment="1">
      <alignment horizontal="center" vertical="center"/>
    </xf>
    <xf numFmtId="0" fontId="16" fillId="8" borderId="0" xfId="0" applyFont="1" applyFill="1">
      <alignment vertical="center"/>
    </xf>
    <xf numFmtId="2" fontId="16" fillId="0" borderId="1" xfId="0" applyNumberFormat="1" applyFont="1" applyBorder="1" applyAlignment="1">
      <alignment horizontal="center" vertical="center"/>
    </xf>
    <xf numFmtId="0" fontId="16" fillId="19" borderId="1" xfId="0" applyFont="1" applyFill="1" applyBorder="1" applyAlignment="1">
      <alignment horizontal="center" vertical="center"/>
    </xf>
    <xf numFmtId="0" fontId="27" fillId="3" borderId="1" xfId="0" applyFont="1" applyFill="1" applyBorder="1" applyAlignment="1">
      <alignment horizontal="center" vertical="center"/>
    </xf>
    <xf numFmtId="0" fontId="32" fillId="0" borderId="0" xfId="0" applyFont="1">
      <alignment vertical="center"/>
    </xf>
    <xf numFmtId="0" fontId="32" fillId="0" borderId="1" xfId="0" applyFont="1" applyBorder="1">
      <alignment vertical="center"/>
    </xf>
    <xf numFmtId="0" fontId="32" fillId="0" borderId="1" xfId="0" quotePrefix="1" applyFont="1" applyBorder="1">
      <alignment vertical="center"/>
    </xf>
    <xf numFmtId="0" fontId="16" fillId="18" borderId="1" xfId="0" applyFont="1" applyFill="1" applyBorder="1">
      <alignment vertical="center"/>
    </xf>
    <xf numFmtId="0" fontId="16" fillId="8" borderId="0" xfId="0" applyFont="1" applyFill="1" applyBorder="1" applyAlignment="1">
      <alignment horizontal="center" vertical="center"/>
    </xf>
    <xf numFmtId="0" fontId="16" fillId="8" borderId="0" xfId="0" applyFont="1" applyFill="1" applyBorder="1">
      <alignment vertical="center"/>
    </xf>
    <xf numFmtId="0" fontId="32" fillId="8" borderId="0" xfId="0" applyFont="1" applyFill="1" applyBorder="1">
      <alignment vertical="center"/>
    </xf>
    <xf numFmtId="0" fontId="16" fillId="4" borderId="2" xfId="0" applyFont="1" applyFill="1" applyBorder="1">
      <alignment vertical="center"/>
    </xf>
    <xf numFmtId="0" fontId="16" fillId="4" borderId="5" xfId="0" applyFont="1" applyFill="1" applyBorder="1">
      <alignment vertical="center"/>
    </xf>
    <xf numFmtId="0" fontId="16" fillId="4" borderId="0" xfId="0" applyFont="1" applyFill="1" applyBorder="1">
      <alignment vertical="center"/>
    </xf>
    <xf numFmtId="0" fontId="16" fillId="4" borderId="6" xfId="0" applyFont="1" applyFill="1" applyBorder="1">
      <alignment vertical="center"/>
    </xf>
    <xf numFmtId="1" fontId="16" fillId="0" borderId="1" xfId="0" quotePrefix="1" applyNumberFormat="1" applyFont="1" applyBorder="1" applyAlignment="1">
      <alignment horizontal="center" vertical="center"/>
    </xf>
    <xf numFmtId="180" fontId="0" fillId="0" borderId="1" xfId="0" applyNumberFormat="1" applyBorder="1" applyAlignment="1">
      <alignment horizontal="center" vertical="center"/>
    </xf>
    <xf numFmtId="180" fontId="0" fillId="0" borderId="1" xfId="0" quotePrefix="1" applyNumberFormat="1" applyBorder="1" applyAlignment="1">
      <alignment horizontal="center" vertical="center"/>
    </xf>
    <xf numFmtId="177" fontId="5" fillId="4" borderId="1" xfId="0" applyNumberFormat="1" applyFont="1" applyFill="1" applyBorder="1" applyAlignment="1">
      <alignment horizontal="center" vertical="center"/>
    </xf>
    <xf numFmtId="0" fontId="0" fillId="4" borderId="1" xfId="0" applyFill="1" applyBorder="1" applyAlignment="1">
      <alignment horizontal="center" vertical="center"/>
    </xf>
    <xf numFmtId="180" fontId="0" fillId="4" borderId="1" xfId="0" applyNumberFormat="1" applyFill="1" applyBorder="1" applyAlignment="1">
      <alignment horizontal="center" vertical="center"/>
    </xf>
    <xf numFmtId="179" fontId="16" fillId="0" borderId="1" xfId="0" applyNumberFormat="1" applyFont="1" applyBorder="1" applyAlignment="1">
      <alignment horizontal="center" vertical="center"/>
    </xf>
    <xf numFmtId="188" fontId="16" fillId="0" borderId="1" xfId="0" applyNumberFormat="1" applyFont="1" applyBorder="1" applyAlignment="1">
      <alignment horizontal="center" vertical="center"/>
    </xf>
    <xf numFmtId="177" fontId="5" fillId="16" borderId="1" xfId="0" applyNumberFormat="1" applyFont="1" applyFill="1" applyBorder="1" applyAlignment="1">
      <alignment horizontal="center" vertical="center"/>
    </xf>
    <xf numFmtId="180" fontId="0" fillId="16" borderId="1" xfId="0" applyNumberFormat="1" applyFill="1" applyBorder="1" applyAlignment="1">
      <alignment horizontal="center" vertical="center"/>
    </xf>
    <xf numFmtId="0" fontId="3" fillId="4" borderId="14" xfId="0" applyFont="1" applyFill="1" applyBorder="1">
      <alignment vertical="center"/>
    </xf>
    <xf numFmtId="0" fontId="14" fillId="4" borderId="15" xfId="0" applyFont="1" applyFill="1" applyBorder="1">
      <alignment vertical="center"/>
    </xf>
    <xf numFmtId="0" fontId="16" fillId="0" borderId="10" xfId="0" applyFont="1" applyBorder="1">
      <alignment vertical="center"/>
    </xf>
    <xf numFmtId="0" fontId="16" fillId="4" borderId="10" xfId="0" applyFont="1" applyFill="1" applyBorder="1">
      <alignment vertical="center"/>
    </xf>
    <xf numFmtId="0" fontId="16" fillId="0" borderId="15" xfId="0" applyFont="1" applyBorder="1">
      <alignment vertical="center"/>
    </xf>
    <xf numFmtId="189" fontId="0" fillId="0" borderId="0" xfId="0" applyNumberFormat="1">
      <alignment vertical="center"/>
    </xf>
    <xf numFmtId="0" fontId="33" fillId="0" borderId="0" xfId="0" applyFont="1">
      <alignment vertical="center"/>
    </xf>
    <xf numFmtId="0" fontId="3" fillId="0" borderId="1" xfId="0" applyFont="1" applyBorder="1">
      <alignment vertical="center"/>
    </xf>
    <xf numFmtId="0" fontId="34" fillId="0" borderId="0" xfId="0" applyFont="1">
      <alignment vertical="center"/>
    </xf>
    <xf numFmtId="0" fontId="3" fillId="5" borderId="1" xfId="0" applyFont="1" applyFill="1" applyBorder="1">
      <alignment vertical="center"/>
    </xf>
    <xf numFmtId="180" fontId="3" fillId="0" borderId="1" xfId="0" applyNumberFormat="1" applyFont="1" applyBorder="1">
      <alignment vertical="center"/>
    </xf>
    <xf numFmtId="0" fontId="35" fillId="0" borderId="0" xfId="0" applyFont="1">
      <alignment vertical="center"/>
    </xf>
    <xf numFmtId="0" fontId="36" fillId="0" borderId="0" xfId="0" applyFont="1">
      <alignment vertical="center"/>
    </xf>
    <xf numFmtId="0" fontId="3" fillId="2" borderId="1" xfId="0" applyFont="1" applyFill="1" applyBorder="1">
      <alignment vertical="center"/>
    </xf>
    <xf numFmtId="0" fontId="3" fillId="0" borderId="2" xfId="0" applyFont="1" applyBorder="1">
      <alignment vertical="center"/>
    </xf>
    <xf numFmtId="0" fontId="3" fillId="0" borderId="4" xfId="0" applyFont="1" applyBorder="1">
      <alignment vertical="center"/>
    </xf>
    <xf numFmtId="0" fontId="3" fillId="0" borderId="5" xfId="0" applyFont="1" applyBorder="1">
      <alignment vertical="center"/>
    </xf>
    <xf numFmtId="0" fontId="3" fillId="0" borderId="6" xfId="0" applyFont="1" applyBorder="1">
      <alignment vertical="center"/>
    </xf>
    <xf numFmtId="0" fontId="3" fillId="0" borderId="7" xfId="0" applyFont="1" applyBorder="1">
      <alignment vertical="center"/>
    </xf>
    <xf numFmtId="0" fontId="3" fillId="0" borderId="9" xfId="0" applyFont="1" applyBorder="1">
      <alignment vertical="center"/>
    </xf>
    <xf numFmtId="0" fontId="3" fillId="4" borderId="2" xfId="0" applyFont="1" applyFill="1" applyBorder="1">
      <alignment vertical="center"/>
    </xf>
    <xf numFmtId="0" fontId="3" fillId="4" borderId="4" xfId="0" applyFont="1" applyFill="1" applyBorder="1">
      <alignment vertical="center"/>
    </xf>
    <xf numFmtId="0" fontId="3" fillId="4" borderId="5" xfId="0" applyFont="1" applyFill="1" applyBorder="1">
      <alignment vertical="center"/>
    </xf>
    <xf numFmtId="0" fontId="3" fillId="4" borderId="6" xfId="0" applyFont="1" applyFill="1" applyBorder="1">
      <alignment vertical="center"/>
    </xf>
    <xf numFmtId="0" fontId="3" fillId="4" borderId="7" xfId="0" applyFont="1" applyFill="1" applyBorder="1">
      <alignment vertical="center"/>
    </xf>
    <xf numFmtId="0" fontId="3" fillId="4" borderId="9" xfId="0" applyFont="1" applyFill="1" applyBorder="1">
      <alignment vertical="center"/>
    </xf>
    <xf numFmtId="0" fontId="34" fillId="4" borderId="2" xfId="0" applyFont="1" applyFill="1" applyBorder="1">
      <alignment vertical="center"/>
    </xf>
    <xf numFmtId="0" fontId="3" fillId="4" borderId="3" xfId="0" applyFont="1" applyFill="1" applyBorder="1">
      <alignment vertical="center"/>
    </xf>
    <xf numFmtId="0" fontId="34" fillId="4" borderId="5" xfId="0" applyFont="1" applyFill="1" applyBorder="1">
      <alignment vertical="center"/>
    </xf>
    <xf numFmtId="0" fontId="3" fillId="4" borderId="0" xfId="0" applyFont="1" applyFill="1" applyBorder="1">
      <alignment vertical="center"/>
    </xf>
    <xf numFmtId="0" fontId="34" fillId="4" borderId="7" xfId="0" applyFont="1" applyFill="1" applyBorder="1">
      <alignment vertical="center"/>
    </xf>
    <xf numFmtId="0" fontId="3" fillId="4" borderId="8" xfId="0" applyFont="1" applyFill="1" applyBorder="1">
      <alignment vertical="center"/>
    </xf>
    <xf numFmtId="0" fontId="38" fillId="13" borderId="0" xfId="0" applyFont="1" applyFill="1">
      <alignment vertical="center"/>
    </xf>
    <xf numFmtId="0" fontId="3" fillId="0" borderId="0" xfId="0" applyFont="1" applyAlignment="1">
      <alignment horizontal="center" vertical="center"/>
    </xf>
    <xf numFmtId="0" fontId="3" fillId="5" borderId="1" xfId="0" applyFont="1" applyFill="1" applyBorder="1" applyAlignment="1">
      <alignment horizontal="center" vertical="center"/>
    </xf>
    <xf numFmtId="0" fontId="3" fillId="0" borderId="0" xfId="0" quotePrefix="1" applyFont="1" applyBorder="1" applyAlignment="1">
      <alignment horizontal="left" vertical="center"/>
    </xf>
    <xf numFmtId="190" fontId="3" fillId="0" borderId="1" xfId="0" quotePrefix="1" applyNumberFormat="1" applyFont="1" applyBorder="1" applyAlignment="1">
      <alignment horizontal="center" vertical="center"/>
    </xf>
    <xf numFmtId="191" fontId="3" fillId="0" borderId="1" xfId="0" quotePrefix="1" applyNumberFormat="1" applyFont="1" applyBorder="1" applyAlignment="1">
      <alignment horizontal="center" vertical="center"/>
    </xf>
    <xf numFmtId="183" fontId="3" fillId="0" borderId="1" xfId="0" quotePrefix="1" applyNumberFormat="1" applyFont="1" applyBorder="1" applyAlignment="1">
      <alignment horizontal="center" vertical="center"/>
    </xf>
    <xf numFmtId="0" fontId="3" fillId="0" borderId="1" xfId="0" quotePrefix="1" applyFont="1" applyBorder="1">
      <alignment vertical="center"/>
    </xf>
    <xf numFmtId="187" fontId="3" fillId="0" borderId="1" xfId="0" applyNumberFormat="1" applyFont="1" applyBorder="1" applyAlignment="1">
      <alignment horizontal="center" vertical="center"/>
    </xf>
    <xf numFmtId="0" fontId="3" fillId="7" borderId="1" xfId="0" applyFont="1" applyFill="1" applyBorder="1">
      <alignment vertical="center"/>
    </xf>
    <xf numFmtId="0" fontId="3" fillId="0" borderId="0" xfId="0" applyFont="1" applyBorder="1">
      <alignment vertical="center"/>
    </xf>
    <xf numFmtId="0" fontId="3" fillId="4" borderId="1" xfId="0" applyFont="1" applyFill="1" applyBorder="1" applyAlignment="1">
      <alignment horizontal="center" vertical="center"/>
    </xf>
    <xf numFmtId="0" fontId="3" fillId="4" borderId="1" xfId="0" applyFont="1" applyFill="1" applyBorder="1">
      <alignment vertical="center"/>
    </xf>
    <xf numFmtId="0" fontId="39" fillId="4" borderId="2" xfId="0" applyFont="1" applyFill="1" applyBorder="1">
      <alignment vertical="center"/>
    </xf>
    <xf numFmtId="0" fontId="3" fillId="0" borderId="8" xfId="0" applyFont="1" applyBorder="1">
      <alignment vertical="center"/>
    </xf>
    <xf numFmtId="0" fontId="40" fillId="4" borderId="2" xfId="0" applyFont="1" applyFill="1" applyBorder="1">
      <alignment vertical="center"/>
    </xf>
    <xf numFmtId="189" fontId="3" fillId="0" borderId="1" xfId="0" applyNumberFormat="1" applyFont="1" applyBorder="1">
      <alignment vertical="center"/>
    </xf>
    <xf numFmtId="183" fontId="3" fillId="0" borderId="0" xfId="0" quotePrefix="1" applyNumberFormat="1" applyFont="1" applyBorder="1" applyAlignment="1">
      <alignment vertical="center"/>
    </xf>
    <xf numFmtId="192" fontId="3" fillId="0" borderId="0" xfId="0" quotePrefix="1" applyNumberFormat="1" applyFont="1" applyBorder="1" applyAlignment="1">
      <alignment vertical="center"/>
    </xf>
    <xf numFmtId="0" fontId="3" fillId="0" borderId="0" xfId="0" applyFont="1" applyBorder="1" applyAlignment="1">
      <alignment vertical="center"/>
    </xf>
    <xf numFmtId="0" fontId="3" fillId="14" borderId="1" xfId="0" quotePrefix="1" applyFont="1" applyFill="1" applyBorder="1">
      <alignment vertical="center"/>
    </xf>
    <xf numFmtId="0" fontId="41" fillId="0" borderId="0" xfId="0" applyFont="1">
      <alignment vertical="center"/>
    </xf>
    <xf numFmtId="176" fontId="3" fillId="5" borderId="0" xfId="0" applyNumberFormat="1" applyFont="1" applyFill="1">
      <alignment vertical="center"/>
    </xf>
    <xf numFmtId="0" fontId="3" fillId="0" borderId="0" xfId="0" applyFont="1" applyAlignment="1">
      <alignment horizontal="left" vertical="center"/>
    </xf>
    <xf numFmtId="0" fontId="34" fillId="0" borderId="3" xfId="0" applyFont="1" applyBorder="1">
      <alignment vertical="center"/>
    </xf>
    <xf numFmtId="176" fontId="3" fillId="5" borderId="0" xfId="0" applyNumberFormat="1" applyFont="1" applyFill="1" applyAlignment="1">
      <alignment horizontal="left" vertical="center"/>
    </xf>
    <xf numFmtId="0" fontId="33" fillId="0" borderId="0" xfId="0" applyFont="1" applyAlignment="1">
      <alignment horizontal="center" vertical="center"/>
    </xf>
    <xf numFmtId="0" fontId="36" fillId="0" borderId="0" xfId="0" applyFont="1" applyAlignment="1">
      <alignment horizontal="left" vertical="center"/>
    </xf>
    <xf numFmtId="189" fontId="3" fillId="7" borderId="1" xfId="0" applyNumberFormat="1" applyFont="1" applyFill="1" applyBorder="1">
      <alignment vertical="center"/>
    </xf>
    <xf numFmtId="189" fontId="3" fillId="14" borderId="1" xfId="0" quotePrefix="1" applyNumberFormat="1" applyFont="1" applyFill="1" applyBorder="1">
      <alignment vertical="center"/>
    </xf>
    <xf numFmtId="0" fontId="3" fillId="2" borderId="5" xfId="0" applyFont="1" applyFill="1" applyBorder="1">
      <alignment vertical="center"/>
    </xf>
    <xf numFmtId="0" fontId="3" fillId="2" borderId="0" xfId="0" applyFont="1" applyFill="1" applyBorder="1">
      <alignment vertical="center"/>
    </xf>
    <xf numFmtId="0" fontId="3" fillId="18" borderId="0" xfId="0" applyFont="1" applyFill="1">
      <alignment vertical="center"/>
    </xf>
    <xf numFmtId="0" fontId="43" fillId="0" borderId="0" xfId="0" applyFont="1">
      <alignment vertical="center"/>
    </xf>
    <xf numFmtId="0" fontId="3" fillId="4" borderId="16" xfId="0" applyFont="1" applyFill="1" applyBorder="1">
      <alignment vertical="center"/>
    </xf>
    <xf numFmtId="0" fontId="3" fillId="4" borderId="17" xfId="0" applyFont="1" applyFill="1" applyBorder="1">
      <alignment vertical="center"/>
    </xf>
    <xf numFmtId="0" fontId="44" fillId="4" borderId="18" xfId="0" applyFont="1" applyFill="1" applyBorder="1">
      <alignment vertical="center"/>
    </xf>
    <xf numFmtId="0" fontId="3" fillId="4" borderId="19" xfId="0" applyFont="1" applyFill="1" applyBorder="1">
      <alignment vertical="center"/>
    </xf>
    <xf numFmtId="0" fontId="3" fillId="4" borderId="20" xfId="0" applyFont="1" applyFill="1" applyBorder="1">
      <alignment vertical="center"/>
    </xf>
    <xf numFmtId="0" fontId="3" fillId="4" borderId="21" xfId="0" applyFont="1" applyFill="1" applyBorder="1">
      <alignment vertical="center"/>
    </xf>
    <xf numFmtId="0" fontId="46" fillId="0" borderId="0" xfId="0" applyFont="1">
      <alignment vertical="center"/>
    </xf>
    <xf numFmtId="0" fontId="47" fillId="0" borderId="0" xfId="0" applyFont="1">
      <alignment vertical="center"/>
    </xf>
    <xf numFmtId="0" fontId="48" fillId="0" borderId="0" xfId="0" applyFont="1">
      <alignment vertical="center"/>
    </xf>
    <xf numFmtId="0" fontId="3" fillId="20" borderId="1" xfId="0" applyFont="1" applyFill="1" applyBorder="1" applyAlignment="1">
      <alignment horizontal="center" vertical="center"/>
    </xf>
    <xf numFmtId="183" fontId="3" fillId="0" borderId="1" xfId="0" applyNumberFormat="1" applyFont="1" applyBorder="1" applyAlignment="1">
      <alignment horizontal="center" vertical="center"/>
    </xf>
    <xf numFmtId="0" fontId="51" fillId="0" borderId="0" xfId="0" applyFont="1">
      <alignment vertical="center"/>
    </xf>
    <xf numFmtId="0" fontId="3" fillId="19" borderId="2" xfId="0" applyFont="1" applyFill="1" applyBorder="1">
      <alignment vertical="center"/>
    </xf>
    <xf numFmtId="0" fontId="3" fillId="19" borderId="3" xfId="0" applyFont="1" applyFill="1" applyBorder="1">
      <alignment vertical="center"/>
    </xf>
    <xf numFmtId="0" fontId="3" fillId="19" borderId="4" xfId="0" applyFont="1" applyFill="1" applyBorder="1">
      <alignment vertical="center"/>
    </xf>
    <xf numFmtId="0" fontId="3" fillId="19" borderId="5" xfId="0" applyFont="1" applyFill="1" applyBorder="1">
      <alignment vertical="center"/>
    </xf>
    <xf numFmtId="0" fontId="3" fillId="19" borderId="0" xfId="0" applyFont="1" applyFill="1" applyBorder="1">
      <alignment vertical="center"/>
    </xf>
    <xf numFmtId="0" fontId="3" fillId="19" borderId="6" xfId="0" applyFont="1" applyFill="1" applyBorder="1">
      <alignment vertical="center"/>
    </xf>
    <xf numFmtId="0" fontId="3" fillId="19" borderId="7" xfId="0" applyFont="1" applyFill="1" applyBorder="1">
      <alignment vertical="center"/>
    </xf>
    <xf numFmtId="0" fontId="3" fillId="19" borderId="8" xfId="0" applyFont="1" applyFill="1" applyBorder="1">
      <alignment vertical="center"/>
    </xf>
    <xf numFmtId="0" fontId="3" fillId="19" borderId="9" xfId="0" applyFont="1" applyFill="1" applyBorder="1">
      <alignment vertical="center"/>
    </xf>
    <xf numFmtId="0" fontId="3" fillId="5" borderId="0" xfId="0" applyFont="1" applyFill="1">
      <alignment vertical="center"/>
    </xf>
    <xf numFmtId="0" fontId="3" fillId="8" borderId="1" xfId="0" applyFont="1" applyFill="1" applyBorder="1" applyAlignment="1">
      <alignment horizontal="center" vertical="center"/>
    </xf>
    <xf numFmtId="0" fontId="53" fillId="0" borderId="0" xfId="0" applyFont="1">
      <alignment vertical="center"/>
    </xf>
    <xf numFmtId="0" fontId="6" fillId="4" borderId="5" xfId="0" applyFont="1" applyFill="1" applyBorder="1">
      <alignment vertical="center"/>
    </xf>
    <xf numFmtId="0" fontId="52" fillId="4" borderId="0" xfId="0" applyFont="1" applyFill="1" applyBorder="1">
      <alignment vertical="center"/>
    </xf>
    <xf numFmtId="0" fontId="42" fillId="4" borderId="5" xfId="0" applyFont="1" applyFill="1" applyBorder="1">
      <alignment vertical="center"/>
    </xf>
    <xf numFmtId="0" fontId="42" fillId="4" borderId="0" xfId="0" applyFont="1" applyFill="1" applyBorder="1">
      <alignment vertical="center"/>
    </xf>
    <xf numFmtId="179" fontId="3" fillId="18" borderId="0" xfId="0" applyNumberFormat="1" applyFont="1" applyFill="1">
      <alignment vertical="center"/>
    </xf>
    <xf numFmtId="182" fontId="3" fillId="5" borderId="1" xfId="0" applyNumberFormat="1" applyFont="1" applyFill="1" applyBorder="1">
      <alignment vertical="center"/>
    </xf>
    <xf numFmtId="194" fontId="3" fillId="5" borderId="1" xfId="0" applyNumberFormat="1" applyFont="1" applyFill="1" applyBorder="1">
      <alignment vertical="center"/>
    </xf>
    <xf numFmtId="0" fontId="3" fillId="0" borderId="0" xfId="0" applyFont="1" applyBorder="1" applyAlignment="1">
      <alignment horizontal="center" vertical="center"/>
    </xf>
    <xf numFmtId="187" fontId="3" fillId="0" borderId="0" xfId="0" applyNumberFormat="1" applyFont="1" applyBorder="1" applyAlignment="1">
      <alignment horizontal="center" vertical="center"/>
    </xf>
    <xf numFmtId="190" fontId="3" fillId="0" borderId="0" xfId="0" quotePrefix="1" applyNumberFormat="1" applyFont="1" applyBorder="1" applyAlignment="1">
      <alignment horizontal="center" vertical="center"/>
    </xf>
    <xf numFmtId="195" fontId="3" fillId="0" borderId="1" xfId="0" applyNumberFormat="1" applyFont="1" applyBorder="1" applyAlignment="1">
      <alignment horizontal="center" vertical="center"/>
    </xf>
    <xf numFmtId="196" fontId="3" fillId="0" borderId="1" xfId="0" applyNumberFormat="1" applyFont="1" applyBorder="1" applyAlignment="1">
      <alignment horizontal="center" vertical="center"/>
    </xf>
    <xf numFmtId="196" fontId="3" fillId="0" borderId="1" xfId="0" quotePrefix="1" applyNumberFormat="1" applyFont="1" applyBorder="1" applyAlignment="1">
      <alignment horizontal="center" vertical="center"/>
    </xf>
    <xf numFmtId="196" fontId="3" fillId="0" borderId="0" xfId="0" quotePrefix="1" applyNumberFormat="1" applyFont="1" applyBorder="1" applyAlignment="1">
      <alignment horizontal="center" vertical="center"/>
    </xf>
    <xf numFmtId="190" fontId="3" fillId="0" borderId="0" xfId="0" quotePrefix="1" applyNumberFormat="1" applyFont="1" applyBorder="1" applyAlignment="1">
      <alignment horizontal="left" vertical="center"/>
    </xf>
    <xf numFmtId="190" fontId="3" fillId="18" borderId="1" xfId="0" quotePrefix="1" applyNumberFormat="1" applyFont="1" applyFill="1" applyBorder="1" applyAlignment="1">
      <alignment horizontal="center" vertical="center"/>
    </xf>
    <xf numFmtId="187" fontId="3" fillId="20" borderId="1" xfId="0" applyNumberFormat="1" applyFont="1" applyFill="1" applyBorder="1" applyAlignment="1">
      <alignment horizontal="center" vertical="center"/>
    </xf>
    <xf numFmtId="0" fontId="3" fillId="18" borderId="1" xfId="0" applyFont="1" applyFill="1" applyBorder="1" applyAlignment="1">
      <alignment horizontal="center" vertical="center"/>
    </xf>
    <xf numFmtId="0" fontId="3" fillId="18" borderId="1" xfId="0" applyFont="1" applyFill="1" applyBorder="1">
      <alignment vertical="center"/>
    </xf>
    <xf numFmtId="0" fontId="3" fillId="0" borderId="1" xfId="0" applyFont="1" applyBorder="1" applyAlignment="1">
      <alignment horizontal="left" vertical="center"/>
    </xf>
    <xf numFmtId="0" fontId="3" fillId="18" borderId="1" xfId="0" applyFont="1" applyFill="1" applyBorder="1" applyAlignment="1">
      <alignment horizontal="left" vertical="center"/>
    </xf>
    <xf numFmtId="0" fontId="3" fillId="5" borderId="0" xfId="0" applyFont="1" applyFill="1" applyAlignment="1">
      <alignment horizontal="left" vertical="center"/>
    </xf>
    <xf numFmtId="0" fontId="35" fillId="0" borderId="0" xfId="0" applyFont="1" applyAlignment="1">
      <alignment horizontal="left" vertical="center"/>
    </xf>
    <xf numFmtId="192" fontId="3" fillId="5" borderId="1" xfId="0" applyNumberFormat="1" applyFont="1" applyFill="1" applyBorder="1">
      <alignment vertical="center"/>
    </xf>
    <xf numFmtId="0" fontId="3" fillId="10" borderId="1" xfId="0" applyFont="1" applyFill="1" applyBorder="1" applyAlignment="1">
      <alignment horizontal="center" vertical="center"/>
    </xf>
    <xf numFmtId="187" fontId="3" fillId="8" borderId="1" xfId="0" applyNumberFormat="1" applyFont="1" applyFill="1" applyBorder="1" applyAlignment="1">
      <alignment horizontal="center" vertical="center"/>
    </xf>
    <xf numFmtId="0" fontId="3" fillId="18" borderId="0" xfId="0" applyFont="1" applyFill="1" applyAlignment="1">
      <alignment horizontal="center" vertical="center"/>
    </xf>
    <xf numFmtId="176" fontId="54" fillId="5" borderId="0" xfId="0" applyNumberFormat="1" applyFont="1" applyFill="1">
      <alignment vertical="center"/>
    </xf>
    <xf numFmtId="0" fontId="3" fillId="0" borderId="16" xfId="0" applyFont="1" applyBorder="1">
      <alignment vertical="center"/>
    </xf>
    <xf numFmtId="0" fontId="3" fillId="0" borderId="22" xfId="0" applyFont="1" applyBorder="1">
      <alignment vertical="center"/>
    </xf>
    <xf numFmtId="0" fontId="3" fillId="0" borderId="17" xfId="0" applyFont="1" applyBorder="1">
      <alignment vertical="center"/>
    </xf>
    <xf numFmtId="0" fontId="3" fillId="0" borderId="23" xfId="0" applyFont="1" applyBorder="1" applyAlignment="1">
      <alignment horizontal="center" vertical="center"/>
    </xf>
    <xf numFmtId="0" fontId="3" fillId="0" borderId="19" xfId="0" applyFont="1" applyBorder="1">
      <alignment vertical="center"/>
    </xf>
    <xf numFmtId="0" fontId="3" fillId="0" borderId="18" xfId="0" applyFont="1" applyBorder="1">
      <alignment vertical="center"/>
    </xf>
    <xf numFmtId="0" fontId="3" fillId="5" borderId="18" xfId="0" applyFont="1" applyFill="1" applyBorder="1" applyAlignment="1">
      <alignment horizontal="center" vertical="center"/>
    </xf>
    <xf numFmtId="0" fontId="3" fillId="0" borderId="20" xfId="0" applyFont="1" applyBorder="1">
      <alignment vertical="center"/>
    </xf>
    <xf numFmtId="0" fontId="3" fillId="0" borderId="24" xfId="0" applyFont="1" applyBorder="1">
      <alignment vertical="center"/>
    </xf>
    <xf numFmtId="0" fontId="3" fillId="0" borderId="21" xfId="0" applyFont="1" applyBorder="1">
      <alignment vertical="center"/>
    </xf>
    <xf numFmtId="0" fontId="45" fillId="0" borderId="18" xfId="0" applyFont="1" applyBorder="1">
      <alignment vertical="center"/>
    </xf>
    <xf numFmtId="10" fontId="3" fillId="0" borderId="18" xfId="0" applyNumberFormat="1" applyFont="1" applyBorder="1" applyAlignment="1">
      <alignment horizontal="center" vertical="center"/>
    </xf>
    <xf numFmtId="0" fontId="3" fillId="20" borderId="0" xfId="0" applyFont="1" applyFill="1" applyAlignment="1">
      <alignment horizontal="center" vertical="center"/>
    </xf>
    <xf numFmtId="192" fontId="3" fillId="0" borderId="1" xfId="0" quotePrefix="1" applyNumberFormat="1" applyFont="1" applyBorder="1" applyAlignment="1">
      <alignment horizontal="center" vertical="center"/>
    </xf>
    <xf numFmtId="193" fontId="3" fillId="0" borderId="1" xfId="0" quotePrefix="1" applyNumberFormat="1" applyFont="1" applyBorder="1" applyAlignment="1">
      <alignment horizontal="center" vertical="center"/>
    </xf>
    <xf numFmtId="193" fontId="3" fillId="5" borderId="0" xfId="0" applyNumberFormat="1" applyFont="1" applyFill="1" applyAlignment="1">
      <alignment horizontal="center" vertical="center"/>
    </xf>
    <xf numFmtId="10" fontId="3" fillId="0" borderId="1" xfId="0" applyNumberFormat="1" applyFont="1" applyBorder="1" applyAlignment="1">
      <alignment horizontal="left" vertical="center"/>
    </xf>
    <xf numFmtId="187" fontId="3" fillId="0" borderId="1" xfId="0" applyNumberFormat="1" applyFont="1" applyBorder="1" applyAlignment="1">
      <alignment horizontal="left" vertical="center"/>
    </xf>
    <xf numFmtId="10" fontId="3" fillId="5" borderId="0" xfId="0" applyNumberFormat="1" applyFont="1" applyFill="1" applyAlignment="1">
      <alignment horizontal="center" vertical="center"/>
    </xf>
    <xf numFmtId="0" fontId="35" fillId="0" borderId="0" xfId="0" applyFont="1" applyAlignment="1">
      <alignment horizontal="center" vertical="center"/>
    </xf>
    <xf numFmtId="193" fontId="3" fillId="0" borderId="0" xfId="0" applyNumberFormat="1" applyFont="1" applyAlignment="1">
      <alignment horizontal="center" vertical="center"/>
    </xf>
    <xf numFmtId="0" fontId="6" fillId="4" borderId="11" xfId="0" applyFont="1" applyFill="1" applyBorder="1">
      <alignment vertical="center"/>
    </xf>
    <xf numFmtId="0" fontId="3" fillId="4" borderId="12" xfId="0" applyFont="1" applyFill="1" applyBorder="1">
      <alignment vertical="center"/>
    </xf>
    <xf numFmtId="0" fontId="3" fillId="4" borderId="13" xfId="0" applyFont="1" applyFill="1" applyBorder="1">
      <alignment vertical="center"/>
    </xf>
    <xf numFmtId="178" fontId="3" fillId="0" borderId="0" xfId="0" applyNumberFormat="1" applyFont="1" applyAlignment="1">
      <alignment horizontal="center" vertical="center"/>
    </xf>
    <xf numFmtId="0" fontId="56" fillId="0" borderId="0" xfId="0" applyFont="1" applyAlignment="1">
      <alignment horizontal="left" vertical="center"/>
    </xf>
    <xf numFmtId="0" fontId="24" fillId="4" borderId="5" xfId="0" applyFont="1" applyFill="1" applyBorder="1" applyAlignment="1">
      <alignment horizontal="left" vertical="center"/>
    </xf>
    <xf numFmtId="0" fontId="57" fillId="0" borderId="0" xfId="0" applyFont="1">
      <alignment vertical="center"/>
    </xf>
    <xf numFmtId="0" fontId="33" fillId="0" borderId="0" xfId="0" applyFont="1" applyAlignment="1">
      <alignment horizontal="left" vertical="center"/>
    </xf>
    <xf numFmtId="183" fontId="3" fillId="0" borderId="0" xfId="0" quotePrefix="1" applyNumberFormat="1" applyFont="1" applyBorder="1" applyAlignment="1">
      <alignment horizontal="left" vertical="center"/>
    </xf>
    <xf numFmtId="0" fontId="3" fillId="19" borderId="2" xfId="0" applyFont="1" applyFill="1" applyBorder="1" applyAlignment="1">
      <alignment horizontal="left" vertical="center"/>
    </xf>
    <xf numFmtId="0" fontId="3" fillId="19" borderId="3" xfId="0" applyFont="1" applyFill="1" applyBorder="1" applyAlignment="1">
      <alignment horizontal="left" vertical="center"/>
    </xf>
    <xf numFmtId="0" fontId="3" fillId="19" borderId="4" xfId="0" applyFont="1" applyFill="1" applyBorder="1" applyAlignment="1">
      <alignment horizontal="left" vertical="center"/>
    </xf>
    <xf numFmtId="0" fontId="3" fillId="19" borderId="5" xfId="0" applyFont="1" applyFill="1" applyBorder="1" applyAlignment="1">
      <alignment horizontal="left" vertical="center"/>
    </xf>
    <xf numFmtId="0" fontId="3" fillId="19" borderId="0" xfId="0" applyFont="1" applyFill="1" applyBorder="1" applyAlignment="1">
      <alignment horizontal="left" vertical="center"/>
    </xf>
    <xf numFmtId="0" fontId="3" fillId="19" borderId="6" xfId="0" applyFont="1" applyFill="1" applyBorder="1" applyAlignment="1">
      <alignment horizontal="left" vertical="center"/>
    </xf>
    <xf numFmtId="176" fontId="3" fillId="19" borderId="5" xfId="0" applyNumberFormat="1" applyFont="1" applyFill="1" applyBorder="1" applyAlignment="1">
      <alignment horizontal="left" vertical="center"/>
    </xf>
    <xf numFmtId="0" fontId="3" fillId="19" borderId="7" xfId="0" applyFont="1" applyFill="1" applyBorder="1" applyAlignment="1">
      <alignment horizontal="left" vertical="center"/>
    </xf>
    <xf numFmtId="0" fontId="3" fillId="19" borderId="8" xfId="0" applyFont="1" applyFill="1" applyBorder="1" applyAlignment="1">
      <alignment horizontal="left" vertical="center"/>
    </xf>
    <xf numFmtId="0" fontId="3" fillId="19" borderId="9" xfId="0" applyFont="1" applyFill="1" applyBorder="1" applyAlignment="1">
      <alignment horizontal="left" vertical="center"/>
    </xf>
    <xf numFmtId="193" fontId="3" fillId="0" borderId="1" xfId="0" applyNumberFormat="1" applyFont="1" applyBorder="1" applyAlignment="1">
      <alignment horizontal="center" vertical="center"/>
    </xf>
    <xf numFmtId="0" fontId="3" fillId="0" borderId="0" xfId="0" quotePrefix="1" applyFont="1" applyAlignment="1">
      <alignment horizontal="left" vertical="center"/>
    </xf>
    <xf numFmtId="0" fontId="3" fillId="0" borderId="0" xfId="0" applyFont="1" applyAlignment="1">
      <alignment horizontal="right" vertical="center"/>
    </xf>
    <xf numFmtId="193" fontId="3" fillId="5" borderId="5" xfId="0" applyNumberFormat="1" applyFont="1" applyFill="1" applyBorder="1" applyAlignment="1">
      <alignment horizontal="left" vertical="center"/>
    </xf>
    <xf numFmtId="0" fontId="3" fillId="8" borderId="0" xfId="0" applyFont="1" applyFill="1" applyBorder="1" applyAlignment="1">
      <alignment horizontal="left" vertical="center"/>
    </xf>
    <xf numFmtId="176" fontId="3" fillId="8" borderId="0" xfId="0" applyNumberFormat="1" applyFont="1" applyFill="1" applyBorder="1" applyAlignment="1">
      <alignment horizontal="left" vertical="center"/>
    </xf>
    <xf numFmtId="183" fontId="3" fillId="21" borderId="1" xfId="0" quotePrefix="1" applyNumberFormat="1" applyFont="1" applyFill="1" applyBorder="1" applyAlignment="1">
      <alignment horizontal="center" vertical="center"/>
    </xf>
    <xf numFmtId="1" fontId="3" fillId="0" borderId="0" xfId="0" applyNumberFormat="1" applyFont="1">
      <alignment vertical="center"/>
    </xf>
    <xf numFmtId="3" fontId="3" fillId="0" borderId="0" xfId="0" applyNumberFormat="1" applyFont="1">
      <alignment vertical="center"/>
    </xf>
    <xf numFmtId="187" fontId="3" fillId="18" borderId="1" xfId="0" applyNumberFormat="1" applyFont="1" applyFill="1" applyBorder="1" applyAlignment="1">
      <alignment horizontal="center" vertical="center"/>
    </xf>
    <xf numFmtId="176" fontId="16" fillId="0" borderId="1" xfId="0" quotePrefix="1" applyNumberFormat="1" applyFont="1" applyBorder="1" applyAlignment="1">
      <alignment horizontal="center" vertical="center"/>
    </xf>
    <xf numFmtId="197" fontId="16" fillId="0" borderId="1" xfId="0" quotePrefix="1" applyNumberFormat="1" applyFont="1" applyBorder="1" applyAlignment="1">
      <alignment horizontal="center" vertical="center"/>
    </xf>
    <xf numFmtId="198" fontId="16" fillId="0" borderId="1" xfId="0" quotePrefix="1" applyNumberFormat="1" applyFont="1" applyBorder="1" applyAlignment="1">
      <alignment horizontal="center" vertical="center"/>
    </xf>
    <xf numFmtId="199" fontId="16" fillId="0" borderId="1" xfId="0" quotePrefix="1" applyNumberFormat="1" applyFont="1" applyBorder="1" applyAlignment="1">
      <alignment horizontal="center" vertical="center"/>
    </xf>
    <xf numFmtId="190" fontId="0" fillId="0" borderId="0" xfId="0" applyNumberFormat="1">
      <alignment vertical="center"/>
    </xf>
    <xf numFmtId="178" fontId="0" fillId="0" borderId="1" xfId="0" quotePrefix="1" applyNumberFormat="1" applyBorder="1" applyAlignment="1">
      <alignment horizontal="center" vertical="center"/>
    </xf>
    <xf numFmtId="180" fontId="16" fillId="0" borderId="1" xfId="0" applyNumberFormat="1" applyFont="1" applyBorder="1" applyAlignment="1">
      <alignment horizontal="center" vertical="center"/>
    </xf>
    <xf numFmtId="181" fontId="16" fillId="0" borderId="1" xfId="0" applyNumberFormat="1" applyFont="1" applyBorder="1" applyAlignment="1">
      <alignment horizontal="center" vertical="center"/>
    </xf>
    <xf numFmtId="200" fontId="16" fillId="0" borderId="1" xfId="0" applyNumberFormat="1" applyFont="1" applyBorder="1" applyAlignment="1">
      <alignment horizontal="center" vertical="center"/>
    </xf>
    <xf numFmtId="0" fontId="58" fillId="0" borderId="0" xfId="0" applyFont="1">
      <alignment vertical="center"/>
    </xf>
    <xf numFmtId="0" fontId="3" fillId="4" borderId="22" xfId="0" applyFont="1" applyFill="1" applyBorder="1">
      <alignment vertical="center"/>
    </xf>
    <xf numFmtId="0" fontId="3" fillId="4" borderId="18" xfId="0" applyFont="1" applyFill="1" applyBorder="1">
      <alignment vertical="center"/>
    </xf>
    <xf numFmtId="0" fontId="3" fillId="4" borderId="24" xfId="0" applyFont="1" applyFill="1" applyBorder="1">
      <alignment vertical="center"/>
    </xf>
    <xf numFmtId="0" fontId="3" fillId="0" borderId="10" xfId="0" applyFont="1" applyBorder="1" applyAlignment="1">
      <alignment horizontal="center" vertical="center"/>
    </xf>
    <xf numFmtId="0" fontId="3" fillId="0" borderId="1" xfId="0" quotePrefix="1" applyFont="1" applyBorder="1" applyAlignment="1">
      <alignment horizontal="center" vertical="center"/>
    </xf>
    <xf numFmtId="0" fontId="3" fillId="0" borderId="14" xfId="0" quotePrefix="1" applyFont="1" applyBorder="1" applyAlignment="1">
      <alignment horizontal="center" vertical="center"/>
    </xf>
    <xf numFmtId="0" fontId="35" fillId="0" borderId="1" xfId="0" applyFont="1" applyBorder="1" applyAlignment="1">
      <alignment horizontal="center" vertical="center"/>
    </xf>
    <xf numFmtId="0" fontId="42" fillId="0" borderId="1" xfId="0" applyFont="1" applyBorder="1" applyAlignment="1">
      <alignment horizontal="center" vertical="center"/>
    </xf>
    <xf numFmtId="0" fontId="35" fillId="0" borderId="1" xfId="0" quotePrefix="1" applyFont="1" applyBorder="1" applyAlignment="1">
      <alignment horizontal="center" vertical="center"/>
    </xf>
    <xf numFmtId="0" fontId="3" fillId="22" borderId="0" xfId="0" applyFont="1" applyFill="1">
      <alignment vertical="center"/>
    </xf>
    <xf numFmtId="0" fontId="3" fillId="0" borderId="14" xfId="0" applyFont="1" applyBorder="1" applyAlignment="1">
      <alignment horizontal="center" vertical="center"/>
    </xf>
    <xf numFmtId="0" fontId="3" fillId="0" borderId="26" xfId="0" applyFont="1" applyBorder="1" applyAlignment="1">
      <alignment horizontal="center" vertical="center"/>
    </xf>
    <xf numFmtId="0" fontId="3" fillId="0" borderId="27" xfId="0" applyFont="1" applyBorder="1" applyAlignment="1">
      <alignment horizontal="center" vertical="center"/>
    </xf>
    <xf numFmtId="0" fontId="3" fillId="0" borderId="25" xfId="0" applyFont="1" applyBorder="1" applyAlignment="1">
      <alignment horizontal="center" vertical="center"/>
    </xf>
    <xf numFmtId="0" fontId="43" fillId="4" borderId="16" xfId="0" applyFont="1" applyFill="1" applyBorder="1">
      <alignment vertical="center"/>
    </xf>
    <xf numFmtId="0" fontId="51" fillId="4" borderId="18" xfId="0" applyFont="1" applyFill="1" applyBorder="1">
      <alignment vertical="center"/>
    </xf>
    <xf numFmtId="201" fontId="3" fillId="0" borderId="1" xfId="0" quotePrefix="1" applyNumberFormat="1" applyFont="1" applyBorder="1" applyAlignment="1">
      <alignment horizontal="center" vertical="center"/>
    </xf>
    <xf numFmtId="0" fontId="3" fillId="2" borderId="14" xfId="0" applyFont="1" applyFill="1" applyBorder="1" applyAlignment="1">
      <alignment horizontal="center" vertical="center"/>
    </xf>
    <xf numFmtId="201" fontId="3" fillId="0" borderId="14" xfId="0" quotePrefix="1" applyNumberFormat="1" applyFont="1" applyBorder="1" applyAlignment="1">
      <alignment horizontal="center" vertical="center"/>
    </xf>
    <xf numFmtId="0" fontId="3" fillId="8" borderId="0" xfId="0" applyFont="1" applyFill="1" applyBorder="1" applyAlignment="1">
      <alignment horizontal="center" vertical="center"/>
    </xf>
    <xf numFmtId="202" fontId="3" fillId="0" borderId="1" xfId="0" applyNumberFormat="1" applyFont="1" applyBorder="1" applyAlignment="1">
      <alignment horizontal="center" vertical="center"/>
    </xf>
    <xf numFmtId="0" fontId="3" fillId="19" borderId="1" xfId="0" applyFont="1" applyFill="1" applyBorder="1" applyAlignment="1">
      <alignment horizontal="left" vertical="center"/>
    </xf>
    <xf numFmtId="0" fontId="29" fillId="4" borderId="16" xfId="0" applyFont="1" applyFill="1" applyBorder="1" applyAlignment="1">
      <alignment horizontal="center" vertical="center"/>
    </xf>
    <xf numFmtId="0" fontId="48" fillId="4" borderId="17" xfId="0" applyFont="1" applyFill="1" applyBorder="1" applyAlignment="1">
      <alignment horizontal="center" vertical="center"/>
    </xf>
    <xf numFmtId="0" fontId="48" fillId="4" borderId="18" xfId="0" applyFont="1" applyFill="1" applyBorder="1" applyAlignment="1">
      <alignment horizontal="center" vertical="center"/>
    </xf>
    <xf numFmtId="0" fontId="48" fillId="4" borderId="19" xfId="0" applyFont="1" applyFill="1" applyBorder="1" applyAlignment="1">
      <alignment horizontal="center" vertical="center"/>
    </xf>
    <xf numFmtId="0" fontId="48" fillId="4" borderId="20" xfId="0" applyFont="1" applyFill="1" applyBorder="1" applyAlignment="1">
      <alignment horizontal="center" vertical="center"/>
    </xf>
    <xf numFmtId="0" fontId="48" fillId="4" borderId="21" xfId="0" applyFont="1" applyFill="1" applyBorder="1" applyAlignment="1">
      <alignment horizontal="center" vertical="center"/>
    </xf>
    <xf numFmtId="9" fontId="0" fillId="0" borderId="1" xfId="0" applyNumberFormat="1" applyBorder="1" applyAlignment="1">
      <alignment horizontal="center" vertical="center"/>
    </xf>
    <xf numFmtId="0" fontId="0" fillId="0" borderId="1" xfId="0" quotePrefix="1" applyBorder="1">
      <alignment vertical="center"/>
    </xf>
    <xf numFmtId="1" fontId="0" fillId="0" borderId="1" xfId="0" quotePrefix="1" applyNumberFormat="1" applyBorder="1">
      <alignment vertical="center"/>
    </xf>
    <xf numFmtId="0" fontId="0" fillId="0" borderId="28" xfId="0" applyBorder="1">
      <alignment vertical="center"/>
    </xf>
    <xf numFmtId="0" fontId="0" fillId="0" borderId="29" xfId="0" applyBorder="1">
      <alignment vertical="center"/>
    </xf>
    <xf numFmtId="0" fontId="0" fillId="0" borderId="30" xfId="0" applyBorder="1">
      <alignment vertical="center"/>
    </xf>
    <xf numFmtId="0" fontId="0" fillId="0" borderId="31" xfId="0" applyBorder="1">
      <alignment vertical="center"/>
    </xf>
    <xf numFmtId="0" fontId="0" fillId="0" borderId="32" xfId="0" applyBorder="1">
      <alignment vertical="center"/>
    </xf>
    <xf numFmtId="0" fontId="0" fillId="0" borderId="33" xfId="0" applyBorder="1">
      <alignment vertical="center"/>
    </xf>
    <xf numFmtId="0" fontId="0" fillId="0" borderId="34" xfId="0" applyBorder="1">
      <alignment vertical="center"/>
    </xf>
    <xf numFmtId="0" fontId="0" fillId="0" borderId="35" xfId="0" applyBorder="1">
      <alignment vertical="center"/>
    </xf>
    <xf numFmtId="0" fontId="0" fillId="0" borderId="36" xfId="0" applyBorder="1">
      <alignment vertical="center"/>
    </xf>
    <xf numFmtId="0" fontId="0" fillId="21" borderId="1" xfId="0" applyFill="1" applyBorder="1" applyAlignment="1">
      <alignment horizontal="center" vertical="center"/>
    </xf>
    <xf numFmtId="0" fontId="0" fillId="22" borderId="0" xfId="0" applyFill="1">
      <alignment vertical="center"/>
    </xf>
    <xf numFmtId="0" fontId="3" fillId="23" borderId="1" xfId="0" applyFont="1" applyFill="1" applyBorder="1" applyAlignment="1">
      <alignment horizontal="center" vertical="center"/>
    </xf>
    <xf numFmtId="0" fontId="3" fillId="22" borderId="0" xfId="0" applyFont="1" applyFill="1" applyAlignment="1">
      <alignment horizontal="center" vertical="center"/>
    </xf>
    <xf numFmtId="0" fontId="3" fillId="5" borderId="0" xfId="0" applyFont="1" applyFill="1" applyAlignment="1">
      <alignment horizontal="center" vertical="center"/>
    </xf>
    <xf numFmtId="1" fontId="3" fillId="0" borderId="1" xfId="0" applyNumberFormat="1" applyFont="1" applyBorder="1" applyAlignment="1">
      <alignment horizontal="center" vertical="center"/>
    </xf>
    <xf numFmtId="0" fontId="42" fillId="0" borderId="0" xfId="0" applyFont="1" applyAlignment="1">
      <alignment horizontal="left" vertical="center"/>
    </xf>
    <xf numFmtId="0" fontId="3" fillId="19" borderId="0" xfId="0" applyFont="1" applyFill="1" applyAlignment="1">
      <alignment horizontal="center" vertical="center"/>
    </xf>
    <xf numFmtId="0" fontId="53" fillId="4" borderId="25" xfId="0" applyFont="1" applyFill="1" applyBorder="1" applyAlignment="1">
      <alignment horizontal="center" vertical="center"/>
    </xf>
    <xf numFmtId="0" fontId="3" fillId="19" borderId="0" xfId="0" applyFont="1" applyFill="1" applyAlignment="1">
      <alignment horizontal="left" vertical="center"/>
    </xf>
    <xf numFmtId="0" fontId="3" fillId="19" borderId="37" xfId="0" applyFont="1" applyFill="1" applyBorder="1" applyAlignment="1">
      <alignment horizontal="left" vertical="center"/>
    </xf>
    <xf numFmtId="0" fontId="3" fillId="19" borderId="38" xfId="0" applyFont="1" applyFill="1" applyBorder="1" applyAlignment="1">
      <alignment horizontal="center" vertical="center"/>
    </xf>
    <xf numFmtId="0" fontId="3" fillId="19" borderId="39" xfId="0" applyFont="1" applyFill="1" applyBorder="1" applyAlignment="1">
      <alignment horizontal="left" vertical="center"/>
    </xf>
    <xf numFmtId="0" fontId="3" fillId="19" borderId="40" xfId="0" applyFont="1" applyFill="1" applyBorder="1" applyAlignment="1">
      <alignment horizontal="center" vertical="center"/>
    </xf>
    <xf numFmtId="0" fontId="60" fillId="19" borderId="0" xfId="0" applyFont="1" applyFill="1" applyAlignment="1">
      <alignment horizontal="center" vertical="center"/>
    </xf>
    <xf numFmtId="0" fontId="60" fillId="19" borderId="0" xfId="0" applyFont="1" applyFill="1" applyAlignment="1">
      <alignment horizontal="left" vertical="center"/>
    </xf>
    <xf numFmtId="197" fontId="3" fillId="0" borderId="1" xfId="0" applyNumberFormat="1" applyFont="1" applyBorder="1" applyAlignment="1">
      <alignment horizontal="center" vertical="center"/>
    </xf>
    <xf numFmtId="0" fontId="61" fillId="0" borderId="0" xfId="0" applyFont="1" applyAlignment="1">
      <alignment horizontal="left" vertical="center"/>
    </xf>
    <xf numFmtId="0" fontId="20" fillId="0" borderId="0" xfId="0" applyFont="1" applyAlignment="1">
      <alignment horizontal="center" vertical="center"/>
    </xf>
    <xf numFmtId="0" fontId="3" fillId="4" borderId="13" xfId="0" applyFont="1" applyFill="1" applyBorder="1" applyAlignment="1">
      <alignment horizontal="center" vertical="center"/>
    </xf>
    <xf numFmtId="0" fontId="53" fillId="4" borderId="25" xfId="0" applyFont="1" applyFill="1" applyBorder="1" applyAlignment="1">
      <alignment horizontal="left" vertical="center"/>
    </xf>
    <xf numFmtId="0" fontId="62" fillId="0" borderId="0" xfId="0" applyFont="1" applyAlignment="1">
      <alignment horizontal="center" vertical="center"/>
    </xf>
    <xf numFmtId="0" fontId="62" fillId="4" borderId="12" xfId="0" applyFont="1" applyFill="1" applyBorder="1" applyAlignment="1">
      <alignment horizontal="center" vertical="center"/>
    </xf>
    <xf numFmtId="0" fontId="3" fillId="4" borderId="12" xfId="0" applyFont="1" applyFill="1" applyBorder="1" applyAlignment="1">
      <alignment horizontal="center" vertical="center"/>
    </xf>
    <xf numFmtId="0" fontId="4" fillId="4" borderId="11" xfId="0" quotePrefix="1" applyFont="1" applyFill="1" applyBorder="1" applyAlignment="1">
      <alignment horizontal="left" vertical="center"/>
    </xf>
    <xf numFmtId="0" fontId="8" fillId="4" borderId="11" xfId="0" applyFont="1" applyFill="1" applyBorder="1" applyAlignment="1">
      <alignment horizontal="left" vertical="center"/>
    </xf>
    <xf numFmtId="0" fontId="64" fillId="0" borderId="0" xfId="0" applyFont="1" applyAlignment="1">
      <alignment horizontal="left" vertical="center"/>
    </xf>
    <xf numFmtId="0" fontId="67" fillId="0" borderId="0" xfId="0" applyFont="1" applyAlignment="1">
      <alignment horizontal="center" vertical="center"/>
    </xf>
    <xf numFmtId="0" fontId="66" fillId="0" borderId="0" xfId="0" applyFont="1" applyAlignment="1">
      <alignment horizontal="center" vertical="center"/>
    </xf>
    <xf numFmtId="0" fontId="66" fillId="0" borderId="0" xfId="0" applyFont="1" applyAlignment="1">
      <alignment horizontal="left" vertical="center"/>
    </xf>
    <xf numFmtId="0" fontId="53" fillId="4" borderId="11" xfId="0" applyFont="1" applyFill="1" applyBorder="1">
      <alignment vertical="center"/>
    </xf>
    <xf numFmtId="0" fontId="53" fillId="4" borderId="12" xfId="0" applyFont="1" applyFill="1" applyBorder="1">
      <alignment vertical="center"/>
    </xf>
    <xf numFmtId="0" fontId="53" fillId="8" borderId="25" xfId="0" applyFont="1" applyFill="1" applyBorder="1" applyAlignment="1">
      <alignment horizontal="center" vertical="center"/>
    </xf>
    <xf numFmtId="0" fontId="53" fillId="8" borderId="25" xfId="0" applyFont="1" applyFill="1" applyBorder="1" applyAlignment="1">
      <alignment horizontal="left" vertical="center"/>
    </xf>
    <xf numFmtId="0" fontId="3" fillId="8" borderId="13" xfId="0" applyFont="1" applyFill="1" applyBorder="1" applyAlignment="1">
      <alignment horizontal="center" vertical="center"/>
    </xf>
    <xf numFmtId="0" fontId="68" fillId="0" borderId="0" xfId="0" applyFont="1">
      <alignment vertical="center"/>
    </xf>
    <xf numFmtId="0" fontId="3" fillId="16" borderId="1" xfId="0" applyFont="1" applyFill="1" applyBorder="1" applyAlignment="1">
      <alignment horizontal="center" vertical="center"/>
    </xf>
    <xf numFmtId="0" fontId="3" fillId="24" borderId="1" xfId="0" applyFont="1" applyFill="1" applyBorder="1" applyAlignment="1">
      <alignment horizontal="center" vertical="center"/>
    </xf>
    <xf numFmtId="182" fontId="3" fillId="19" borderId="1" xfId="0" applyNumberFormat="1" applyFont="1" applyFill="1" applyBorder="1" applyAlignment="1">
      <alignment horizontal="center" vertical="center"/>
    </xf>
    <xf numFmtId="203" fontId="3" fillId="19" borderId="1" xfId="0" applyNumberFormat="1" applyFont="1" applyFill="1" applyBorder="1" applyAlignment="1">
      <alignment horizontal="center" vertical="center"/>
    </xf>
    <xf numFmtId="0" fontId="3" fillId="5" borderId="0" xfId="0" applyFont="1" applyFill="1" applyBorder="1" applyAlignment="1">
      <alignment horizontal="center" vertical="center"/>
    </xf>
    <xf numFmtId="10" fontId="3" fillId="0" borderId="0" xfId="0" applyNumberFormat="1" applyFont="1" applyBorder="1" applyAlignment="1">
      <alignment horizontal="left" vertical="center"/>
    </xf>
    <xf numFmtId="0" fontId="0" fillId="3" borderId="0" xfId="0" applyFill="1" applyBorder="1" applyAlignment="1">
      <alignment horizontal="center" vertical="center"/>
    </xf>
    <xf numFmtId="191" fontId="3" fillId="19" borderId="1" xfId="0" applyNumberFormat="1" applyFont="1" applyFill="1" applyBorder="1" applyAlignment="1">
      <alignment horizontal="center" vertical="center"/>
    </xf>
    <xf numFmtId="10" fontId="3" fillId="0" borderId="14" xfId="0" applyNumberFormat="1" applyFont="1" applyBorder="1" applyAlignment="1">
      <alignment horizontal="center" vertical="center"/>
    </xf>
    <xf numFmtId="183" fontId="3" fillId="0" borderId="10" xfId="0" applyNumberFormat="1" applyFont="1" applyBorder="1" applyAlignment="1">
      <alignment horizontal="center" vertical="center"/>
    </xf>
    <xf numFmtId="0" fontId="3" fillId="16" borderId="26" xfId="0" applyFont="1" applyFill="1" applyBorder="1" applyAlignment="1">
      <alignment horizontal="center" vertical="center"/>
    </xf>
    <xf numFmtId="182" fontId="3" fillId="19" borderId="14" xfId="0" applyNumberFormat="1" applyFont="1" applyFill="1" applyBorder="1" applyAlignment="1">
      <alignment horizontal="center" vertical="center"/>
    </xf>
    <xf numFmtId="0" fontId="3" fillId="24" borderId="26" xfId="0" applyFont="1" applyFill="1" applyBorder="1" applyAlignment="1">
      <alignment horizontal="center" vertical="center"/>
    </xf>
    <xf numFmtId="193" fontId="3" fillId="0" borderId="25" xfId="0" applyNumberFormat="1" applyFont="1" applyBorder="1" applyAlignment="1">
      <alignment horizontal="center" vertical="center"/>
    </xf>
    <xf numFmtId="193" fontId="3" fillId="19" borderId="25" xfId="0" applyNumberFormat="1" applyFont="1" applyFill="1" applyBorder="1" applyAlignment="1">
      <alignment horizontal="center" vertical="center"/>
    </xf>
    <xf numFmtId="0" fontId="4" fillId="4" borderId="16" xfId="0" applyFont="1" applyFill="1" applyBorder="1">
      <alignment vertical="center"/>
    </xf>
    <xf numFmtId="0" fontId="4" fillId="4" borderId="20" xfId="0" applyFont="1" applyFill="1" applyBorder="1">
      <alignment vertical="center"/>
    </xf>
    <xf numFmtId="0" fontId="69" fillId="4" borderId="16" xfId="0" applyFont="1" applyFill="1" applyBorder="1">
      <alignment vertical="center"/>
    </xf>
    <xf numFmtId="0" fontId="69" fillId="4" borderId="18" xfId="0" applyFont="1" applyFill="1" applyBorder="1">
      <alignment vertical="center"/>
    </xf>
    <xf numFmtId="0" fontId="69" fillId="4" borderId="20" xfId="0" applyFont="1" applyFill="1" applyBorder="1">
      <alignment vertical="center"/>
    </xf>
    <xf numFmtId="0" fontId="53" fillId="4" borderId="16" xfId="0" applyFont="1" applyFill="1" applyBorder="1">
      <alignment vertical="center"/>
    </xf>
    <xf numFmtId="0" fontId="63" fillId="4" borderId="20" xfId="0" quotePrefix="1" applyFont="1" applyFill="1" applyBorder="1">
      <alignment vertical="center"/>
    </xf>
    <xf numFmtId="0" fontId="57" fillId="4" borderId="16" xfId="0" applyFont="1" applyFill="1" applyBorder="1">
      <alignment vertical="center"/>
    </xf>
    <xf numFmtId="0" fontId="57" fillId="4" borderId="22" xfId="0" applyFont="1" applyFill="1" applyBorder="1">
      <alignment vertical="center"/>
    </xf>
    <xf numFmtId="0" fontId="57" fillId="4" borderId="20" xfId="0" applyFont="1" applyFill="1" applyBorder="1">
      <alignment vertical="center"/>
    </xf>
    <xf numFmtId="0" fontId="57" fillId="4" borderId="24" xfId="0" applyFont="1" applyFill="1" applyBorder="1">
      <alignment vertical="center"/>
    </xf>
    <xf numFmtId="14" fontId="3" fillId="0" borderId="0" xfId="0" applyNumberFormat="1" applyFont="1" applyAlignment="1">
      <alignment horizontal="center" vertical="center"/>
    </xf>
    <xf numFmtId="14" fontId="3" fillId="0" borderId="1" xfId="0" applyNumberFormat="1" applyFont="1" applyBorder="1" applyAlignment="1">
      <alignment horizontal="center" vertical="center"/>
    </xf>
    <xf numFmtId="0" fontId="3" fillId="19" borderId="1" xfId="0" applyFont="1" applyFill="1" applyBorder="1">
      <alignment vertical="center"/>
    </xf>
    <xf numFmtId="0" fontId="35" fillId="4" borderId="1" xfId="0" applyFont="1" applyFill="1" applyBorder="1">
      <alignment vertical="center"/>
    </xf>
    <xf numFmtId="0" fontId="3" fillId="20" borderId="0" xfId="0" applyFont="1" applyFill="1">
      <alignment vertical="center"/>
    </xf>
    <xf numFmtId="0" fontId="3" fillId="25" borderId="1" xfId="0" applyFont="1" applyFill="1" applyBorder="1">
      <alignment vertical="center"/>
    </xf>
    <xf numFmtId="0" fontId="3" fillId="25" borderId="0" xfId="0" applyFont="1" applyFill="1">
      <alignment vertical="center"/>
    </xf>
    <xf numFmtId="0" fontId="3" fillId="19" borderId="1" xfId="0" applyFont="1" applyFill="1" applyBorder="1" applyAlignment="1">
      <alignment horizontal="center" vertical="center"/>
    </xf>
    <xf numFmtId="0" fontId="3" fillId="5" borderId="25" xfId="0" quotePrefix="1" applyFont="1" applyFill="1" applyBorder="1">
      <alignment vertical="center"/>
    </xf>
    <xf numFmtId="0" fontId="3" fillId="5" borderId="11" xfId="0" quotePrefix="1" applyFont="1" applyFill="1" applyBorder="1">
      <alignment vertical="center"/>
    </xf>
    <xf numFmtId="0" fontId="3" fillId="8" borderId="0" xfId="0" quotePrefix="1" applyFont="1" applyFill="1" applyBorder="1">
      <alignment vertical="center"/>
    </xf>
    <xf numFmtId="0" fontId="8" fillId="0" borderId="0" xfId="0" applyFont="1" applyAlignment="1">
      <alignment horizontal="left" vertical="center"/>
    </xf>
    <xf numFmtId="0" fontId="60" fillId="0" borderId="0" xfId="0" applyFont="1" applyAlignment="1">
      <alignment horizontal="left" vertical="center"/>
    </xf>
    <xf numFmtId="0" fontId="43" fillId="19" borderId="2" xfId="0" applyFont="1" applyFill="1" applyBorder="1" applyAlignment="1">
      <alignment horizontal="left" vertical="center"/>
    </xf>
    <xf numFmtId="0" fontId="70" fillId="0" borderId="0" xfId="0" applyFont="1" applyAlignment="1">
      <alignment horizontal="left" vertical="center"/>
    </xf>
    <xf numFmtId="0" fontId="71" fillId="0" borderId="0" xfId="0" applyFont="1" applyAlignment="1">
      <alignment horizontal="left" vertical="center"/>
    </xf>
    <xf numFmtId="0" fontId="54" fillId="22" borderId="0" xfId="0" applyFont="1" applyFill="1" applyAlignment="1">
      <alignment horizontal="left" vertical="center"/>
    </xf>
    <xf numFmtId="0" fontId="58" fillId="0" borderId="0" xfId="0" applyFont="1" applyAlignment="1">
      <alignment horizontal="left" vertical="center"/>
    </xf>
    <xf numFmtId="0" fontId="3" fillId="4" borderId="2" xfId="0" applyFont="1" applyFill="1" applyBorder="1" applyAlignment="1">
      <alignment horizontal="left" vertical="center"/>
    </xf>
    <xf numFmtId="0" fontId="3" fillId="4" borderId="3" xfId="0" applyFont="1" applyFill="1" applyBorder="1" applyAlignment="1">
      <alignment horizontal="left" vertical="center"/>
    </xf>
    <xf numFmtId="0" fontId="3" fillId="4" borderId="4" xfId="0" applyFont="1" applyFill="1" applyBorder="1" applyAlignment="1">
      <alignment horizontal="left" vertical="center"/>
    </xf>
    <xf numFmtId="0" fontId="3" fillId="4" borderId="5" xfId="0" applyFont="1" applyFill="1" applyBorder="1" applyAlignment="1">
      <alignment horizontal="left" vertical="center"/>
    </xf>
    <xf numFmtId="0" fontId="3" fillId="4" borderId="0" xfId="0" applyFont="1" applyFill="1" applyBorder="1" applyAlignment="1">
      <alignment horizontal="left" vertical="center"/>
    </xf>
    <xf numFmtId="0" fontId="3" fillId="4" borderId="6" xfId="0" applyFont="1" applyFill="1" applyBorder="1" applyAlignment="1">
      <alignment horizontal="left" vertical="center"/>
    </xf>
    <xf numFmtId="0" fontId="3" fillId="4" borderId="7" xfId="0" applyFont="1" applyFill="1" applyBorder="1" applyAlignment="1">
      <alignment horizontal="left" vertical="center"/>
    </xf>
    <xf numFmtId="0" fontId="3" fillId="4" borderId="8" xfId="0" applyFont="1" applyFill="1" applyBorder="1" applyAlignment="1">
      <alignment horizontal="left" vertical="center"/>
    </xf>
    <xf numFmtId="0" fontId="3" fillId="4" borderId="9" xfId="0" applyFont="1" applyFill="1" applyBorder="1" applyAlignment="1">
      <alignment horizontal="left" vertical="center"/>
    </xf>
    <xf numFmtId="0" fontId="35" fillId="4" borderId="5" xfId="0" applyFont="1" applyFill="1" applyBorder="1" applyAlignment="1">
      <alignment horizontal="left" vertical="center"/>
    </xf>
    <xf numFmtId="0" fontId="4" fillId="19" borderId="0" xfId="0" applyFont="1" applyFill="1" applyAlignment="1">
      <alignment horizontal="left" vertical="center"/>
    </xf>
    <xf numFmtId="0" fontId="72" fillId="26" borderId="16" xfId="0" applyFont="1" applyFill="1" applyBorder="1" applyAlignment="1">
      <alignment horizontal="left" vertical="center"/>
    </xf>
    <xf numFmtId="0" fontId="73" fillId="26" borderId="22" xfId="0" applyFont="1" applyFill="1" applyBorder="1" applyAlignment="1">
      <alignment horizontal="left" vertical="center"/>
    </xf>
    <xf numFmtId="0" fontId="73" fillId="26" borderId="17" xfId="0" applyFont="1" applyFill="1" applyBorder="1" applyAlignment="1">
      <alignment horizontal="left" vertical="center"/>
    </xf>
    <xf numFmtId="0" fontId="74" fillId="26" borderId="20" xfId="0" applyFont="1" applyFill="1" applyBorder="1" applyAlignment="1">
      <alignment horizontal="left" vertical="center"/>
    </xf>
    <xf numFmtId="0" fontId="73" fillId="26" borderId="24" xfId="0" applyFont="1" applyFill="1" applyBorder="1" applyAlignment="1">
      <alignment horizontal="left" vertical="center"/>
    </xf>
    <xf numFmtId="0" fontId="73" fillId="26" borderId="21" xfId="0" applyFont="1" applyFill="1" applyBorder="1" applyAlignment="1">
      <alignment horizontal="left" vertical="center"/>
    </xf>
    <xf numFmtId="0" fontId="75" fillId="18" borderId="16" xfId="0" applyFont="1" applyFill="1" applyBorder="1" applyAlignment="1">
      <alignment horizontal="left" vertical="center"/>
    </xf>
    <xf numFmtId="0" fontId="22" fillId="18" borderId="22" xfId="0" applyFont="1" applyFill="1" applyBorder="1" applyAlignment="1">
      <alignment horizontal="left" vertical="center"/>
    </xf>
    <xf numFmtId="0" fontId="22" fillId="18" borderId="17" xfId="0" applyFont="1" applyFill="1" applyBorder="1" applyAlignment="1">
      <alignment horizontal="left" vertical="center"/>
    </xf>
    <xf numFmtId="0" fontId="76" fillId="18" borderId="18" xfId="0" applyFont="1" applyFill="1" applyBorder="1" applyAlignment="1">
      <alignment horizontal="left" vertical="center"/>
    </xf>
    <xf numFmtId="0" fontId="22" fillId="18" borderId="0" xfId="0" applyFont="1" applyFill="1" applyBorder="1" applyAlignment="1">
      <alignment horizontal="left" vertical="center"/>
    </xf>
    <xf numFmtId="0" fontId="22" fillId="18" borderId="19" xfId="0" applyFont="1" applyFill="1" applyBorder="1" applyAlignment="1">
      <alignment horizontal="left" vertical="center"/>
    </xf>
    <xf numFmtId="0" fontId="76" fillId="18" borderId="20" xfId="0" applyFont="1" applyFill="1" applyBorder="1" applyAlignment="1">
      <alignment horizontal="left" vertical="center"/>
    </xf>
    <xf numFmtId="0" fontId="22" fillId="18" borderId="24" xfId="0" applyFont="1" applyFill="1" applyBorder="1" applyAlignment="1">
      <alignment horizontal="left" vertical="center"/>
    </xf>
    <xf numFmtId="0" fontId="22" fillId="18" borderId="21" xfId="0" applyFont="1" applyFill="1" applyBorder="1" applyAlignment="1">
      <alignment horizontal="left" vertical="center"/>
    </xf>
    <xf numFmtId="0" fontId="24" fillId="19" borderId="7" xfId="0" applyFont="1" applyFill="1" applyBorder="1" applyAlignment="1">
      <alignment horizontal="left" vertical="center"/>
    </xf>
    <xf numFmtId="0" fontId="34" fillId="19" borderId="2" xfId="0" applyFont="1" applyFill="1" applyBorder="1" applyAlignment="1">
      <alignment horizontal="left" vertical="center"/>
    </xf>
    <xf numFmtId="0" fontId="75" fillId="18" borderId="11" xfId="0" applyFont="1" applyFill="1" applyBorder="1" applyAlignment="1">
      <alignment horizontal="left" vertical="center"/>
    </xf>
    <xf numFmtId="0" fontId="22" fillId="18" borderId="12" xfId="0" applyFont="1" applyFill="1" applyBorder="1" applyAlignment="1">
      <alignment horizontal="left" vertical="center"/>
    </xf>
    <xf numFmtId="0" fontId="22" fillId="18" borderId="13" xfId="0" applyFont="1" applyFill="1" applyBorder="1" applyAlignment="1">
      <alignment horizontal="left" vertical="center"/>
    </xf>
    <xf numFmtId="0" fontId="3" fillId="18" borderId="13" xfId="0" applyFont="1" applyFill="1" applyBorder="1" applyAlignment="1">
      <alignment horizontal="left" vertical="center"/>
    </xf>
    <xf numFmtId="0" fontId="11" fillId="0" borderId="0" xfId="0" applyFont="1" applyAlignment="1">
      <alignment horizontal="left" vertical="center"/>
    </xf>
    <xf numFmtId="0" fontId="33" fillId="5" borderId="2" xfId="0" applyFont="1" applyFill="1" applyBorder="1" applyAlignment="1">
      <alignment horizontal="left" vertical="center"/>
    </xf>
    <xf numFmtId="0" fontId="3" fillId="5" borderId="3" xfId="0" applyFont="1" applyFill="1" applyBorder="1" applyAlignment="1">
      <alignment horizontal="left" vertical="center"/>
    </xf>
    <xf numFmtId="0" fontId="3" fillId="5" borderId="4" xfId="0" applyFont="1" applyFill="1" applyBorder="1" applyAlignment="1">
      <alignment horizontal="left" vertical="center"/>
    </xf>
    <xf numFmtId="0" fontId="67" fillId="5" borderId="5" xfId="0" applyFont="1" applyFill="1" applyBorder="1" applyAlignment="1">
      <alignment horizontal="left" vertical="center"/>
    </xf>
    <xf numFmtId="0" fontId="3" fillId="5" borderId="0" xfId="0" applyFont="1" applyFill="1" applyBorder="1" applyAlignment="1">
      <alignment horizontal="left" vertical="center"/>
    </xf>
    <xf numFmtId="0" fontId="3" fillId="5" borderId="6" xfId="0" applyFont="1" applyFill="1" applyBorder="1" applyAlignment="1">
      <alignment horizontal="left" vertical="center"/>
    </xf>
    <xf numFmtId="0" fontId="67" fillId="5" borderId="7" xfId="0" applyFont="1" applyFill="1" applyBorder="1" applyAlignment="1">
      <alignment horizontal="left" vertical="center"/>
    </xf>
    <xf numFmtId="0" fontId="3" fillId="5" borderId="8" xfId="0" applyFont="1" applyFill="1" applyBorder="1" applyAlignment="1">
      <alignment horizontal="left" vertical="center"/>
    </xf>
    <xf numFmtId="0" fontId="3" fillId="5" borderId="9" xfId="0" applyFont="1" applyFill="1" applyBorder="1" applyAlignment="1">
      <alignment horizontal="left" vertical="center"/>
    </xf>
    <xf numFmtId="0" fontId="3" fillId="20" borderId="0" xfId="0" applyFont="1" applyFill="1" applyAlignment="1">
      <alignment horizontal="left" vertical="center"/>
    </xf>
    <xf numFmtId="0" fontId="14" fillId="0" borderId="0" xfId="0" applyFont="1" applyAlignment="1">
      <alignment horizontal="left" vertical="center"/>
    </xf>
    <xf numFmtId="0" fontId="3" fillId="22" borderId="0" xfId="0" applyFont="1" applyFill="1" applyAlignment="1">
      <alignment horizontal="left" vertical="center"/>
    </xf>
    <xf numFmtId="0" fontId="43" fillId="0" borderId="0" xfId="0" applyFont="1" applyAlignment="1">
      <alignment horizontal="left" vertical="center"/>
    </xf>
    <xf numFmtId="0" fontId="53" fillId="0" borderId="0" xfId="0" applyFont="1" applyAlignment="1">
      <alignment horizontal="left" vertical="center"/>
    </xf>
    <xf numFmtId="0" fontId="3" fillId="27" borderId="4" xfId="0" applyFont="1" applyFill="1" applyBorder="1" applyAlignment="1">
      <alignment horizontal="left" vertical="center"/>
    </xf>
    <xf numFmtId="0" fontId="3" fillId="27" borderId="5" xfId="0" applyFont="1" applyFill="1" applyBorder="1" applyAlignment="1">
      <alignment horizontal="left" vertical="center"/>
    </xf>
    <xf numFmtId="0" fontId="3" fillId="27" borderId="0" xfId="0" applyFont="1" applyFill="1" applyBorder="1" applyAlignment="1">
      <alignment horizontal="left" vertical="center"/>
    </xf>
    <xf numFmtId="0" fontId="3" fillId="27" borderId="6" xfId="0" applyFont="1" applyFill="1" applyBorder="1" applyAlignment="1">
      <alignment horizontal="left" vertical="center"/>
    </xf>
    <xf numFmtId="0" fontId="3" fillId="27" borderId="7" xfId="0" applyFont="1" applyFill="1" applyBorder="1" applyAlignment="1">
      <alignment horizontal="left" vertical="center"/>
    </xf>
    <xf numFmtId="0" fontId="3" fillId="27" borderId="8" xfId="0" applyFont="1" applyFill="1" applyBorder="1" applyAlignment="1">
      <alignment horizontal="left" vertical="center"/>
    </xf>
    <xf numFmtId="0" fontId="3" fillId="27" borderId="9" xfId="0" applyFont="1" applyFill="1" applyBorder="1" applyAlignment="1">
      <alignment horizontal="left" vertical="center"/>
    </xf>
    <xf numFmtId="0" fontId="3" fillId="14" borderId="16" xfId="0" applyFont="1" applyFill="1" applyBorder="1" applyAlignment="1">
      <alignment horizontal="left" vertical="center"/>
    </xf>
    <xf numFmtId="0" fontId="3" fillId="14" borderId="22" xfId="0" applyFont="1" applyFill="1" applyBorder="1" applyAlignment="1">
      <alignment horizontal="left" vertical="center"/>
    </xf>
    <xf numFmtId="0" fontId="3" fillId="14" borderId="17" xfId="0" applyFont="1" applyFill="1" applyBorder="1" applyAlignment="1">
      <alignment horizontal="left" vertical="center"/>
    </xf>
    <xf numFmtId="0" fontId="3" fillId="14" borderId="18" xfId="0" applyFont="1" applyFill="1" applyBorder="1" applyAlignment="1">
      <alignment horizontal="left" vertical="center"/>
    </xf>
    <xf numFmtId="0" fontId="3" fillId="14" borderId="0" xfId="0" applyFont="1" applyFill="1" applyBorder="1" applyAlignment="1">
      <alignment horizontal="left" vertical="center"/>
    </xf>
    <xf numFmtId="0" fontId="3" fillId="14" borderId="19" xfId="0" applyFont="1" applyFill="1" applyBorder="1" applyAlignment="1">
      <alignment horizontal="left" vertical="center"/>
    </xf>
    <xf numFmtId="0" fontId="3" fillId="14" borderId="20" xfId="0" applyFont="1" applyFill="1" applyBorder="1" applyAlignment="1">
      <alignment horizontal="left" vertical="center"/>
    </xf>
    <xf numFmtId="0" fontId="3" fillId="14" borderId="24" xfId="0" applyFont="1" applyFill="1" applyBorder="1" applyAlignment="1">
      <alignment horizontal="left" vertical="center"/>
    </xf>
    <xf numFmtId="0" fontId="3" fillId="14" borderId="21" xfId="0" applyFont="1" applyFill="1" applyBorder="1" applyAlignment="1">
      <alignment horizontal="left" vertical="center"/>
    </xf>
    <xf numFmtId="0" fontId="24" fillId="27" borderId="2" xfId="0" applyFont="1" applyFill="1" applyBorder="1" applyAlignment="1">
      <alignment horizontal="left" vertical="center"/>
    </xf>
    <xf numFmtId="0" fontId="24" fillId="27" borderId="3" xfId="0" applyFont="1" applyFill="1" applyBorder="1" applyAlignment="1">
      <alignment horizontal="left" vertical="center"/>
    </xf>
    <xf numFmtId="0" fontId="6" fillId="0" borderId="0" xfId="0" applyFont="1" applyAlignment="1">
      <alignment horizontal="left" vertical="center"/>
    </xf>
    <xf numFmtId="0" fontId="78" fillId="18" borderId="0" xfId="0" applyFont="1" applyFill="1" applyAlignment="1">
      <alignment horizontal="left" vertical="center"/>
    </xf>
    <xf numFmtId="0" fontId="22" fillId="18" borderId="0" xfId="0" applyFont="1" applyFill="1" applyAlignment="1">
      <alignment horizontal="left" vertical="center"/>
    </xf>
    <xf numFmtId="0" fontId="3" fillId="13" borderId="0" xfId="0" applyFont="1" applyFill="1" applyAlignment="1">
      <alignment horizontal="left" vertical="center"/>
    </xf>
    <xf numFmtId="0" fontId="4" fillId="0" borderId="0" xfId="0" applyFont="1" applyAlignment="1">
      <alignment horizontal="left" vertical="center"/>
    </xf>
    <xf numFmtId="0" fontId="79" fillId="8" borderId="0" xfId="0" applyFont="1" applyFill="1" applyBorder="1" applyAlignment="1">
      <alignment horizontal="left" vertical="center"/>
    </xf>
    <xf numFmtId="0" fontId="79" fillId="20" borderId="0" xfId="0" applyFont="1" applyFill="1" applyBorder="1" applyAlignment="1">
      <alignment horizontal="left" vertical="center"/>
    </xf>
    <xf numFmtId="0" fontId="3" fillId="20" borderId="0" xfId="0" applyFont="1" applyFill="1" applyBorder="1" applyAlignment="1">
      <alignment horizontal="left" vertical="center"/>
    </xf>
    <xf numFmtId="0" fontId="80" fillId="0" borderId="0" xfId="0" quotePrefix="1" applyFont="1" applyAlignment="1">
      <alignment horizontal="left" vertical="center"/>
    </xf>
    <xf numFmtId="0" fontId="80" fillId="0" borderId="0" xfId="0" applyFont="1" applyAlignment="1">
      <alignment horizontal="left" vertical="center"/>
    </xf>
    <xf numFmtId="183" fontId="0" fillId="0" borderId="1" xfId="0" applyNumberFormat="1" applyBorder="1">
      <alignment vertical="center"/>
    </xf>
    <xf numFmtId="192" fontId="16" fillId="0" borderId="1" xfId="0" quotePrefix="1" applyNumberFormat="1" applyFont="1" applyBorder="1" applyAlignment="1">
      <alignment horizontal="center" vertical="center"/>
    </xf>
    <xf numFmtId="0" fontId="82" fillId="0" borderId="0" xfId="0" applyFont="1" applyAlignment="1">
      <alignment vertical="top" wrapText="1"/>
    </xf>
    <xf numFmtId="0" fontId="82" fillId="0" borderId="16" xfId="0" applyFont="1" applyBorder="1" applyAlignment="1">
      <alignment vertical="top"/>
    </xf>
    <xf numFmtId="0" fontId="82" fillId="0" borderId="22" xfId="0" applyFont="1" applyBorder="1" applyAlignment="1">
      <alignment vertical="top"/>
    </xf>
    <xf numFmtId="0" fontId="82" fillId="0" borderId="22" xfId="0" applyFont="1" applyBorder="1" applyAlignment="1">
      <alignment vertical="top" wrapText="1"/>
    </xf>
    <xf numFmtId="0" fontId="82" fillId="0" borderId="17" xfId="0" applyFont="1" applyBorder="1" applyAlignment="1">
      <alignment vertical="top" wrapText="1"/>
    </xf>
    <xf numFmtId="0" fontId="82" fillId="0" borderId="18" xfId="0" applyFont="1" applyBorder="1" applyAlignment="1">
      <alignment vertical="top"/>
    </xf>
    <xf numFmtId="0" fontId="82" fillId="0" borderId="0" xfId="0" applyFont="1" applyBorder="1" applyAlignment="1">
      <alignment vertical="top"/>
    </xf>
    <xf numFmtId="0" fontId="82" fillId="0" borderId="0" xfId="0" applyFont="1" applyBorder="1" applyAlignment="1">
      <alignment vertical="top" wrapText="1"/>
    </xf>
    <xf numFmtId="0" fontId="82" fillId="0" borderId="19" xfId="0" applyFont="1" applyBorder="1" applyAlignment="1">
      <alignment vertical="top" wrapText="1"/>
    </xf>
    <xf numFmtId="0" fontId="82" fillId="0" borderId="18" xfId="0" applyFont="1" applyBorder="1" applyAlignment="1">
      <alignment vertical="top" wrapText="1"/>
    </xf>
    <xf numFmtId="0" fontId="81" fillId="2" borderId="18" xfId="0" applyFont="1" applyFill="1" applyBorder="1">
      <alignment vertical="center"/>
    </xf>
    <xf numFmtId="0" fontId="82" fillId="2" borderId="0" xfId="0" applyFont="1" applyFill="1" applyBorder="1" applyAlignment="1">
      <alignment vertical="top" wrapText="1"/>
    </xf>
    <xf numFmtId="0" fontId="0" fillId="0" borderId="18" xfId="0" applyBorder="1">
      <alignment vertical="center"/>
    </xf>
    <xf numFmtId="0" fontId="0" fillId="0" borderId="19" xfId="0" applyBorder="1">
      <alignment vertical="center"/>
    </xf>
    <xf numFmtId="0" fontId="82" fillId="0" borderId="18" xfId="0" applyFont="1" applyBorder="1">
      <alignment vertical="center"/>
    </xf>
    <xf numFmtId="0" fontId="81" fillId="0" borderId="18" xfId="0" applyFont="1" applyBorder="1">
      <alignment vertical="center"/>
    </xf>
    <xf numFmtId="0" fontId="0" fillId="0" borderId="24" xfId="0" applyBorder="1">
      <alignment vertical="center"/>
    </xf>
    <xf numFmtId="0" fontId="0" fillId="0" borderId="21" xfId="0" applyBorder="1">
      <alignment vertical="center"/>
    </xf>
    <xf numFmtId="0" fontId="6" fillId="18" borderId="16" xfId="0" applyFont="1" applyFill="1" applyBorder="1">
      <alignment vertical="center"/>
    </xf>
    <xf numFmtId="0" fontId="52" fillId="18" borderId="22" xfId="0" applyFont="1" applyFill="1" applyBorder="1">
      <alignment vertical="center"/>
    </xf>
    <xf numFmtId="0" fontId="0" fillId="18" borderId="22" xfId="0" applyFill="1" applyBorder="1">
      <alignment vertical="center"/>
    </xf>
    <xf numFmtId="0" fontId="0" fillId="18" borderId="17" xfId="0" applyFill="1" applyBorder="1">
      <alignment vertical="center"/>
    </xf>
    <xf numFmtId="0" fontId="52" fillId="18" borderId="20" xfId="0" applyFont="1" applyFill="1" applyBorder="1">
      <alignment vertical="center"/>
    </xf>
    <xf numFmtId="0" fontId="52" fillId="18" borderId="24" xfId="0" applyFont="1" applyFill="1" applyBorder="1">
      <alignment vertical="center"/>
    </xf>
    <xf numFmtId="0" fontId="0" fillId="18" borderId="24" xfId="0" applyFill="1" applyBorder="1">
      <alignment vertical="center"/>
    </xf>
    <xf numFmtId="0" fontId="0" fillId="18" borderId="21" xfId="0" applyFill="1" applyBorder="1">
      <alignment vertical="center"/>
    </xf>
    <xf numFmtId="0" fontId="0" fillId="0" borderId="20" xfId="0" applyBorder="1">
      <alignment vertical="center"/>
    </xf>
    <xf numFmtId="0" fontId="83" fillId="0" borderId="0" xfId="0" applyFont="1">
      <alignment vertical="center"/>
    </xf>
    <xf numFmtId="0" fontId="16" fillId="18" borderId="0" xfId="0" applyFont="1" applyFill="1">
      <alignment vertical="center"/>
    </xf>
    <xf numFmtId="0" fontId="16" fillId="19" borderId="2" xfId="0" applyFont="1" applyFill="1" applyBorder="1">
      <alignment vertical="center"/>
    </xf>
    <xf numFmtId="0" fontId="16" fillId="19" borderId="3" xfId="0" applyFont="1" applyFill="1" applyBorder="1">
      <alignment vertical="center"/>
    </xf>
    <xf numFmtId="0" fontId="16" fillId="19" borderId="4" xfId="0" applyFont="1" applyFill="1" applyBorder="1">
      <alignment vertical="center"/>
    </xf>
    <xf numFmtId="0" fontId="16" fillId="19" borderId="5" xfId="0" applyFont="1" applyFill="1" applyBorder="1">
      <alignment vertical="center"/>
    </xf>
    <xf numFmtId="0" fontId="16" fillId="19" borderId="0" xfId="0" applyFont="1" applyFill="1" applyBorder="1">
      <alignment vertical="center"/>
    </xf>
    <xf numFmtId="0" fontId="16" fillId="19" borderId="6" xfId="0" applyFont="1" applyFill="1" applyBorder="1">
      <alignment vertical="center"/>
    </xf>
    <xf numFmtId="0" fontId="16" fillId="19" borderId="7" xfId="0" applyFont="1" applyFill="1" applyBorder="1">
      <alignment vertical="center"/>
    </xf>
    <xf numFmtId="0" fontId="16" fillId="19" borderId="8" xfId="0" applyFont="1" applyFill="1" applyBorder="1">
      <alignment vertical="center"/>
    </xf>
    <xf numFmtId="0" fontId="16" fillId="19" borderId="9" xfId="0" applyFont="1" applyFill="1" applyBorder="1">
      <alignment vertical="center"/>
    </xf>
    <xf numFmtId="0" fontId="84" fillId="0" borderId="0" xfId="0" applyFont="1">
      <alignment vertical="center"/>
    </xf>
    <xf numFmtId="0" fontId="85" fillId="0" borderId="0" xfId="0" applyFont="1">
      <alignment vertical="center"/>
    </xf>
    <xf numFmtId="0" fontId="86" fillId="0" borderId="0" xfId="0" applyFont="1">
      <alignment vertical="center"/>
    </xf>
    <xf numFmtId="0" fontId="16" fillId="4" borderId="16" xfId="0" applyFont="1" applyFill="1" applyBorder="1">
      <alignment vertical="center"/>
    </xf>
    <xf numFmtId="0" fontId="16" fillId="4" borderId="22" xfId="0" applyFont="1" applyFill="1" applyBorder="1">
      <alignment vertical="center"/>
    </xf>
    <xf numFmtId="0" fontId="16" fillId="4" borderId="17" xfId="0" applyFont="1" applyFill="1" applyBorder="1">
      <alignment vertical="center"/>
    </xf>
    <xf numFmtId="0" fontId="16" fillId="4" borderId="18" xfId="0" applyFont="1" applyFill="1" applyBorder="1">
      <alignment vertical="center"/>
    </xf>
    <xf numFmtId="0" fontId="16" fillId="4" borderId="19" xfId="0" applyFont="1" applyFill="1" applyBorder="1">
      <alignment vertical="center"/>
    </xf>
    <xf numFmtId="0" fontId="16" fillId="4" borderId="20" xfId="0" applyFont="1" applyFill="1" applyBorder="1">
      <alignment vertical="center"/>
    </xf>
    <xf numFmtId="0" fontId="16" fillId="4" borderId="24" xfId="0" applyFont="1" applyFill="1" applyBorder="1">
      <alignment vertical="center"/>
    </xf>
    <xf numFmtId="0" fontId="16" fillId="4" borderId="21" xfId="0" applyFont="1" applyFill="1" applyBorder="1">
      <alignment vertical="center"/>
    </xf>
    <xf numFmtId="0" fontId="15" fillId="18" borderId="0" xfId="0" applyFont="1" applyFill="1">
      <alignment vertical="center"/>
    </xf>
    <xf numFmtId="0" fontId="88" fillId="0" borderId="0" xfId="0" applyFont="1">
      <alignment vertical="center"/>
    </xf>
    <xf numFmtId="0" fontId="16" fillId="22" borderId="0" xfId="0" applyFont="1" applyFill="1">
      <alignment vertical="center"/>
    </xf>
    <xf numFmtId="0" fontId="89" fillId="0" borderId="0" xfId="0" applyFont="1">
      <alignment vertical="center"/>
    </xf>
    <xf numFmtId="0" fontId="90" fillId="0" borderId="0" xfId="0" applyFont="1">
      <alignment vertical="center"/>
    </xf>
    <xf numFmtId="0" fontId="16" fillId="27" borderId="16" xfId="0" applyFont="1" applyFill="1" applyBorder="1">
      <alignment vertical="center"/>
    </xf>
    <xf numFmtId="0" fontId="16" fillId="27" borderId="22" xfId="0" applyFont="1" applyFill="1" applyBorder="1">
      <alignment vertical="center"/>
    </xf>
    <xf numFmtId="0" fontId="16" fillId="27" borderId="17" xfId="0" applyFont="1" applyFill="1" applyBorder="1">
      <alignment vertical="center"/>
    </xf>
    <xf numFmtId="0" fontId="16" fillId="27" borderId="18" xfId="0" applyFont="1" applyFill="1" applyBorder="1">
      <alignment vertical="center"/>
    </xf>
    <xf numFmtId="0" fontId="16" fillId="27" borderId="0" xfId="0" applyFont="1" applyFill="1" applyBorder="1">
      <alignment vertical="center"/>
    </xf>
    <xf numFmtId="0" fontId="16" fillId="27" borderId="19" xfId="0" applyFont="1" applyFill="1" applyBorder="1">
      <alignment vertical="center"/>
    </xf>
    <xf numFmtId="0" fontId="16" fillId="27" borderId="20" xfId="0" applyFont="1" applyFill="1" applyBorder="1">
      <alignment vertical="center"/>
    </xf>
    <xf numFmtId="0" fontId="16" fillId="27" borderId="24" xfId="0" applyFont="1" applyFill="1" applyBorder="1">
      <alignment vertical="center"/>
    </xf>
    <xf numFmtId="0" fontId="16" fillId="27" borderId="21" xfId="0" applyFont="1" applyFill="1" applyBorder="1">
      <alignment vertical="center"/>
    </xf>
    <xf numFmtId="0" fontId="91" fillId="0" borderId="0" xfId="0" applyFont="1">
      <alignment vertical="center"/>
    </xf>
    <xf numFmtId="0" fontId="92" fillId="0" borderId="0" xfId="0" applyFont="1">
      <alignment vertical="center"/>
    </xf>
    <xf numFmtId="0" fontId="93" fillId="18" borderId="0" xfId="0" applyFont="1" applyFill="1">
      <alignment vertical="center"/>
    </xf>
    <xf numFmtId="0" fontId="94" fillId="18" borderId="0" xfId="0" applyFont="1" applyFill="1">
      <alignment vertical="center"/>
    </xf>
    <xf numFmtId="0" fontId="23" fillId="0" borderId="0" xfId="0" applyFont="1">
      <alignment vertical="center"/>
    </xf>
    <xf numFmtId="0" fontId="6" fillId="18" borderId="2" xfId="0" applyFont="1" applyFill="1" applyBorder="1">
      <alignment vertical="center"/>
    </xf>
    <xf numFmtId="0" fontId="6" fillId="18" borderId="3" xfId="0" applyFont="1" applyFill="1" applyBorder="1">
      <alignment vertical="center"/>
    </xf>
    <xf numFmtId="0" fontId="3" fillId="18" borderId="3" xfId="0" applyFont="1" applyFill="1" applyBorder="1">
      <alignment vertical="center"/>
    </xf>
    <xf numFmtId="0" fontId="3" fillId="18" borderId="4" xfId="0" applyFont="1" applyFill="1" applyBorder="1">
      <alignment vertical="center"/>
    </xf>
    <xf numFmtId="0" fontId="6" fillId="18" borderId="5" xfId="0" applyFont="1" applyFill="1" applyBorder="1">
      <alignment vertical="center"/>
    </xf>
    <xf numFmtId="0" fontId="6" fillId="18" borderId="0" xfId="0" applyFont="1" applyFill="1" applyBorder="1">
      <alignment vertical="center"/>
    </xf>
    <xf numFmtId="0" fontId="3" fillId="18" borderId="0" xfId="0" applyFont="1" applyFill="1" applyBorder="1">
      <alignment vertical="center"/>
    </xf>
    <xf numFmtId="0" fontId="3" fillId="18" borderId="6" xfId="0" applyFont="1" applyFill="1" applyBorder="1">
      <alignment vertical="center"/>
    </xf>
    <xf numFmtId="0" fontId="6" fillId="18" borderId="7" xfId="0" applyFont="1" applyFill="1" applyBorder="1">
      <alignment vertical="center"/>
    </xf>
    <xf numFmtId="0" fontId="6" fillId="18" borderId="8" xfId="0" applyFont="1" applyFill="1" applyBorder="1">
      <alignment vertical="center"/>
    </xf>
    <xf numFmtId="0" fontId="3" fillId="18" borderId="8" xfId="0" applyFont="1" applyFill="1" applyBorder="1">
      <alignment vertical="center"/>
    </xf>
    <xf numFmtId="0" fontId="3" fillId="18" borderId="9" xfId="0" applyFont="1" applyFill="1" applyBorder="1">
      <alignment vertical="center"/>
    </xf>
    <xf numFmtId="0" fontId="57" fillId="18" borderId="0" xfId="0" applyFont="1" applyFill="1">
      <alignment vertical="center"/>
    </xf>
    <xf numFmtId="0" fontId="35" fillId="18" borderId="0" xfId="0" applyFont="1" applyFill="1">
      <alignment vertical="center"/>
    </xf>
    <xf numFmtId="0" fontId="53" fillId="18" borderId="0" xfId="0" applyFont="1" applyFill="1">
      <alignment vertical="center"/>
    </xf>
    <xf numFmtId="0" fontId="43" fillId="2" borderId="16" xfId="0" applyFont="1" applyFill="1" applyBorder="1">
      <alignment vertical="center"/>
    </xf>
    <xf numFmtId="0" fontId="43" fillId="2" borderId="22" xfId="0" applyFont="1" applyFill="1" applyBorder="1">
      <alignment vertical="center"/>
    </xf>
    <xf numFmtId="0" fontId="43" fillId="2" borderId="17" xfId="0" applyFont="1" applyFill="1" applyBorder="1">
      <alignment vertical="center"/>
    </xf>
    <xf numFmtId="0" fontId="43" fillId="2" borderId="18" xfId="0" applyFont="1" applyFill="1" applyBorder="1">
      <alignment vertical="center"/>
    </xf>
    <xf numFmtId="0" fontId="43" fillId="2" borderId="0" xfId="0" applyFont="1" applyFill="1" applyBorder="1">
      <alignment vertical="center"/>
    </xf>
    <xf numFmtId="0" fontId="43" fillId="2" borderId="19" xfId="0" applyFont="1" applyFill="1" applyBorder="1">
      <alignment vertical="center"/>
    </xf>
    <xf numFmtId="0" fontId="43" fillId="2" borderId="20" xfId="0" applyFont="1" applyFill="1" applyBorder="1">
      <alignment vertical="center"/>
    </xf>
    <xf numFmtId="0" fontId="43" fillId="2" borderId="24" xfId="0" applyFont="1" applyFill="1" applyBorder="1">
      <alignment vertical="center"/>
    </xf>
    <xf numFmtId="0" fontId="43" fillId="2" borderId="21" xfId="0" applyFont="1" applyFill="1" applyBorder="1">
      <alignment vertical="center"/>
    </xf>
    <xf numFmtId="0" fontId="3" fillId="2" borderId="22" xfId="0" applyFont="1" applyFill="1" applyBorder="1">
      <alignment vertical="center"/>
    </xf>
    <xf numFmtId="0" fontId="3" fillId="2" borderId="17" xfId="0" applyFont="1" applyFill="1" applyBorder="1">
      <alignment vertical="center"/>
    </xf>
    <xf numFmtId="0" fontId="3" fillId="2" borderId="19" xfId="0" applyFont="1" applyFill="1" applyBorder="1">
      <alignment vertical="center"/>
    </xf>
    <xf numFmtId="0" fontId="3" fillId="2" borderId="24" xfId="0" applyFont="1" applyFill="1" applyBorder="1">
      <alignment vertical="center"/>
    </xf>
    <xf numFmtId="0" fontId="3" fillId="2" borderId="21" xfId="0" applyFont="1" applyFill="1" applyBorder="1">
      <alignment vertical="center"/>
    </xf>
    <xf numFmtId="0" fontId="95" fillId="2" borderId="18" xfId="0" applyFont="1" applyFill="1" applyBorder="1">
      <alignment vertical="center"/>
    </xf>
    <xf numFmtId="0" fontId="95" fillId="2" borderId="0" xfId="0" applyFont="1" applyFill="1" applyBorder="1">
      <alignment vertical="center"/>
    </xf>
    <xf numFmtId="0" fontId="3" fillId="13" borderId="0" xfId="0" applyFont="1" applyFill="1">
      <alignment vertical="center"/>
    </xf>
    <xf numFmtId="0" fontId="96" fillId="0" borderId="0" xfId="0" applyFont="1">
      <alignment vertical="center"/>
    </xf>
    <xf numFmtId="0" fontId="97" fillId="18" borderId="0" xfId="0" applyFont="1" applyFill="1">
      <alignment vertical="center"/>
    </xf>
    <xf numFmtId="0" fontId="98" fillId="18" borderId="0" xfId="0" applyFont="1" applyFill="1">
      <alignment vertical="center"/>
    </xf>
    <xf numFmtId="0" fontId="99" fillId="0" borderId="0" xfId="0" applyFont="1">
      <alignment vertical="center"/>
    </xf>
    <xf numFmtId="0" fontId="22" fillId="18" borderId="0" xfId="0" applyFont="1" applyFill="1">
      <alignment vertical="center"/>
    </xf>
    <xf numFmtId="0" fontId="100" fillId="0" borderId="0" xfId="0" applyFont="1">
      <alignment vertical="center"/>
    </xf>
    <xf numFmtId="0" fontId="100" fillId="18" borderId="16" xfId="0" applyFont="1" applyFill="1" applyBorder="1">
      <alignment vertical="center"/>
    </xf>
    <xf numFmtId="0" fontId="100" fillId="18" borderId="22" xfId="0" applyFont="1" applyFill="1" applyBorder="1">
      <alignment vertical="center"/>
    </xf>
    <xf numFmtId="0" fontId="3" fillId="18" borderId="22" xfId="0" applyFont="1" applyFill="1" applyBorder="1">
      <alignment vertical="center"/>
    </xf>
    <xf numFmtId="0" fontId="3" fillId="18" borderId="17" xfId="0" applyFont="1" applyFill="1" applyBorder="1">
      <alignment vertical="center"/>
    </xf>
    <xf numFmtId="0" fontId="100" fillId="18" borderId="18" xfId="0" applyFont="1" applyFill="1" applyBorder="1">
      <alignment vertical="center"/>
    </xf>
    <xf numFmtId="0" fontId="100" fillId="18" borderId="0" xfId="0" applyFont="1" applyFill="1" applyBorder="1">
      <alignment vertical="center"/>
    </xf>
    <xf numFmtId="0" fontId="3" fillId="18" borderId="19" xfId="0" applyFont="1" applyFill="1" applyBorder="1">
      <alignment vertical="center"/>
    </xf>
    <xf numFmtId="0" fontId="100" fillId="18" borderId="20" xfId="0" applyFont="1" applyFill="1" applyBorder="1">
      <alignment vertical="center"/>
    </xf>
    <xf numFmtId="0" fontId="100" fillId="18" borderId="24" xfId="0" applyFont="1" applyFill="1" applyBorder="1">
      <alignment vertical="center"/>
    </xf>
    <xf numFmtId="0" fontId="3" fillId="18" borderId="24" xfId="0" applyFont="1" applyFill="1" applyBorder="1">
      <alignment vertical="center"/>
    </xf>
    <xf numFmtId="0" fontId="3" fillId="18" borderId="21" xfId="0" applyFont="1" applyFill="1" applyBorder="1">
      <alignment vertical="center"/>
    </xf>
    <xf numFmtId="0" fontId="60" fillId="0" borderId="0" xfId="0" applyFont="1">
      <alignment vertical="center"/>
    </xf>
    <xf numFmtId="0" fontId="62" fillId="0" borderId="0" xfId="0" applyFont="1">
      <alignment vertical="center"/>
    </xf>
    <xf numFmtId="0" fontId="4" fillId="18" borderId="0" xfId="0" applyFont="1" applyFill="1">
      <alignment vertical="center"/>
    </xf>
    <xf numFmtId="0" fontId="101" fillId="0" borderId="0" xfId="0" applyFont="1">
      <alignment vertical="center"/>
    </xf>
    <xf numFmtId="0" fontId="43" fillId="19" borderId="0" xfId="0" applyFont="1" applyFill="1">
      <alignment vertical="center"/>
    </xf>
    <xf numFmtId="0" fontId="3" fillId="19" borderId="0" xfId="0" applyFont="1" applyFill="1">
      <alignment vertical="center"/>
    </xf>
    <xf numFmtId="0" fontId="43" fillId="8" borderId="0" xfId="0" applyFont="1" applyFill="1">
      <alignment vertical="center"/>
    </xf>
    <xf numFmtId="0" fontId="3" fillId="8" borderId="0" xfId="0" applyFont="1" applyFill="1">
      <alignment vertical="center"/>
    </xf>
    <xf numFmtId="0" fontId="102" fillId="0" borderId="0" xfId="0" applyFont="1">
      <alignment vertical="center"/>
    </xf>
    <xf numFmtId="0" fontId="103" fillId="0" borderId="0" xfId="0" applyFont="1">
      <alignment vertical="center"/>
    </xf>
    <xf numFmtId="0" fontId="57" fillId="18" borderId="18" xfId="0" applyFont="1" applyFill="1" applyBorder="1">
      <alignment vertical="center"/>
    </xf>
    <xf numFmtId="0" fontId="78" fillId="18" borderId="16" xfId="0" applyFont="1" applyFill="1" applyBorder="1">
      <alignment vertical="center"/>
    </xf>
    <xf numFmtId="0" fontId="22" fillId="18" borderId="22" xfId="0" applyFont="1" applyFill="1" applyBorder="1">
      <alignment vertical="center"/>
    </xf>
    <xf numFmtId="0" fontId="78" fillId="18" borderId="18" xfId="0" applyFont="1" applyFill="1" applyBorder="1">
      <alignment vertical="center"/>
    </xf>
    <xf numFmtId="0" fontId="22" fillId="18" borderId="0" xfId="0" applyFont="1" applyFill="1" applyBorder="1">
      <alignment vertical="center"/>
    </xf>
    <xf numFmtId="0" fontId="78" fillId="18" borderId="20" xfId="0" applyFont="1" applyFill="1" applyBorder="1">
      <alignment vertical="center"/>
    </xf>
    <xf numFmtId="0" fontId="22" fillId="18" borderId="24" xfId="0" applyFont="1" applyFill="1" applyBorder="1">
      <alignment vertical="center"/>
    </xf>
    <xf numFmtId="0" fontId="35" fillId="8" borderId="18" xfId="0" applyFont="1" applyFill="1" applyBorder="1">
      <alignment vertical="center"/>
    </xf>
    <xf numFmtId="0" fontId="35" fillId="8" borderId="20" xfId="0" applyFont="1" applyFill="1" applyBorder="1">
      <alignment vertical="center"/>
    </xf>
    <xf numFmtId="0" fontId="104" fillId="19" borderId="2" xfId="0" applyFont="1" applyFill="1" applyBorder="1">
      <alignment vertical="center"/>
    </xf>
    <xf numFmtId="0" fontId="106" fillId="19" borderId="5" xfId="0" applyFont="1" applyFill="1" applyBorder="1">
      <alignment vertical="center"/>
    </xf>
    <xf numFmtId="0" fontId="105" fillId="19" borderId="0" xfId="0" applyFont="1" applyFill="1" applyBorder="1">
      <alignment vertical="center"/>
    </xf>
    <xf numFmtId="0" fontId="11" fillId="19" borderId="5" xfId="0" applyFont="1" applyFill="1" applyBorder="1">
      <alignment vertical="center"/>
    </xf>
    <xf numFmtId="0" fontId="36" fillId="18" borderId="16" xfId="0" applyFont="1" applyFill="1" applyBorder="1">
      <alignment vertical="center"/>
    </xf>
    <xf numFmtId="0" fontId="42" fillId="18" borderId="22" xfId="0" applyFont="1" applyFill="1" applyBorder="1">
      <alignment vertical="center"/>
    </xf>
    <xf numFmtId="0" fontId="42" fillId="18" borderId="20" xfId="0" applyFont="1" applyFill="1" applyBorder="1">
      <alignment vertical="center"/>
    </xf>
    <xf numFmtId="0" fontId="42" fillId="18" borderId="24" xfId="0" applyFont="1" applyFill="1" applyBorder="1">
      <alignment vertical="center"/>
    </xf>
    <xf numFmtId="0" fontId="104" fillId="8" borderId="0" xfId="0" applyFont="1" applyFill="1" applyBorder="1">
      <alignment vertical="center"/>
    </xf>
    <xf numFmtId="0" fontId="3" fillId="8" borderId="0" xfId="0" applyFont="1" applyFill="1" applyBorder="1">
      <alignment vertical="center"/>
    </xf>
    <xf numFmtId="0" fontId="3" fillId="2" borderId="2" xfId="0" applyFont="1" applyFill="1" applyBorder="1">
      <alignment vertical="center"/>
    </xf>
    <xf numFmtId="0" fontId="3" fillId="2" borderId="3" xfId="0" applyFont="1" applyFill="1" applyBorder="1">
      <alignment vertical="center"/>
    </xf>
    <xf numFmtId="0" fontId="3" fillId="2" borderId="4" xfId="0" applyFont="1" applyFill="1" applyBorder="1">
      <alignment vertical="center"/>
    </xf>
    <xf numFmtId="0" fontId="3" fillId="2" borderId="6" xfId="0" applyFont="1" applyFill="1" applyBorder="1">
      <alignment vertical="center"/>
    </xf>
    <xf numFmtId="0" fontId="3" fillId="2" borderId="0" xfId="0" applyFont="1" applyFill="1" applyBorder="1" applyAlignment="1">
      <alignment horizontal="right" vertical="center"/>
    </xf>
    <xf numFmtId="0" fontId="3" fillId="2" borderId="7" xfId="0" applyFont="1" applyFill="1" applyBorder="1">
      <alignment vertical="center"/>
    </xf>
    <xf numFmtId="0" fontId="3" fillId="2" borderId="8" xfId="0" applyFont="1" applyFill="1" applyBorder="1">
      <alignment vertical="center"/>
    </xf>
    <xf numFmtId="0" fontId="3" fillId="2" borderId="9" xfId="0" applyFont="1" applyFill="1" applyBorder="1">
      <alignment vertical="center"/>
    </xf>
    <xf numFmtId="0" fontId="42" fillId="2" borderId="0" xfId="0" applyFont="1" applyFill="1" applyBorder="1">
      <alignment vertical="center"/>
    </xf>
    <xf numFmtId="0" fontId="80" fillId="2" borderId="5" xfId="0" applyFont="1" applyFill="1" applyBorder="1">
      <alignment vertical="center"/>
    </xf>
    <xf numFmtId="0" fontId="80" fillId="2" borderId="0" xfId="0" applyFont="1" applyFill="1" applyBorder="1">
      <alignment vertical="center"/>
    </xf>
    <xf numFmtId="0" fontId="53" fillId="2" borderId="5" xfId="0" applyFont="1" applyFill="1" applyBorder="1">
      <alignment vertical="center"/>
    </xf>
    <xf numFmtId="0" fontId="53" fillId="2" borderId="0" xfId="0" applyFont="1" applyFill="1" applyBorder="1">
      <alignment vertical="center"/>
    </xf>
    <xf numFmtId="0" fontId="99" fillId="2" borderId="5" xfId="0" applyFont="1" applyFill="1" applyBorder="1">
      <alignment vertical="center"/>
    </xf>
    <xf numFmtId="0" fontId="28" fillId="0" borderId="0" xfId="0" applyFont="1">
      <alignment vertical="center"/>
    </xf>
    <xf numFmtId="0" fontId="16" fillId="0" borderId="18" xfId="0" applyFont="1" applyBorder="1">
      <alignment vertical="center"/>
    </xf>
    <xf numFmtId="0" fontId="16" fillId="0" borderId="19" xfId="0" applyFont="1" applyBorder="1">
      <alignment vertical="center"/>
    </xf>
    <xf numFmtId="0" fontId="85" fillId="0" borderId="0" xfId="0" applyFont="1" applyBorder="1">
      <alignment vertical="center"/>
    </xf>
    <xf numFmtId="0" fontId="16" fillId="0" borderId="0" xfId="0" applyFont="1" applyBorder="1" applyAlignment="1">
      <alignment horizontal="center" vertical="center"/>
    </xf>
    <xf numFmtId="0" fontId="86" fillId="0" borderId="0" xfId="0" applyFont="1" applyBorder="1">
      <alignment vertical="center"/>
    </xf>
    <xf numFmtId="0" fontId="15" fillId="18" borderId="0" xfId="0" applyFont="1" applyFill="1" applyBorder="1">
      <alignment vertical="center"/>
    </xf>
    <xf numFmtId="0" fontId="16" fillId="18" borderId="0" xfId="0" applyFont="1" applyFill="1" applyBorder="1">
      <alignment vertical="center"/>
    </xf>
    <xf numFmtId="0" fontId="16" fillId="18" borderId="19" xfId="0" applyFont="1" applyFill="1" applyBorder="1">
      <alignment vertical="center"/>
    </xf>
    <xf numFmtId="0" fontId="4" fillId="27" borderId="0" xfId="0" applyFont="1" applyFill="1">
      <alignment vertical="center"/>
    </xf>
    <xf numFmtId="0" fontId="3" fillId="19" borderId="16" xfId="0" applyFont="1" applyFill="1" applyBorder="1">
      <alignment vertical="center"/>
    </xf>
    <xf numFmtId="0" fontId="3" fillId="19" borderId="22" xfId="0" applyFont="1" applyFill="1" applyBorder="1">
      <alignment vertical="center"/>
    </xf>
    <xf numFmtId="0" fontId="3" fillId="19" borderId="17" xfId="0" applyFont="1" applyFill="1" applyBorder="1">
      <alignment vertical="center"/>
    </xf>
    <xf numFmtId="0" fontId="3" fillId="19" borderId="18" xfId="0" applyFont="1" applyFill="1" applyBorder="1">
      <alignment vertical="center"/>
    </xf>
    <xf numFmtId="0" fontId="3" fillId="19" borderId="19" xfId="0" applyFont="1" applyFill="1" applyBorder="1">
      <alignment vertical="center"/>
    </xf>
    <xf numFmtId="0" fontId="3" fillId="19" borderId="20" xfId="0" applyFont="1" applyFill="1" applyBorder="1">
      <alignment vertical="center"/>
    </xf>
    <xf numFmtId="0" fontId="3" fillId="19" borderId="24" xfId="0" applyFont="1" applyFill="1" applyBorder="1">
      <alignment vertical="center"/>
    </xf>
    <xf numFmtId="0" fontId="3" fillId="19" borderId="21" xfId="0" applyFont="1" applyFill="1" applyBorder="1">
      <alignment vertical="center"/>
    </xf>
    <xf numFmtId="0" fontId="3" fillId="27" borderId="0" xfId="0" applyFont="1" applyFill="1">
      <alignment vertical="center"/>
    </xf>
    <xf numFmtId="0" fontId="3" fillId="27" borderId="0" xfId="0" quotePrefix="1" applyFont="1" applyFill="1">
      <alignment vertical="center"/>
    </xf>
    <xf numFmtId="0" fontId="63" fillId="0" borderId="0" xfId="0" applyFont="1">
      <alignment vertical="center"/>
    </xf>
    <xf numFmtId="0" fontId="107" fillId="0" borderId="0" xfId="0" quotePrefix="1" applyFont="1">
      <alignment vertical="center"/>
    </xf>
    <xf numFmtId="0" fontId="0" fillId="18" borderId="16" xfId="0" applyFill="1" applyBorder="1">
      <alignment vertical="center"/>
    </xf>
    <xf numFmtId="0" fontId="13" fillId="18" borderId="22" xfId="0" applyFont="1" applyFill="1" applyBorder="1">
      <alignment vertical="center"/>
    </xf>
    <xf numFmtId="0" fontId="0" fillId="18" borderId="20" xfId="0" applyFill="1" applyBorder="1">
      <alignment vertical="center"/>
    </xf>
    <xf numFmtId="0" fontId="0" fillId="13" borderId="0" xfId="0" applyFill="1">
      <alignment vertical="center"/>
    </xf>
    <xf numFmtId="0" fontId="0" fillId="28" borderId="2" xfId="0" applyFill="1" applyBorder="1">
      <alignment vertical="center"/>
    </xf>
    <xf numFmtId="0" fontId="0" fillId="28" borderId="3" xfId="0" applyFill="1" applyBorder="1">
      <alignment vertical="center"/>
    </xf>
    <xf numFmtId="0" fontId="0" fillId="28" borderId="7" xfId="0" applyFill="1" applyBorder="1">
      <alignment vertical="center"/>
    </xf>
    <xf numFmtId="0" fontId="0" fillId="28" borderId="8" xfId="0" applyFill="1" applyBorder="1">
      <alignment vertical="center"/>
    </xf>
    <xf numFmtId="0" fontId="16" fillId="28" borderId="4" xfId="0" applyFont="1" applyFill="1" applyBorder="1">
      <alignment vertical="center"/>
    </xf>
    <xf numFmtId="0" fontId="16" fillId="28" borderId="9" xfId="0" applyFont="1" applyFill="1" applyBorder="1">
      <alignment vertical="center"/>
    </xf>
    <xf numFmtId="0" fontId="108" fillId="0" borderId="0" xfId="0" applyFont="1">
      <alignment vertical="center"/>
    </xf>
    <xf numFmtId="0" fontId="109" fillId="0" borderId="0" xfId="0" applyFont="1">
      <alignment vertical="center"/>
    </xf>
    <xf numFmtId="0" fontId="16" fillId="18" borderId="22" xfId="0" applyFont="1" applyFill="1" applyBorder="1">
      <alignment vertical="center"/>
    </xf>
    <xf numFmtId="0" fontId="16" fillId="18" borderId="18" xfId="0" applyFont="1" applyFill="1" applyBorder="1">
      <alignment vertical="center"/>
    </xf>
    <xf numFmtId="0" fontId="16" fillId="18" borderId="24" xfId="0" applyFont="1" applyFill="1" applyBorder="1">
      <alignment vertical="center"/>
    </xf>
    <xf numFmtId="0" fontId="28" fillId="18" borderId="16" xfId="0" applyFont="1" applyFill="1" applyBorder="1">
      <alignment vertical="center"/>
    </xf>
    <xf numFmtId="0" fontId="28" fillId="18" borderId="22" xfId="0" applyFont="1" applyFill="1" applyBorder="1">
      <alignment vertical="center"/>
    </xf>
    <xf numFmtId="0" fontId="28" fillId="18" borderId="18" xfId="0" applyFont="1" applyFill="1" applyBorder="1">
      <alignment vertical="center"/>
    </xf>
    <xf numFmtId="0" fontId="28" fillId="18" borderId="0" xfId="0" applyFont="1" applyFill="1" applyBorder="1">
      <alignment vertical="center"/>
    </xf>
    <xf numFmtId="0" fontId="27" fillId="18" borderId="18" xfId="0" applyFont="1" applyFill="1" applyBorder="1">
      <alignment vertical="center"/>
    </xf>
    <xf numFmtId="0" fontId="86" fillId="19" borderId="5" xfId="0" applyFont="1" applyFill="1" applyBorder="1">
      <alignment vertical="center"/>
    </xf>
    <xf numFmtId="0" fontId="86" fillId="19" borderId="7" xfId="0" applyFont="1" applyFill="1" applyBorder="1">
      <alignment vertical="center"/>
    </xf>
    <xf numFmtId="0" fontId="0" fillId="19" borderId="2" xfId="0" applyFill="1" applyBorder="1">
      <alignment vertical="center"/>
    </xf>
    <xf numFmtId="0" fontId="0" fillId="19" borderId="3" xfId="0" applyFill="1" applyBorder="1">
      <alignment vertical="center"/>
    </xf>
    <xf numFmtId="0" fontId="0" fillId="19" borderId="4" xfId="0" applyFill="1" applyBorder="1">
      <alignment vertical="center"/>
    </xf>
    <xf numFmtId="0" fontId="0" fillId="19" borderId="5" xfId="0" applyFill="1" applyBorder="1">
      <alignment vertical="center"/>
    </xf>
    <xf numFmtId="0" fontId="0" fillId="19" borderId="0" xfId="0" applyFill="1" applyBorder="1">
      <alignment vertical="center"/>
    </xf>
    <xf numFmtId="0" fontId="0" fillId="19" borderId="6" xfId="0" applyFill="1" applyBorder="1">
      <alignment vertical="center"/>
    </xf>
    <xf numFmtId="0" fontId="0" fillId="19" borderId="7" xfId="0" applyFill="1" applyBorder="1">
      <alignment vertical="center"/>
    </xf>
    <xf numFmtId="0" fontId="0" fillId="19" borderId="8" xfId="0" applyFill="1" applyBorder="1">
      <alignment vertical="center"/>
    </xf>
    <xf numFmtId="0" fontId="0" fillId="19" borderId="9" xfId="0" applyFill="1" applyBorder="1">
      <alignment vertical="center"/>
    </xf>
    <xf numFmtId="0" fontId="96" fillId="0" borderId="2" xfId="0" applyFont="1" applyBorder="1">
      <alignment vertical="center"/>
    </xf>
    <xf numFmtId="0" fontId="96" fillId="0" borderId="3" xfId="0" applyFont="1" applyBorder="1">
      <alignment vertical="center"/>
    </xf>
    <xf numFmtId="0" fontId="96" fillId="0" borderId="5" xfId="0" applyFont="1" applyBorder="1">
      <alignment vertical="center"/>
    </xf>
    <xf numFmtId="0" fontId="96" fillId="0" borderId="0" xfId="0" applyFont="1" applyBorder="1">
      <alignment vertical="center"/>
    </xf>
    <xf numFmtId="0" fontId="96" fillId="0" borderId="7" xfId="0" applyFont="1" applyBorder="1">
      <alignment vertical="center"/>
    </xf>
    <xf numFmtId="0" fontId="96" fillId="0" borderId="8" xfId="0" applyFont="1" applyBorder="1">
      <alignment vertical="center"/>
    </xf>
    <xf numFmtId="0" fontId="96" fillId="18" borderId="2" xfId="0" applyFont="1" applyFill="1" applyBorder="1">
      <alignment vertical="center"/>
    </xf>
    <xf numFmtId="0" fontId="96" fillId="18" borderId="3" xfId="0" applyFont="1" applyFill="1" applyBorder="1">
      <alignment vertical="center"/>
    </xf>
    <xf numFmtId="0" fontId="96" fillId="18" borderId="5" xfId="0" applyFont="1" applyFill="1" applyBorder="1">
      <alignment vertical="center"/>
    </xf>
    <xf numFmtId="0" fontId="96" fillId="18" borderId="0" xfId="0" applyFont="1" applyFill="1" applyBorder="1">
      <alignment vertical="center"/>
    </xf>
    <xf numFmtId="0" fontId="96" fillId="18" borderId="7" xfId="0" applyFont="1" applyFill="1" applyBorder="1">
      <alignment vertical="center"/>
    </xf>
    <xf numFmtId="0" fontId="96" fillId="18" borderId="8" xfId="0" applyFont="1" applyFill="1" applyBorder="1">
      <alignment vertical="center"/>
    </xf>
    <xf numFmtId="0" fontId="96" fillId="8" borderId="8" xfId="0" applyFont="1" applyFill="1" applyBorder="1">
      <alignment vertical="center"/>
    </xf>
    <xf numFmtId="0" fontId="28" fillId="8" borderId="16" xfId="0" applyFont="1" applyFill="1" applyBorder="1">
      <alignment vertical="center"/>
    </xf>
    <xf numFmtId="0" fontId="28" fillId="8" borderId="22" xfId="0" applyFont="1" applyFill="1" applyBorder="1">
      <alignment vertical="center"/>
    </xf>
    <xf numFmtId="0" fontId="16" fillId="8" borderId="22" xfId="0" applyFont="1" applyFill="1" applyBorder="1">
      <alignment vertical="center"/>
    </xf>
    <xf numFmtId="0" fontId="16" fillId="8" borderId="17" xfId="0" applyFont="1" applyFill="1" applyBorder="1">
      <alignment vertical="center"/>
    </xf>
    <xf numFmtId="0" fontId="28" fillId="8" borderId="18" xfId="0" applyFont="1" applyFill="1" applyBorder="1">
      <alignment vertical="center"/>
    </xf>
    <xf numFmtId="0" fontId="28" fillId="8" borderId="0" xfId="0" applyFont="1" applyFill="1" applyBorder="1">
      <alignment vertical="center"/>
    </xf>
    <xf numFmtId="0" fontId="16" fillId="8" borderId="19" xfId="0" applyFont="1" applyFill="1" applyBorder="1">
      <alignment vertical="center"/>
    </xf>
    <xf numFmtId="0" fontId="16" fillId="8" borderId="18" xfId="0" applyFont="1" applyFill="1" applyBorder="1">
      <alignment vertical="center"/>
    </xf>
    <xf numFmtId="0" fontId="27" fillId="8" borderId="18" xfId="0" applyFont="1" applyFill="1" applyBorder="1">
      <alignment vertical="center"/>
    </xf>
    <xf numFmtId="0" fontId="16" fillId="8" borderId="20" xfId="0" applyFont="1" applyFill="1" applyBorder="1">
      <alignment vertical="center"/>
    </xf>
    <xf numFmtId="0" fontId="16" fillId="8" borderId="24" xfId="0" applyFont="1" applyFill="1" applyBorder="1">
      <alignment vertical="center"/>
    </xf>
    <xf numFmtId="0" fontId="16" fillId="8" borderId="21" xfId="0" applyFont="1" applyFill="1" applyBorder="1">
      <alignment vertical="center"/>
    </xf>
    <xf numFmtId="0" fontId="111" fillId="18" borderId="0" xfId="0" applyFont="1" applyFill="1" applyBorder="1">
      <alignment vertical="center"/>
    </xf>
    <xf numFmtId="0" fontId="0" fillId="18" borderId="19" xfId="0" applyFill="1" applyBorder="1">
      <alignment vertical="center"/>
    </xf>
    <xf numFmtId="0" fontId="96" fillId="18" borderId="20" xfId="0" applyFont="1" applyFill="1" applyBorder="1">
      <alignment vertical="center"/>
    </xf>
    <xf numFmtId="0" fontId="0" fillId="19" borderId="0" xfId="0" applyFill="1">
      <alignment vertical="center"/>
    </xf>
    <xf numFmtId="0" fontId="35" fillId="8" borderId="0" xfId="0" applyFont="1" applyFill="1" applyBorder="1">
      <alignment vertical="center"/>
    </xf>
    <xf numFmtId="0" fontId="112" fillId="8" borderId="0" xfId="0" applyFont="1" applyFill="1" applyBorder="1">
      <alignment vertical="center"/>
    </xf>
    <xf numFmtId="0" fontId="14" fillId="8" borderId="0" xfId="0" applyFont="1" applyFill="1" applyBorder="1">
      <alignment vertical="center"/>
    </xf>
    <xf numFmtId="0" fontId="14" fillId="19" borderId="0" xfId="0" applyFont="1" applyFill="1" applyBorder="1">
      <alignment vertical="center"/>
    </xf>
    <xf numFmtId="0" fontId="14" fillId="19" borderId="0" xfId="0" applyFont="1" applyFill="1">
      <alignment vertical="center"/>
    </xf>
    <xf numFmtId="0" fontId="35" fillId="8" borderId="14" xfId="0" applyFont="1" applyFill="1" applyBorder="1">
      <alignment vertical="center"/>
    </xf>
    <xf numFmtId="0" fontId="14" fillId="0" borderId="15" xfId="0" applyFont="1" applyBorder="1">
      <alignment vertical="center"/>
    </xf>
    <xf numFmtId="0" fontId="14" fillId="0" borderId="10" xfId="0" applyFont="1" applyBorder="1">
      <alignment vertical="center"/>
    </xf>
    <xf numFmtId="0" fontId="35" fillId="2" borderId="14" xfId="0" applyFont="1" applyFill="1" applyBorder="1">
      <alignment vertical="center"/>
    </xf>
    <xf numFmtId="0" fontId="14" fillId="2" borderId="15" xfId="0" applyFont="1" applyFill="1" applyBorder="1">
      <alignment vertical="center"/>
    </xf>
    <xf numFmtId="0" fontId="14" fillId="2" borderId="10" xfId="0" applyFont="1" applyFill="1" applyBorder="1">
      <alignment vertical="center"/>
    </xf>
    <xf numFmtId="0" fontId="35" fillId="27" borderId="14" xfId="0" applyFont="1" applyFill="1" applyBorder="1">
      <alignment vertical="center"/>
    </xf>
    <xf numFmtId="0" fontId="14" fillId="27" borderId="15" xfId="0" applyFont="1" applyFill="1" applyBorder="1">
      <alignment vertical="center"/>
    </xf>
    <xf numFmtId="0" fontId="14" fillId="27" borderId="10" xfId="0" applyFont="1" applyFill="1" applyBorder="1">
      <alignment vertical="center"/>
    </xf>
    <xf numFmtId="0" fontId="3" fillId="27" borderId="1" xfId="0" applyFont="1" applyFill="1" applyBorder="1" applyAlignment="1">
      <alignment horizontal="center" vertical="center"/>
    </xf>
    <xf numFmtId="0" fontId="14" fillId="8" borderId="0" xfId="0" applyFont="1" applyFill="1" applyBorder="1" applyAlignment="1">
      <alignment horizontal="center" vertical="center"/>
    </xf>
    <xf numFmtId="0" fontId="113" fillId="18" borderId="0" xfId="0" applyFont="1" applyFill="1" applyBorder="1">
      <alignment vertical="center"/>
    </xf>
    <xf numFmtId="0" fontId="113" fillId="18" borderId="0" xfId="0" applyFont="1" applyFill="1">
      <alignment vertical="center"/>
    </xf>
    <xf numFmtId="0" fontId="14" fillId="18" borderId="0" xfId="0" applyFont="1" applyFill="1">
      <alignment vertical="center"/>
    </xf>
    <xf numFmtId="0" fontId="59" fillId="4" borderId="1" xfId="0" applyFont="1" applyFill="1" applyBorder="1" applyAlignment="1">
      <alignment horizontal="center" vertical="center"/>
    </xf>
    <xf numFmtId="0" fontId="0" fillId="19" borderId="0" xfId="0" quotePrefix="1" applyFill="1">
      <alignment vertical="center"/>
    </xf>
    <xf numFmtId="0" fontId="0" fillId="8" borderId="0" xfId="0" applyFill="1">
      <alignment vertical="center"/>
    </xf>
    <xf numFmtId="0" fontId="52" fillId="0" borderId="0" xfId="0" applyFont="1">
      <alignment vertical="center"/>
    </xf>
    <xf numFmtId="0" fontId="59" fillId="18" borderId="16" xfId="0" applyFont="1" applyFill="1" applyBorder="1">
      <alignment vertical="center"/>
    </xf>
    <xf numFmtId="0" fontId="59" fillId="18" borderId="22" xfId="0" applyFont="1" applyFill="1" applyBorder="1">
      <alignment vertical="center"/>
    </xf>
    <xf numFmtId="0" fontId="59" fillId="18" borderId="17" xfId="0" applyFont="1" applyFill="1" applyBorder="1">
      <alignment vertical="center"/>
    </xf>
    <xf numFmtId="0" fontId="59" fillId="18" borderId="18" xfId="0" applyFont="1" applyFill="1" applyBorder="1">
      <alignment vertical="center"/>
    </xf>
    <xf numFmtId="0" fontId="59" fillId="18" borderId="0" xfId="0" applyFont="1" applyFill="1" applyBorder="1">
      <alignment vertical="center"/>
    </xf>
    <xf numFmtId="0" fontId="59" fillId="18" borderId="19" xfId="0" applyFont="1" applyFill="1" applyBorder="1">
      <alignment vertical="center"/>
    </xf>
    <xf numFmtId="0" fontId="59" fillId="18" borderId="20" xfId="0" applyFont="1" applyFill="1" applyBorder="1">
      <alignment vertical="center"/>
    </xf>
    <xf numFmtId="0" fontId="59" fillId="18" borderId="24" xfId="0" applyFont="1" applyFill="1" applyBorder="1">
      <alignment vertical="center"/>
    </xf>
    <xf numFmtId="0" fontId="59" fillId="18" borderId="21" xfId="0" applyFont="1" applyFill="1" applyBorder="1">
      <alignment vertical="center"/>
    </xf>
    <xf numFmtId="0" fontId="104" fillId="0" borderId="0" xfId="0" applyFont="1">
      <alignment vertical="center"/>
    </xf>
    <xf numFmtId="0" fontId="117" fillId="19" borderId="0" xfId="0" applyFont="1" applyFill="1">
      <alignment vertical="center"/>
    </xf>
    <xf numFmtId="0" fontId="16" fillId="19" borderId="0" xfId="0" applyFont="1" applyFill="1">
      <alignment vertical="center"/>
    </xf>
    <xf numFmtId="0" fontId="116" fillId="19" borderId="0" xfId="0" applyFont="1" applyFill="1">
      <alignment vertical="center"/>
    </xf>
    <xf numFmtId="0" fontId="19" fillId="19" borderId="0" xfId="0" applyFont="1" applyFill="1">
      <alignment vertical="center"/>
    </xf>
    <xf numFmtId="0" fontId="117" fillId="19" borderId="0" xfId="0" quotePrefix="1" applyFont="1" applyFill="1">
      <alignment vertical="center"/>
    </xf>
    <xf numFmtId="0" fontId="118" fillId="0" borderId="0" xfId="0" applyFont="1">
      <alignment vertical="center"/>
    </xf>
    <xf numFmtId="0" fontId="119" fillId="0" borderId="0" xfId="0" applyFont="1">
      <alignment vertical="center"/>
    </xf>
    <xf numFmtId="0" fontId="120" fillId="0" borderId="0" xfId="0" applyFont="1">
      <alignment vertical="center"/>
    </xf>
    <xf numFmtId="0" fontId="120" fillId="18" borderId="16" xfId="0" applyFont="1" applyFill="1" applyBorder="1">
      <alignment vertical="center"/>
    </xf>
    <xf numFmtId="0" fontId="120" fillId="18" borderId="22" xfId="0" applyFont="1" applyFill="1" applyBorder="1">
      <alignment vertical="center"/>
    </xf>
    <xf numFmtId="0" fontId="16" fillId="18" borderId="17" xfId="0" applyFont="1" applyFill="1" applyBorder="1">
      <alignment vertical="center"/>
    </xf>
    <xf numFmtId="0" fontId="120" fillId="18" borderId="18" xfId="0" applyFont="1" applyFill="1" applyBorder="1">
      <alignment vertical="center"/>
    </xf>
    <xf numFmtId="0" fontId="120" fillId="18" borderId="0" xfId="0" applyFont="1" applyFill="1" applyBorder="1">
      <alignment vertical="center"/>
    </xf>
    <xf numFmtId="0" fontId="120" fillId="18" borderId="20" xfId="0" applyFont="1" applyFill="1" applyBorder="1">
      <alignment vertical="center"/>
    </xf>
    <xf numFmtId="0" fontId="120" fillId="18" borderId="24" xfId="0" applyFont="1" applyFill="1" applyBorder="1">
      <alignment vertical="center"/>
    </xf>
    <xf numFmtId="0" fontId="16" fillId="18" borderId="21" xfId="0" applyFont="1" applyFill="1" applyBorder="1">
      <alignment vertical="center"/>
    </xf>
    <xf numFmtId="0" fontId="117" fillId="4" borderId="16" xfId="0" applyFont="1" applyFill="1" applyBorder="1">
      <alignment vertical="center"/>
    </xf>
    <xf numFmtId="0" fontId="117" fillId="4" borderId="22" xfId="0" applyFont="1" applyFill="1" applyBorder="1">
      <alignment vertical="center"/>
    </xf>
    <xf numFmtId="0" fontId="117" fillId="4" borderId="18" xfId="0" applyFont="1" applyFill="1" applyBorder="1">
      <alignment vertical="center"/>
    </xf>
    <xf numFmtId="0" fontId="117" fillId="4" borderId="0" xfId="0" applyFont="1" applyFill="1" applyBorder="1">
      <alignment vertical="center"/>
    </xf>
    <xf numFmtId="0" fontId="117" fillId="4" borderId="20" xfId="0" applyFont="1" applyFill="1" applyBorder="1">
      <alignment vertical="center"/>
    </xf>
    <xf numFmtId="0" fontId="117" fillId="4" borderId="24" xfId="0" applyFont="1" applyFill="1" applyBorder="1">
      <alignment vertical="center"/>
    </xf>
    <xf numFmtId="0" fontId="16" fillId="19" borderId="0" xfId="0" quotePrefix="1" applyFont="1" applyFill="1">
      <alignment vertical="center"/>
    </xf>
    <xf numFmtId="0" fontId="0" fillId="2" borderId="1" xfId="0" applyFill="1" applyBorder="1" applyAlignment="1">
      <alignment horizontal="center" vertical="center"/>
    </xf>
    <xf numFmtId="0" fontId="0" fillId="8" borderId="1" xfId="0" applyFont="1" applyFill="1" applyBorder="1" applyAlignment="1">
      <alignment horizontal="center" vertical="center"/>
    </xf>
    <xf numFmtId="0" fontId="114" fillId="8" borderId="1" xfId="0" applyFont="1" applyFill="1" applyBorder="1" applyAlignment="1">
      <alignment horizontal="center" vertical="center"/>
    </xf>
    <xf numFmtId="0" fontId="7" fillId="0" borderId="1" xfId="0" applyFont="1" applyBorder="1" applyAlignment="1">
      <alignment horizontal="center" vertical="center"/>
    </xf>
    <xf numFmtId="0" fontId="0" fillId="0" borderId="1" xfId="0" applyBorder="1" applyAlignment="1">
      <alignment horizontal="center" vertical="center"/>
    </xf>
    <xf numFmtId="0" fontId="14" fillId="8" borderId="1" xfId="0" applyFont="1" applyFill="1" applyBorder="1" applyAlignment="1">
      <alignment horizontal="center" vertical="center"/>
    </xf>
    <xf numFmtId="0" fontId="122" fillId="18" borderId="0" xfId="0" applyFont="1" applyFill="1" applyBorder="1">
      <alignment vertical="center"/>
    </xf>
    <xf numFmtId="0" fontId="122" fillId="18" borderId="24" xfId="0" applyFont="1" applyFill="1" applyBorder="1">
      <alignment vertical="center"/>
    </xf>
    <xf numFmtId="0" fontId="86" fillId="19" borderId="0" xfId="0" applyFont="1" applyFill="1">
      <alignment vertical="center"/>
    </xf>
  </cellXfs>
  <cellStyles count="1">
    <cellStyle name="標準" xfId="0" builtinId="0"/>
  </cellStyles>
  <dxfs count="0"/>
  <tableStyles count="0" defaultTableStyle="TableStyleMedium9" defaultPivotStyle="PivotStyleLight16"/>
  <colors>
    <mruColors>
      <color rgb="FFFFFF99"/>
      <color rgb="FF0000FF"/>
      <color rgb="FFCCFFFF"/>
      <color rgb="FF66FFFF"/>
      <color rgb="FFCCFF99"/>
      <color rgb="FFCCFFCC"/>
      <color rgb="FFCC99FF"/>
      <color rgb="FFFF9966"/>
      <color rgb="FFFFFFFF"/>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0.xml.rels><?xml version="1.0" encoding="UTF-8" standalone="yes"?>
<Relationships xmlns="http://schemas.openxmlformats.org/package/2006/relationships"><Relationship Id="rId3" Type="http://schemas.openxmlformats.org/officeDocument/2006/relationships/image" Target="../media/image6.gif"/><Relationship Id="rId2" Type="http://schemas.openxmlformats.org/officeDocument/2006/relationships/image" Target="../media/image5.gif"/><Relationship Id="rId1" Type="http://schemas.openxmlformats.org/officeDocument/2006/relationships/image" Target="../media/image4.gif"/><Relationship Id="rId4" Type="http://schemas.openxmlformats.org/officeDocument/2006/relationships/image" Target="../media/image7.gif"/></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3.jpeg"/></Relationships>
</file>

<file path=xl/drawings/_rels/drawing8.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0</xdr:col>
      <xdr:colOff>619125</xdr:colOff>
      <xdr:row>141</xdr:row>
      <xdr:rowOff>76200</xdr:rowOff>
    </xdr:from>
    <xdr:to>
      <xdr:col>1</xdr:col>
      <xdr:colOff>723900</xdr:colOff>
      <xdr:row>146</xdr:row>
      <xdr:rowOff>38100</xdr:rowOff>
    </xdr:to>
    <xdr:sp macro="" textlink="">
      <xdr:nvSpPr>
        <xdr:cNvPr id="2" name="角丸四角形 1"/>
        <xdr:cNvSpPr/>
      </xdr:nvSpPr>
      <xdr:spPr>
        <a:xfrm>
          <a:off x="619125" y="22964775"/>
          <a:ext cx="1295400" cy="676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割引債</a:t>
          </a:r>
          <a:endParaRPr kumimoji="1" lang="en-US" altLang="ja-JP" sz="1100"/>
        </a:p>
        <a:p>
          <a:pPr algn="ctr"/>
          <a:r>
            <a:rPr kumimoji="1" lang="ja-JP" altLang="en-US" sz="1100"/>
            <a:t>理論価格</a:t>
          </a:r>
        </a:p>
      </xdr:txBody>
    </xdr:sp>
    <xdr:clientData/>
  </xdr:twoCellAnchor>
  <xdr:twoCellAnchor>
    <xdr:from>
      <xdr:col>2</xdr:col>
      <xdr:colOff>800100</xdr:colOff>
      <xdr:row>141</xdr:row>
      <xdr:rowOff>76200</xdr:rowOff>
    </xdr:from>
    <xdr:to>
      <xdr:col>3</xdr:col>
      <xdr:colOff>904875</xdr:colOff>
      <xdr:row>146</xdr:row>
      <xdr:rowOff>38100</xdr:rowOff>
    </xdr:to>
    <xdr:sp macro="" textlink="">
      <xdr:nvSpPr>
        <xdr:cNvPr id="3" name="角丸四角形 2"/>
        <xdr:cNvSpPr/>
      </xdr:nvSpPr>
      <xdr:spPr>
        <a:xfrm>
          <a:off x="3181350" y="22964775"/>
          <a:ext cx="1295400" cy="676275"/>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対象期間</a:t>
          </a:r>
          <a:endParaRPr kumimoji="1" lang="en-US" altLang="ja-JP" sz="1100"/>
        </a:p>
        <a:p>
          <a:pPr algn="ctr"/>
          <a:r>
            <a:rPr kumimoji="1" lang="en-US" altLang="ja-JP" sz="1100"/>
            <a:t>DF</a:t>
          </a:r>
        </a:p>
      </xdr:txBody>
    </xdr:sp>
    <xdr:clientData/>
  </xdr:twoCellAnchor>
  <xdr:twoCellAnchor>
    <xdr:from>
      <xdr:col>1</xdr:col>
      <xdr:colOff>723900</xdr:colOff>
      <xdr:row>143</xdr:row>
      <xdr:rowOff>128588</xdr:rowOff>
    </xdr:from>
    <xdr:to>
      <xdr:col>2</xdr:col>
      <xdr:colOff>800100</xdr:colOff>
      <xdr:row>143</xdr:row>
      <xdr:rowOff>128588</xdr:rowOff>
    </xdr:to>
    <xdr:cxnSp macro="">
      <xdr:nvCxnSpPr>
        <xdr:cNvPr id="6" name="直線矢印コネクタ 5"/>
        <xdr:cNvCxnSpPr>
          <a:stCxn id="2" idx="3"/>
          <a:endCxn id="3" idx="1"/>
        </xdr:cNvCxnSpPr>
      </xdr:nvCxnSpPr>
      <xdr:spPr>
        <a:xfrm>
          <a:off x="1914525" y="23302913"/>
          <a:ext cx="1266825" cy="0"/>
        </a:xfrm>
        <a:prstGeom prst="straightConnector1">
          <a:avLst/>
        </a:prstGeom>
        <a:ln>
          <a:headEnd type="triangl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676275</xdr:colOff>
      <xdr:row>148</xdr:row>
      <xdr:rowOff>95250</xdr:rowOff>
    </xdr:from>
    <xdr:to>
      <xdr:col>1</xdr:col>
      <xdr:colOff>781050</xdr:colOff>
      <xdr:row>153</xdr:row>
      <xdr:rowOff>57150</xdr:rowOff>
    </xdr:to>
    <xdr:sp macro="" textlink="">
      <xdr:nvSpPr>
        <xdr:cNvPr id="8" name="角丸四角形 7"/>
        <xdr:cNvSpPr/>
      </xdr:nvSpPr>
      <xdr:spPr>
        <a:xfrm>
          <a:off x="676275" y="23841075"/>
          <a:ext cx="1295400" cy="67627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変動利付債</a:t>
          </a:r>
          <a:endParaRPr kumimoji="1" lang="en-US" altLang="ja-JP" sz="1100"/>
        </a:p>
        <a:p>
          <a:pPr algn="ctr"/>
          <a:r>
            <a:rPr kumimoji="1" lang="ja-JP" altLang="en-US" sz="1100"/>
            <a:t>理論価格</a:t>
          </a:r>
        </a:p>
      </xdr:txBody>
    </xdr:sp>
    <xdr:clientData/>
  </xdr:twoCellAnchor>
  <xdr:twoCellAnchor>
    <xdr:from>
      <xdr:col>2</xdr:col>
      <xdr:colOff>771525</xdr:colOff>
      <xdr:row>148</xdr:row>
      <xdr:rowOff>95250</xdr:rowOff>
    </xdr:from>
    <xdr:to>
      <xdr:col>3</xdr:col>
      <xdr:colOff>876300</xdr:colOff>
      <xdr:row>153</xdr:row>
      <xdr:rowOff>57150</xdr:rowOff>
    </xdr:to>
    <xdr:sp macro="" textlink="">
      <xdr:nvSpPr>
        <xdr:cNvPr id="9" name="角丸四角形 8"/>
        <xdr:cNvSpPr/>
      </xdr:nvSpPr>
      <xdr:spPr>
        <a:xfrm>
          <a:off x="3152775" y="23841075"/>
          <a:ext cx="1295400" cy="676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割引債</a:t>
          </a:r>
          <a:endParaRPr kumimoji="1" lang="en-US" altLang="ja-JP" sz="1100"/>
        </a:p>
        <a:p>
          <a:pPr algn="ctr"/>
          <a:r>
            <a:rPr kumimoji="1" lang="ja-JP" altLang="en-US" sz="1100"/>
            <a:t>理論価格</a:t>
          </a:r>
        </a:p>
      </xdr:txBody>
    </xdr:sp>
    <xdr:clientData/>
  </xdr:twoCellAnchor>
  <xdr:twoCellAnchor>
    <xdr:from>
      <xdr:col>4</xdr:col>
      <xdr:colOff>28575</xdr:colOff>
      <xdr:row>148</xdr:row>
      <xdr:rowOff>76200</xdr:rowOff>
    </xdr:from>
    <xdr:to>
      <xdr:col>4</xdr:col>
      <xdr:colOff>1323975</xdr:colOff>
      <xdr:row>153</xdr:row>
      <xdr:rowOff>38100</xdr:rowOff>
    </xdr:to>
    <xdr:sp macro="" textlink="">
      <xdr:nvSpPr>
        <xdr:cNvPr id="10" name="角丸四角形 9"/>
        <xdr:cNvSpPr/>
      </xdr:nvSpPr>
      <xdr:spPr>
        <a:xfrm>
          <a:off x="4791075" y="23822025"/>
          <a:ext cx="1295400" cy="676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割引債</a:t>
          </a:r>
          <a:endParaRPr kumimoji="1" lang="en-US" altLang="ja-JP" sz="1100"/>
        </a:p>
        <a:p>
          <a:pPr algn="ctr"/>
          <a:r>
            <a:rPr kumimoji="1" lang="ja-JP" altLang="en-US" sz="1100"/>
            <a:t>理論価格</a:t>
          </a:r>
        </a:p>
      </xdr:txBody>
    </xdr:sp>
    <xdr:clientData/>
  </xdr:twoCellAnchor>
  <xdr:twoCellAnchor>
    <xdr:from>
      <xdr:col>5</xdr:col>
      <xdr:colOff>285750</xdr:colOff>
      <xdr:row>148</xdr:row>
      <xdr:rowOff>47625</xdr:rowOff>
    </xdr:from>
    <xdr:to>
      <xdr:col>6</xdr:col>
      <xdr:colOff>276225</xdr:colOff>
      <xdr:row>153</xdr:row>
      <xdr:rowOff>9525</xdr:rowOff>
    </xdr:to>
    <xdr:sp macro="" textlink="">
      <xdr:nvSpPr>
        <xdr:cNvPr id="11" name="角丸四角形 10"/>
        <xdr:cNvSpPr/>
      </xdr:nvSpPr>
      <xdr:spPr>
        <a:xfrm>
          <a:off x="6429375" y="23793450"/>
          <a:ext cx="1295400" cy="676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割引債</a:t>
          </a:r>
          <a:endParaRPr kumimoji="1" lang="en-US" altLang="ja-JP" sz="1100"/>
        </a:p>
        <a:p>
          <a:pPr algn="ctr"/>
          <a:r>
            <a:rPr kumimoji="1" lang="ja-JP" altLang="en-US" sz="1100"/>
            <a:t>理論価格</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209550</xdr:colOff>
      <xdr:row>11</xdr:row>
      <xdr:rowOff>76200</xdr:rowOff>
    </xdr:from>
    <xdr:to>
      <xdr:col>6</xdr:col>
      <xdr:colOff>400050</xdr:colOff>
      <xdr:row>11</xdr:row>
      <xdr:rowOff>95250</xdr:rowOff>
    </xdr:to>
    <xdr:cxnSp macro="">
      <xdr:nvCxnSpPr>
        <xdr:cNvPr id="2" name="直線コネクタ 1"/>
        <xdr:cNvCxnSpPr/>
      </xdr:nvCxnSpPr>
      <xdr:spPr>
        <a:xfrm>
          <a:off x="2952750" y="3009900"/>
          <a:ext cx="1562100" cy="19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381000</xdr:colOff>
      <xdr:row>7</xdr:row>
      <xdr:rowOff>9525</xdr:rowOff>
    </xdr:from>
    <xdr:to>
      <xdr:col>6</xdr:col>
      <xdr:colOff>390525</xdr:colOff>
      <xdr:row>11</xdr:row>
      <xdr:rowOff>95250</xdr:rowOff>
    </xdr:to>
    <xdr:cxnSp macro="">
      <xdr:nvCxnSpPr>
        <xdr:cNvPr id="3" name="直線コネクタ 2"/>
        <xdr:cNvCxnSpPr/>
      </xdr:nvCxnSpPr>
      <xdr:spPr>
        <a:xfrm flipH="1" flipV="1">
          <a:off x="4495800" y="2371725"/>
          <a:ext cx="9525" cy="657225"/>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342900</xdr:colOff>
      <xdr:row>9</xdr:row>
      <xdr:rowOff>66675</xdr:rowOff>
    </xdr:from>
    <xdr:to>
      <xdr:col>5</xdr:col>
      <xdr:colOff>342901</xdr:colOff>
      <xdr:row>11</xdr:row>
      <xdr:rowOff>76201</xdr:rowOff>
    </xdr:to>
    <xdr:cxnSp macro="">
      <xdr:nvCxnSpPr>
        <xdr:cNvPr id="4" name="直線コネクタ 3"/>
        <xdr:cNvCxnSpPr/>
      </xdr:nvCxnSpPr>
      <xdr:spPr>
        <a:xfrm flipH="1" flipV="1">
          <a:off x="3771900" y="2714625"/>
          <a:ext cx="1" cy="295276"/>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209551</xdr:colOff>
      <xdr:row>11</xdr:row>
      <xdr:rowOff>76200</xdr:rowOff>
    </xdr:from>
    <xdr:to>
      <xdr:col>4</xdr:col>
      <xdr:colOff>228600</xdr:colOff>
      <xdr:row>14</xdr:row>
      <xdr:rowOff>66675</xdr:rowOff>
    </xdr:to>
    <xdr:cxnSp macro="">
      <xdr:nvCxnSpPr>
        <xdr:cNvPr id="5" name="直線コネクタ 4"/>
        <xdr:cNvCxnSpPr/>
      </xdr:nvCxnSpPr>
      <xdr:spPr>
        <a:xfrm flipH="1" flipV="1">
          <a:off x="2952751" y="3009900"/>
          <a:ext cx="19049" cy="419100"/>
        </a:xfrm>
        <a:prstGeom prst="line">
          <a:avLst/>
        </a:prstGeom>
        <a:ln>
          <a:headEnd type="triangl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409575</xdr:colOff>
      <xdr:row>11</xdr:row>
      <xdr:rowOff>85725</xdr:rowOff>
    </xdr:from>
    <xdr:to>
      <xdr:col>2</xdr:col>
      <xdr:colOff>600075</xdr:colOff>
      <xdr:row>11</xdr:row>
      <xdr:rowOff>104775</xdr:rowOff>
    </xdr:to>
    <xdr:cxnSp macro="">
      <xdr:nvCxnSpPr>
        <xdr:cNvPr id="6" name="直線コネクタ 5"/>
        <xdr:cNvCxnSpPr/>
      </xdr:nvCxnSpPr>
      <xdr:spPr>
        <a:xfrm>
          <a:off x="409575" y="3019425"/>
          <a:ext cx="1562100" cy="19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581025</xdr:colOff>
      <xdr:row>7</xdr:row>
      <xdr:rowOff>19050</xdr:rowOff>
    </xdr:from>
    <xdr:to>
      <xdr:col>2</xdr:col>
      <xdr:colOff>590550</xdr:colOff>
      <xdr:row>11</xdr:row>
      <xdr:rowOff>104775</xdr:rowOff>
    </xdr:to>
    <xdr:cxnSp macro="">
      <xdr:nvCxnSpPr>
        <xdr:cNvPr id="7" name="直線コネクタ 6"/>
        <xdr:cNvCxnSpPr/>
      </xdr:nvCxnSpPr>
      <xdr:spPr>
        <a:xfrm flipH="1" flipV="1">
          <a:off x="1952625" y="2381250"/>
          <a:ext cx="9525" cy="657225"/>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542925</xdr:colOff>
      <xdr:row>9</xdr:row>
      <xdr:rowOff>76200</xdr:rowOff>
    </xdr:from>
    <xdr:to>
      <xdr:col>1</xdr:col>
      <xdr:colOff>542926</xdr:colOff>
      <xdr:row>11</xdr:row>
      <xdr:rowOff>85726</xdr:rowOff>
    </xdr:to>
    <xdr:cxnSp macro="">
      <xdr:nvCxnSpPr>
        <xdr:cNvPr id="8" name="直線コネクタ 7"/>
        <xdr:cNvCxnSpPr/>
      </xdr:nvCxnSpPr>
      <xdr:spPr>
        <a:xfrm flipH="1" flipV="1">
          <a:off x="1228725" y="2724150"/>
          <a:ext cx="1" cy="295276"/>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409576</xdr:colOff>
      <xdr:row>11</xdr:row>
      <xdr:rowOff>85725</xdr:rowOff>
    </xdr:from>
    <xdr:to>
      <xdr:col>0</xdr:col>
      <xdr:colOff>428625</xdr:colOff>
      <xdr:row>14</xdr:row>
      <xdr:rowOff>76200</xdr:rowOff>
    </xdr:to>
    <xdr:cxnSp macro="">
      <xdr:nvCxnSpPr>
        <xdr:cNvPr id="9" name="直線コネクタ 8"/>
        <xdr:cNvCxnSpPr/>
      </xdr:nvCxnSpPr>
      <xdr:spPr>
        <a:xfrm flipH="1" flipV="1">
          <a:off x="409576" y="3019425"/>
          <a:ext cx="19049" cy="419100"/>
        </a:xfrm>
        <a:prstGeom prst="line">
          <a:avLst/>
        </a:prstGeom>
        <a:ln>
          <a:headEnd type="triangl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142875</xdr:colOff>
      <xdr:row>84</xdr:row>
      <xdr:rowOff>28575</xdr:rowOff>
    </xdr:from>
    <xdr:to>
      <xdr:col>3</xdr:col>
      <xdr:colOff>142875</xdr:colOff>
      <xdr:row>90</xdr:row>
      <xdr:rowOff>9525</xdr:rowOff>
    </xdr:to>
    <xdr:cxnSp macro="">
      <xdr:nvCxnSpPr>
        <xdr:cNvPr id="10" name="直線コネクタ 9"/>
        <xdr:cNvCxnSpPr/>
      </xdr:nvCxnSpPr>
      <xdr:spPr>
        <a:xfrm flipV="1">
          <a:off x="2200275" y="51720750"/>
          <a:ext cx="0" cy="83820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152400</xdr:colOff>
      <xdr:row>90</xdr:row>
      <xdr:rowOff>19050</xdr:rowOff>
    </xdr:from>
    <xdr:to>
      <xdr:col>5</xdr:col>
      <xdr:colOff>209550</xdr:colOff>
      <xdr:row>90</xdr:row>
      <xdr:rowOff>19050</xdr:rowOff>
    </xdr:to>
    <xdr:cxnSp macro="">
      <xdr:nvCxnSpPr>
        <xdr:cNvPr id="11" name="直線コネクタ 10"/>
        <xdr:cNvCxnSpPr/>
      </xdr:nvCxnSpPr>
      <xdr:spPr>
        <a:xfrm>
          <a:off x="2209800" y="52568475"/>
          <a:ext cx="1428750" cy="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161925</xdr:colOff>
      <xdr:row>86</xdr:row>
      <xdr:rowOff>19050</xdr:rowOff>
    </xdr:from>
    <xdr:to>
      <xdr:col>4</xdr:col>
      <xdr:colOff>152400</xdr:colOff>
      <xdr:row>86</xdr:row>
      <xdr:rowOff>19050</xdr:rowOff>
    </xdr:to>
    <xdr:cxnSp macro="">
      <xdr:nvCxnSpPr>
        <xdr:cNvPr id="12" name="直線コネクタ 11"/>
        <xdr:cNvCxnSpPr/>
      </xdr:nvCxnSpPr>
      <xdr:spPr>
        <a:xfrm>
          <a:off x="2219325" y="51996975"/>
          <a:ext cx="676275" cy="0"/>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161925</xdr:colOff>
      <xdr:row>86</xdr:row>
      <xdr:rowOff>19050</xdr:rowOff>
    </xdr:from>
    <xdr:to>
      <xdr:col>5</xdr:col>
      <xdr:colOff>47625</xdr:colOff>
      <xdr:row>90</xdr:row>
      <xdr:rowOff>9525</xdr:rowOff>
    </xdr:to>
    <xdr:cxnSp macro="">
      <xdr:nvCxnSpPr>
        <xdr:cNvPr id="13" name="直線コネクタ 12"/>
        <xdr:cNvCxnSpPr/>
      </xdr:nvCxnSpPr>
      <xdr:spPr>
        <a:xfrm>
          <a:off x="2905125" y="51996975"/>
          <a:ext cx="571500" cy="56197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142875</xdr:colOff>
      <xdr:row>106</xdr:row>
      <xdr:rowOff>28575</xdr:rowOff>
    </xdr:from>
    <xdr:to>
      <xdr:col>2</xdr:col>
      <xdr:colOff>142875</xdr:colOff>
      <xdr:row>112</xdr:row>
      <xdr:rowOff>9525</xdr:rowOff>
    </xdr:to>
    <xdr:cxnSp macro="">
      <xdr:nvCxnSpPr>
        <xdr:cNvPr id="14" name="直線コネクタ 13"/>
        <xdr:cNvCxnSpPr/>
      </xdr:nvCxnSpPr>
      <xdr:spPr>
        <a:xfrm flipV="1">
          <a:off x="1514475" y="54864000"/>
          <a:ext cx="0" cy="83820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152400</xdr:colOff>
      <xdr:row>112</xdr:row>
      <xdr:rowOff>19050</xdr:rowOff>
    </xdr:from>
    <xdr:to>
      <xdr:col>4</xdr:col>
      <xdr:colOff>209550</xdr:colOff>
      <xdr:row>112</xdr:row>
      <xdr:rowOff>19050</xdr:rowOff>
    </xdr:to>
    <xdr:cxnSp macro="">
      <xdr:nvCxnSpPr>
        <xdr:cNvPr id="15" name="直線コネクタ 14"/>
        <xdr:cNvCxnSpPr/>
      </xdr:nvCxnSpPr>
      <xdr:spPr>
        <a:xfrm>
          <a:off x="1524000" y="55711725"/>
          <a:ext cx="1428750" cy="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142875</xdr:colOff>
      <xdr:row>112</xdr:row>
      <xdr:rowOff>9525</xdr:rowOff>
    </xdr:from>
    <xdr:to>
      <xdr:col>3</xdr:col>
      <xdr:colOff>66675</xdr:colOff>
      <xdr:row>112</xdr:row>
      <xdr:rowOff>19050</xdr:rowOff>
    </xdr:to>
    <xdr:cxnSp macro="">
      <xdr:nvCxnSpPr>
        <xdr:cNvPr id="16" name="直線コネクタ 15"/>
        <xdr:cNvCxnSpPr/>
      </xdr:nvCxnSpPr>
      <xdr:spPr>
        <a:xfrm>
          <a:off x="1514475" y="55702200"/>
          <a:ext cx="609600" cy="952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66675</xdr:colOff>
      <xdr:row>106</xdr:row>
      <xdr:rowOff>133351</xdr:rowOff>
    </xdr:from>
    <xdr:to>
      <xdr:col>4</xdr:col>
      <xdr:colOff>114300</xdr:colOff>
      <xdr:row>112</xdr:row>
      <xdr:rowOff>19050</xdr:rowOff>
    </xdr:to>
    <xdr:cxnSp macro="">
      <xdr:nvCxnSpPr>
        <xdr:cNvPr id="17" name="直線コネクタ 16"/>
        <xdr:cNvCxnSpPr/>
      </xdr:nvCxnSpPr>
      <xdr:spPr>
        <a:xfrm flipV="1">
          <a:off x="2124075" y="17706976"/>
          <a:ext cx="885825" cy="742949"/>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0</xdr:col>
      <xdr:colOff>19050</xdr:colOff>
      <xdr:row>28</xdr:row>
      <xdr:rowOff>209550</xdr:rowOff>
    </xdr:from>
    <xdr:to>
      <xdr:col>2</xdr:col>
      <xdr:colOff>247650</xdr:colOff>
      <xdr:row>28</xdr:row>
      <xdr:rowOff>428625</xdr:rowOff>
    </xdr:to>
    <xdr:pic>
      <xdr:nvPicPr>
        <xdr:cNvPr id="26" name="図 25" descr="http://www.aksystem.jp/finance/ArbitrageTrading/ArbitrageTrading.files/image002.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 y="4629150"/>
          <a:ext cx="1600200" cy="219075"/>
        </a:xfrm>
        <a:prstGeom prst="rect">
          <a:avLst/>
        </a:prstGeom>
        <a:solidFill>
          <a:schemeClr val="accent2"/>
        </a:solidFill>
      </xdr:spPr>
    </xdr:pic>
    <xdr:clientData/>
  </xdr:twoCellAnchor>
  <xdr:twoCellAnchor editAs="oneCell">
    <xdr:from>
      <xdr:col>0</xdr:col>
      <xdr:colOff>28575</xdr:colOff>
      <xdr:row>36</xdr:row>
      <xdr:rowOff>200025</xdr:rowOff>
    </xdr:from>
    <xdr:to>
      <xdr:col>2</xdr:col>
      <xdr:colOff>158750</xdr:colOff>
      <xdr:row>39</xdr:row>
      <xdr:rowOff>47625</xdr:rowOff>
    </xdr:to>
    <xdr:pic>
      <xdr:nvPicPr>
        <xdr:cNvPr id="27" name="図 26" descr="http://www.aksystem.jp/finance/ArbitrageTrading/ArbitrageTrading.files/image004.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 y="6276975"/>
          <a:ext cx="1501775" cy="409575"/>
        </a:xfrm>
        <a:prstGeom prst="rect">
          <a:avLst/>
        </a:prstGeom>
        <a:solidFill>
          <a:srgbClr val="66FFFF"/>
        </a:solidFill>
      </xdr:spPr>
    </xdr:pic>
    <xdr:clientData/>
  </xdr:twoCellAnchor>
  <xdr:twoCellAnchor editAs="oneCell">
    <xdr:from>
      <xdr:col>0</xdr:col>
      <xdr:colOff>0</xdr:colOff>
      <xdr:row>49</xdr:row>
      <xdr:rowOff>0</xdr:rowOff>
    </xdr:from>
    <xdr:to>
      <xdr:col>2</xdr:col>
      <xdr:colOff>47625</xdr:colOff>
      <xdr:row>51</xdr:row>
      <xdr:rowOff>123825</xdr:rowOff>
    </xdr:to>
    <xdr:pic>
      <xdr:nvPicPr>
        <xdr:cNvPr id="28" name="図 27" descr="http://www.aksystem.jp/finance/ArbitrageTrading/ArbitrageTrading.files/image006.gif"/>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0" y="8353425"/>
          <a:ext cx="1419225" cy="466725"/>
        </a:xfrm>
        <a:prstGeom prst="rect">
          <a:avLst/>
        </a:prstGeom>
        <a:solidFill>
          <a:schemeClr val="accent2">
            <a:lumMod val="75000"/>
          </a:schemeClr>
        </a:solidFill>
      </xdr:spPr>
    </xdr:pic>
    <xdr:clientData/>
  </xdr:twoCellAnchor>
  <xdr:twoCellAnchor editAs="oneCell">
    <xdr:from>
      <xdr:col>0</xdr:col>
      <xdr:colOff>0</xdr:colOff>
      <xdr:row>53</xdr:row>
      <xdr:rowOff>0</xdr:rowOff>
    </xdr:from>
    <xdr:to>
      <xdr:col>2</xdr:col>
      <xdr:colOff>190500</xdr:colOff>
      <xdr:row>54</xdr:row>
      <xdr:rowOff>57150</xdr:rowOff>
    </xdr:to>
    <xdr:pic>
      <xdr:nvPicPr>
        <xdr:cNvPr id="29" name="図 28" descr="http://www.aksystem.jp/finance/ArbitrageTrading/ArbitrageTrading.files/image008.gif"/>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0" y="9039225"/>
          <a:ext cx="1562100" cy="228600"/>
        </a:xfrm>
        <a:prstGeom prst="rect">
          <a:avLst/>
        </a:prstGeom>
        <a:solidFill>
          <a:srgbClr val="FFFF00"/>
        </a:solidFill>
      </xdr:spPr>
    </xdr:pic>
    <xdr:clientData/>
  </xdr:twoCellAnchor>
  <xdr:twoCellAnchor>
    <xdr:from>
      <xdr:col>3</xdr:col>
      <xdr:colOff>66675</xdr:colOff>
      <xdr:row>305</xdr:row>
      <xdr:rowOff>47626</xdr:rowOff>
    </xdr:from>
    <xdr:to>
      <xdr:col>4</xdr:col>
      <xdr:colOff>114300</xdr:colOff>
      <xdr:row>309</xdr:row>
      <xdr:rowOff>104775</xdr:rowOff>
    </xdr:to>
    <xdr:cxnSp macro="">
      <xdr:nvCxnSpPr>
        <xdr:cNvPr id="36" name="直線コネクタ 35"/>
        <xdr:cNvCxnSpPr/>
      </xdr:nvCxnSpPr>
      <xdr:spPr>
        <a:xfrm flipV="1">
          <a:off x="2124075" y="54968776"/>
          <a:ext cx="885825" cy="742949"/>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342900</xdr:colOff>
      <xdr:row>148</xdr:row>
      <xdr:rowOff>114300</xdr:rowOff>
    </xdr:from>
    <xdr:to>
      <xdr:col>4</xdr:col>
      <xdr:colOff>419100</xdr:colOff>
      <xdr:row>148</xdr:row>
      <xdr:rowOff>114300</xdr:rowOff>
    </xdr:to>
    <xdr:cxnSp macro="">
      <xdr:nvCxnSpPr>
        <xdr:cNvPr id="3" name="直線矢印コネクタ 2"/>
        <xdr:cNvCxnSpPr/>
      </xdr:nvCxnSpPr>
      <xdr:spPr>
        <a:xfrm>
          <a:off x="342900" y="23545800"/>
          <a:ext cx="504825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1076325</xdr:colOff>
      <xdr:row>147</xdr:row>
      <xdr:rowOff>9525</xdr:rowOff>
    </xdr:from>
    <xdr:to>
      <xdr:col>0</xdr:col>
      <xdr:colOff>1076325</xdr:colOff>
      <xdr:row>148</xdr:row>
      <xdr:rowOff>104775</xdr:rowOff>
    </xdr:to>
    <xdr:cxnSp macro="">
      <xdr:nvCxnSpPr>
        <xdr:cNvPr id="5" name="直線矢印コネクタ 4"/>
        <xdr:cNvCxnSpPr/>
      </xdr:nvCxnSpPr>
      <xdr:spPr>
        <a:xfrm flipV="1">
          <a:off x="1076325" y="23298150"/>
          <a:ext cx="0" cy="238125"/>
        </a:xfrm>
        <a:prstGeom prst="straightConnector1">
          <a:avLst/>
        </a:prstGeom>
        <a:ln>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609600</xdr:colOff>
      <xdr:row>147</xdr:row>
      <xdr:rowOff>0</xdr:rowOff>
    </xdr:from>
    <xdr:to>
      <xdr:col>1</xdr:col>
      <xdr:colOff>609600</xdr:colOff>
      <xdr:row>148</xdr:row>
      <xdr:rowOff>95250</xdr:rowOff>
    </xdr:to>
    <xdr:cxnSp macro="">
      <xdr:nvCxnSpPr>
        <xdr:cNvPr id="6" name="直線矢印コネクタ 5"/>
        <xdr:cNvCxnSpPr/>
      </xdr:nvCxnSpPr>
      <xdr:spPr>
        <a:xfrm flipV="1">
          <a:off x="1800225" y="23288625"/>
          <a:ext cx="0" cy="238125"/>
        </a:xfrm>
        <a:prstGeom prst="straightConnector1">
          <a:avLst/>
        </a:prstGeom>
        <a:ln>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1295400</xdr:colOff>
      <xdr:row>147</xdr:row>
      <xdr:rowOff>9525</xdr:rowOff>
    </xdr:from>
    <xdr:to>
      <xdr:col>1</xdr:col>
      <xdr:colOff>1295400</xdr:colOff>
      <xdr:row>148</xdr:row>
      <xdr:rowOff>104775</xdr:rowOff>
    </xdr:to>
    <xdr:cxnSp macro="">
      <xdr:nvCxnSpPr>
        <xdr:cNvPr id="7" name="直線矢印コネクタ 6"/>
        <xdr:cNvCxnSpPr/>
      </xdr:nvCxnSpPr>
      <xdr:spPr>
        <a:xfrm flipV="1">
          <a:off x="2486025" y="23298150"/>
          <a:ext cx="0"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571500</xdr:colOff>
      <xdr:row>147</xdr:row>
      <xdr:rowOff>0</xdr:rowOff>
    </xdr:from>
    <xdr:to>
      <xdr:col>2</xdr:col>
      <xdr:colOff>571500</xdr:colOff>
      <xdr:row>148</xdr:row>
      <xdr:rowOff>95250</xdr:rowOff>
    </xdr:to>
    <xdr:cxnSp macro="">
      <xdr:nvCxnSpPr>
        <xdr:cNvPr id="8" name="直線矢印コネクタ 7"/>
        <xdr:cNvCxnSpPr/>
      </xdr:nvCxnSpPr>
      <xdr:spPr>
        <a:xfrm flipV="1">
          <a:off x="3162300" y="23288625"/>
          <a:ext cx="0"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47625</xdr:colOff>
      <xdr:row>147</xdr:row>
      <xdr:rowOff>19050</xdr:rowOff>
    </xdr:from>
    <xdr:to>
      <xdr:col>3</xdr:col>
      <xdr:colOff>47625</xdr:colOff>
      <xdr:row>148</xdr:row>
      <xdr:rowOff>114300</xdr:rowOff>
    </xdr:to>
    <xdr:cxnSp macro="">
      <xdr:nvCxnSpPr>
        <xdr:cNvPr id="9" name="直線矢印コネクタ 8"/>
        <xdr:cNvCxnSpPr/>
      </xdr:nvCxnSpPr>
      <xdr:spPr>
        <a:xfrm flipV="1">
          <a:off x="3829050" y="23307675"/>
          <a:ext cx="0"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619125</xdr:colOff>
      <xdr:row>147</xdr:row>
      <xdr:rowOff>9525</xdr:rowOff>
    </xdr:from>
    <xdr:to>
      <xdr:col>3</xdr:col>
      <xdr:colOff>619125</xdr:colOff>
      <xdr:row>148</xdr:row>
      <xdr:rowOff>104775</xdr:rowOff>
    </xdr:to>
    <xdr:cxnSp macro="">
      <xdr:nvCxnSpPr>
        <xdr:cNvPr id="10" name="直線矢印コネクタ 9"/>
        <xdr:cNvCxnSpPr/>
      </xdr:nvCxnSpPr>
      <xdr:spPr>
        <a:xfrm flipV="1">
          <a:off x="4400550" y="23298150"/>
          <a:ext cx="0"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628650</xdr:colOff>
      <xdr:row>148</xdr:row>
      <xdr:rowOff>133350</xdr:rowOff>
    </xdr:from>
    <xdr:to>
      <xdr:col>3</xdr:col>
      <xdr:colOff>628650</xdr:colOff>
      <xdr:row>150</xdr:row>
      <xdr:rowOff>85725</xdr:rowOff>
    </xdr:to>
    <xdr:cxnSp macro="">
      <xdr:nvCxnSpPr>
        <xdr:cNvPr id="13" name="直線矢印コネクタ 12"/>
        <xdr:cNvCxnSpPr/>
      </xdr:nvCxnSpPr>
      <xdr:spPr>
        <a:xfrm rot="10800000" flipV="1">
          <a:off x="4410075" y="23564850"/>
          <a:ext cx="0"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57150</xdr:colOff>
      <xdr:row>149</xdr:row>
      <xdr:rowOff>0</xdr:rowOff>
    </xdr:from>
    <xdr:to>
      <xdr:col>3</xdr:col>
      <xdr:colOff>57150</xdr:colOff>
      <xdr:row>150</xdr:row>
      <xdr:rowOff>95250</xdr:rowOff>
    </xdr:to>
    <xdr:cxnSp macro="">
      <xdr:nvCxnSpPr>
        <xdr:cNvPr id="14" name="直線矢印コネクタ 13"/>
        <xdr:cNvCxnSpPr/>
      </xdr:nvCxnSpPr>
      <xdr:spPr>
        <a:xfrm rot="10800000" flipV="1">
          <a:off x="3838575" y="23574375"/>
          <a:ext cx="0"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581025</xdr:colOff>
      <xdr:row>148</xdr:row>
      <xdr:rowOff>133350</xdr:rowOff>
    </xdr:from>
    <xdr:to>
      <xdr:col>2</xdr:col>
      <xdr:colOff>581025</xdr:colOff>
      <xdr:row>150</xdr:row>
      <xdr:rowOff>85725</xdr:rowOff>
    </xdr:to>
    <xdr:cxnSp macro="">
      <xdr:nvCxnSpPr>
        <xdr:cNvPr id="15" name="直線矢印コネクタ 14"/>
        <xdr:cNvCxnSpPr/>
      </xdr:nvCxnSpPr>
      <xdr:spPr>
        <a:xfrm rot="10800000" flipV="1">
          <a:off x="3171825" y="23564850"/>
          <a:ext cx="0"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1304925</xdr:colOff>
      <xdr:row>149</xdr:row>
      <xdr:rowOff>0</xdr:rowOff>
    </xdr:from>
    <xdr:to>
      <xdr:col>1</xdr:col>
      <xdr:colOff>1304925</xdr:colOff>
      <xdr:row>150</xdr:row>
      <xdr:rowOff>95250</xdr:rowOff>
    </xdr:to>
    <xdr:cxnSp macro="">
      <xdr:nvCxnSpPr>
        <xdr:cNvPr id="16" name="直線矢印コネクタ 15"/>
        <xdr:cNvCxnSpPr/>
      </xdr:nvCxnSpPr>
      <xdr:spPr>
        <a:xfrm rot="10800000" flipV="1">
          <a:off x="2495550" y="23574375"/>
          <a:ext cx="0"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609600</xdr:colOff>
      <xdr:row>148</xdr:row>
      <xdr:rowOff>123825</xdr:rowOff>
    </xdr:from>
    <xdr:to>
      <xdr:col>1</xdr:col>
      <xdr:colOff>609600</xdr:colOff>
      <xdr:row>150</xdr:row>
      <xdr:rowOff>76200</xdr:rowOff>
    </xdr:to>
    <xdr:cxnSp macro="">
      <xdr:nvCxnSpPr>
        <xdr:cNvPr id="17" name="直線矢印コネクタ 16"/>
        <xdr:cNvCxnSpPr/>
      </xdr:nvCxnSpPr>
      <xdr:spPr>
        <a:xfrm rot="10800000" flipV="1">
          <a:off x="1800225" y="23555325"/>
          <a:ext cx="0" cy="238125"/>
        </a:xfrm>
        <a:prstGeom prst="straightConnector1">
          <a:avLst/>
        </a:prstGeom>
        <a:ln>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1085850</xdr:colOff>
      <xdr:row>148</xdr:row>
      <xdr:rowOff>133350</xdr:rowOff>
    </xdr:from>
    <xdr:to>
      <xdr:col>0</xdr:col>
      <xdr:colOff>1085850</xdr:colOff>
      <xdr:row>150</xdr:row>
      <xdr:rowOff>85725</xdr:rowOff>
    </xdr:to>
    <xdr:cxnSp macro="">
      <xdr:nvCxnSpPr>
        <xdr:cNvPr id="18" name="直線矢印コネクタ 17"/>
        <xdr:cNvCxnSpPr/>
      </xdr:nvCxnSpPr>
      <xdr:spPr>
        <a:xfrm rot="10800000" flipV="1">
          <a:off x="1085850" y="23564850"/>
          <a:ext cx="0" cy="238125"/>
        </a:xfrm>
        <a:prstGeom prst="straightConnector1">
          <a:avLst/>
        </a:prstGeom>
        <a:ln>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1114425</xdr:colOff>
      <xdr:row>151</xdr:row>
      <xdr:rowOff>0</xdr:rowOff>
    </xdr:from>
    <xdr:ext cx="340414" cy="275717"/>
    <xdr:sp macro="" textlink="">
      <xdr:nvSpPr>
        <xdr:cNvPr id="19" name="テキスト ボックス 18"/>
        <xdr:cNvSpPr txBox="1"/>
      </xdr:nvSpPr>
      <xdr:spPr>
        <a:xfrm>
          <a:off x="2305050" y="23860125"/>
          <a:ext cx="34041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L</a:t>
          </a:r>
          <a:r>
            <a:rPr kumimoji="1" lang="ja-JP" altLang="en-US" sz="1100"/>
            <a:t>６</a:t>
          </a:r>
        </a:p>
      </xdr:txBody>
    </xdr:sp>
    <xdr:clientData/>
  </xdr:oneCellAnchor>
  <xdr:oneCellAnchor>
    <xdr:from>
      <xdr:col>2</xdr:col>
      <xdr:colOff>419100</xdr:colOff>
      <xdr:row>151</xdr:row>
      <xdr:rowOff>9525</xdr:rowOff>
    </xdr:from>
    <xdr:ext cx="340414" cy="275717"/>
    <xdr:sp macro="" textlink="">
      <xdr:nvSpPr>
        <xdr:cNvPr id="20" name="テキスト ボックス 19"/>
        <xdr:cNvSpPr txBox="1"/>
      </xdr:nvSpPr>
      <xdr:spPr>
        <a:xfrm>
          <a:off x="3009900" y="23869650"/>
          <a:ext cx="34041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L</a:t>
          </a:r>
          <a:r>
            <a:rPr kumimoji="1" lang="ja-JP" altLang="en-US" sz="1100"/>
            <a:t>６</a:t>
          </a:r>
        </a:p>
      </xdr:txBody>
    </xdr:sp>
    <xdr:clientData/>
  </xdr:oneCellAnchor>
  <xdr:oneCellAnchor>
    <xdr:from>
      <xdr:col>2</xdr:col>
      <xdr:colOff>1066800</xdr:colOff>
      <xdr:row>151</xdr:row>
      <xdr:rowOff>19050</xdr:rowOff>
    </xdr:from>
    <xdr:ext cx="340414" cy="275717"/>
    <xdr:sp macro="" textlink="">
      <xdr:nvSpPr>
        <xdr:cNvPr id="21" name="テキスト ボックス 20"/>
        <xdr:cNvSpPr txBox="1"/>
      </xdr:nvSpPr>
      <xdr:spPr>
        <a:xfrm>
          <a:off x="3657600" y="23879175"/>
          <a:ext cx="34041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L</a:t>
          </a:r>
          <a:r>
            <a:rPr kumimoji="1" lang="ja-JP" altLang="en-US" sz="1100"/>
            <a:t>６</a:t>
          </a:r>
        </a:p>
      </xdr:txBody>
    </xdr:sp>
    <xdr:clientData/>
  </xdr:oneCellAnchor>
  <xdr:oneCellAnchor>
    <xdr:from>
      <xdr:col>3</xdr:col>
      <xdr:colOff>447675</xdr:colOff>
      <xdr:row>151</xdr:row>
      <xdr:rowOff>38100</xdr:rowOff>
    </xdr:from>
    <xdr:ext cx="340414" cy="275717"/>
    <xdr:sp macro="" textlink="">
      <xdr:nvSpPr>
        <xdr:cNvPr id="22" name="テキスト ボックス 21"/>
        <xdr:cNvSpPr txBox="1"/>
      </xdr:nvSpPr>
      <xdr:spPr>
        <a:xfrm>
          <a:off x="4229100" y="23898225"/>
          <a:ext cx="34041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L</a:t>
          </a:r>
          <a:r>
            <a:rPr kumimoji="1" lang="ja-JP" altLang="en-US" sz="1100"/>
            <a:t>６</a:t>
          </a:r>
        </a:p>
      </xdr:txBody>
    </xdr:sp>
    <xdr:clientData/>
  </xdr:oneCellAnchor>
  <xdr:twoCellAnchor>
    <xdr:from>
      <xdr:col>1</xdr:col>
      <xdr:colOff>1057275</xdr:colOff>
      <xdr:row>149</xdr:row>
      <xdr:rowOff>133350</xdr:rowOff>
    </xdr:from>
    <xdr:to>
      <xdr:col>3</xdr:col>
      <xdr:colOff>1114425</xdr:colOff>
      <xdr:row>152</xdr:row>
      <xdr:rowOff>85725</xdr:rowOff>
    </xdr:to>
    <xdr:sp macro="" textlink="">
      <xdr:nvSpPr>
        <xdr:cNvPr id="23" name="正方形/長方形 22"/>
        <xdr:cNvSpPr/>
      </xdr:nvSpPr>
      <xdr:spPr>
        <a:xfrm>
          <a:off x="2247900" y="23707725"/>
          <a:ext cx="2647950" cy="381000"/>
        </a:xfrm>
        <a:prstGeom prst="rect">
          <a:avLst/>
        </a:prstGeom>
        <a:noFill/>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885825</xdr:colOff>
      <xdr:row>154</xdr:row>
      <xdr:rowOff>123825</xdr:rowOff>
    </xdr:from>
    <xdr:to>
      <xdr:col>4</xdr:col>
      <xdr:colOff>257175</xdr:colOff>
      <xdr:row>169</xdr:row>
      <xdr:rowOff>104775</xdr:rowOff>
    </xdr:to>
    <xdr:sp macro="" textlink="">
      <xdr:nvSpPr>
        <xdr:cNvPr id="24" name="右中かっこ 23"/>
        <xdr:cNvSpPr/>
      </xdr:nvSpPr>
      <xdr:spPr>
        <a:xfrm>
          <a:off x="4667250" y="24412575"/>
          <a:ext cx="561975" cy="2124075"/>
        </a:xfrm>
        <a:prstGeom prst="righ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oneCellAnchor>
    <xdr:from>
      <xdr:col>4</xdr:col>
      <xdr:colOff>190500</xdr:colOff>
      <xdr:row>161</xdr:row>
      <xdr:rowOff>28575</xdr:rowOff>
    </xdr:from>
    <xdr:ext cx="2565061" cy="275717"/>
    <xdr:sp macro="" textlink="">
      <xdr:nvSpPr>
        <xdr:cNvPr id="25" name="テキスト ボックス 24"/>
        <xdr:cNvSpPr txBox="1"/>
      </xdr:nvSpPr>
      <xdr:spPr>
        <a:xfrm>
          <a:off x="5162550" y="25317450"/>
          <a:ext cx="256506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普通の</a:t>
          </a:r>
          <a:r>
            <a:rPr kumimoji="1" lang="en-US" altLang="ja-JP" sz="1100"/>
            <a:t>LIBOR</a:t>
          </a:r>
          <a:r>
            <a:rPr kumimoji="1" lang="ja-JP" altLang="en-US" sz="1100"/>
            <a:t>の現在価値より求める方法</a:t>
          </a:r>
        </a:p>
      </xdr:txBody>
    </xdr:sp>
    <xdr:clientData/>
  </xdr:oneCellAnchor>
  <xdr:twoCellAnchor>
    <xdr:from>
      <xdr:col>3</xdr:col>
      <xdr:colOff>276225</xdr:colOff>
      <xdr:row>156</xdr:row>
      <xdr:rowOff>57150</xdr:rowOff>
    </xdr:from>
    <xdr:to>
      <xdr:col>5</xdr:col>
      <xdr:colOff>571500</xdr:colOff>
      <xdr:row>156</xdr:row>
      <xdr:rowOff>57150</xdr:rowOff>
    </xdr:to>
    <xdr:cxnSp macro="">
      <xdr:nvCxnSpPr>
        <xdr:cNvPr id="27" name="直線矢印コネクタ 26"/>
        <xdr:cNvCxnSpPr/>
      </xdr:nvCxnSpPr>
      <xdr:spPr>
        <a:xfrm>
          <a:off x="4057650" y="24212550"/>
          <a:ext cx="2676525"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904875</xdr:colOff>
      <xdr:row>197</xdr:row>
      <xdr:rowOff>85725</xdr:rowOff>
    </xdr:from>
    <xdr:to>
      <xdr:col>4</xdr:col>
      <xdr:colOff>695325</xdr:colOff>
      <xdr:row>199</xdr:row>
      <xdr:rowOff>95250</xdr:rowOff>
    </xdr:to>
    <xdr:sp macro="" textlink="">
      <xdr:nvSpPr>
        <xdr:cNvPr id="2" name="V 字形矢印 1"/>
        <xdr:cNvSpPr/>
      </xdr:nvSpPr>
      <xdr:spPr>
        <a:xfrm>
          <a:off x="3971925" y="29918025"/>
          <a:ext cx="2171700" cy="295275"/>
        </a:xfrm>
        <a:prstGeom prst="notchedRightArrow">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152400</xdr:colOff>
      <xdr:row>283</xdr:row>
      <xdr:rowOff>76199</xdr:rowOff>
    </xdr:from>
    <xdr:to>
      <xdr:col>6</xdr:col>
      <xdr:colOff>809625</xdr:colOff>
      <xdr:row>285</xdr:row>
      <xdr:rowOff>28574</xdr:rowOff>
    </xdr:to>
    <xdr:sp macro="" textlink="">
      <xdr:nvSpPr>
        <xdr:cNvPr id="3" name="右中かっこ 2"/>
        <xdr:cNvSpPr/>
      </xdr:nvSpPr>
      <xdr:spPr>
        <a:xfrm rot="16200000">
          <a:off x="7000875" y="44310299"/>
          <a:ext cx="238125" cy="3038475"/>
        </a:xfrm>
        <a:prstGeom prst="righ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657226</xdr:colOff>
      <xdr:row>408</xdr:row>
      <xdr:rowOff>11208</xdr:rowOff>
    </xdr:from>
    <xdr:to>
      <xdr:col>6</xdr:col>
      <xdr:colOff>542926</xdr:colOff>
      <xdr:row>416</xdr:row>
      <xdr:rowOff>13056</xdr:rowOff>
    </xdr:to>
    <xdr:pic>
      <xdr:nvPicPr>
        <xdr:cNvPr id="112" name="図 11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14626" y="63638208"/>
          <a:ext cx="1943100" cy="11448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209550</xdr:colOff>
      <xdr:row>18</xdr:row>
      <xdr:rowOff>76200</xdr:rowOff>
    </xdr:from>
    <xdr:to>
      <xdr:col>6</xdr:col>
      <xdr:colOff>400050</xdr:colOff>
      <xdr:row>18</xdr:row>
      <xdr:rowOff>95250</xdr:rowOff>
    </xdr:to>
    <xdr:cxnSp macro="">
      <xdr:nvCxnSpPr>
        <xdr:cNvPr id="3" name="直線コネクタ 2"/>
        <xdr:cNvCxnSpPr/>
      </xdr:nvCxnSpPr>
      <xdr:spPr>
        <a:xfrm>
          <a:off x="2952750" y="2952750"/>
          <a:ext cx="1562100" cy="19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381000</xdr:colOff>
      <xdr:row>14</xdr:row>
      <xdr:rowOff>9525</xdr:rowOff>
    </xdr:from>
    <xdr:to>
      <xdr:col>6</xdr:col>
      <xdr:colOff>390525</xdr:colOff>
      <xdr:row>18</xdr:row>
      <xdr:rowOff>95250</xdr:rowOff>
    </xdr:to>
    <xdr:cxnSp macro="">
      <xdr:nvCxnSpPr>
        <xdr:cNvPr id="4" name="直線コネクタ 3"/>
        <xdr:cNvCxnSpPr/>
      </xdr:nvCxnSpPr>
      <xdr:spPr>
        <a:xfrm flipH="1" flipV="1">
          <a:off x="4495800" y="2314575"/>
          <a:ext cx="9525" cy="657225"/>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342900</xdr:colOff>
      <xdr:row>16</xdr:row>
      <xdr:rowOff>66675</xdr:rowOff>
    </xdr:from>
    <xdr:to>
      <xdr:col>5</xdr:col>
      <xdr:colOff>342901</xdr:colOff>
      <xdr:row>18</xdr:row>
      <xdr:rowOff>76201</xdr:rowOff>
    </xdr:to>
    <xdr:cxnSp macro="">
      <xdr:nvCxnSpPr>
        <xdr:cNvPr id="6" name="直線コネクタ 5"/>
        <xdr:cNvCxnSpPr/>
      </xdr:nvCxnSpPr>
      <xdr:spPr>
        <a:xfrm flipH="1" flipV="1">
          <a:off x="3771900" y="2657475"/>
          <a:ext cx="1" cy="295276"/>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209551</xdr:colOff>
      <xdr:row>18</xdr:row>
      <xdr:rowOff>76200</xdr:rowOff>
    </xdr:from>
    <xdr:to>
      <xdr:col>4</xdr:col>
      <xdr:colOff>228600</xdr:colOff>
      <xdr:row>21</xdr:row>
      <xdr:rowOff>66675</xdr:rowOff>
    </xdr:to>
    <xdr:cxnSp macro="">
      <xdr:nvCxnSpPr>
        <xdr:cNvPr id="8" name="直線コネクタ 7"/>
        <xdr:cNvCxnSpPr/>
      </xdr:nvCxnSpPr>
      <xdr:spPr>
        <a:xfrm flipH="1" flipV="1">
          <a:off x="2952751" y="2952750"/>
          <a:ext cx="19049" cy="419100"/>
        </a:xfrm>
        <a:prstGeom prst="line">
          <a:avLst/>
        </a:prstGeom>
        <a:ln>
          <a:headEnd type="triangl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409575</xdr:colOff>
      <xdr:row>18</xdr:row>
      <xdr:rowOff>85725</xdr:rowOff>
    </xdr:from>
    <xdr:to>
      <xdr:col>2</xdr:col>
      <xdr:colOff>600075</xdr:colOff>
      <xdr:row>18</xdr:row>
      <xdr:rowOff>104775</xdr:rowOff>
    </xdr:to>
    <xdr:cxnSp macro="">
      <xdr:nvCxnSpPr>
        <xdr:cNvPr id="10" name="直線コネクタ 9"/>
        <xdr:cNvCxnSpPr/>
      </xdr:nvCxnSpPr>
      <xdr:spPr>
        <a:xfrm>
          <a:off x="409575" y="2962275"/>
          <a:ext cx="1562100" cy="19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581025</xdr:colOff>
      <xdr:row>14</xdr:row>
      <xdr:rowOff>19050</xdr:rowOff>
    </xdr:from>
    <xdr:to>
      <xdr:col>2</xdr:col>
      <xdr:colOff>590550</xdr:colOff>
      <xdr:row>18</xdr:row>
      <xdr:rowOff>104775</xdr:rowOff>
    </xdr:to>
    <xdr:cxnSp macro="">
      <xdr:nvCxnSpPr>
        <xdr:cNvPr id="11" name="直線コネクタ 10"/>
        <xdr:cNvCxnSpPr/>
      </xdr:nvCxnSpPr>
      <xdr:spPr>
        <a:xfrm flipH="1" flipV="1">
          <a:off x="1952625" y="2324100"/>
          <a:ext cx="9525" cy="657225"/>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542925</xdr:colOff>
      <xdr:row>16</xdr:row>
      <xdr:rowOff>76200</xdr:rowOff>
    </xdr:from>
    <xdr:to>
      <xdr:col>1</xdr:col>
      <xdr:colOff>542926</xdr:colOff>
      <xdr:row>18</xdr:row>
      <xdr:rowOff>85726</xdr:rowOff>
    </xdr:to>
    <xdr:cxnSp macro="">
      <xdr:nvCxnSpPr>
        <xdr:cNvPr id="12" name="直線コネクタ 11"/>
        <xdr:cNvCxnSpPr/>
      </xdr:nvCxnSpPr>
      <xdr:spPr>
        <a:xfrm flipH="1" flipV="1">
          <a:off x="1228725" y="2667000"/>
          <a:ext cx="1" cy="295276"/>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409576</xdr:colOff>
      <xdr:row>18</xdr:row>
      <xdr:rowOff>85725</xdr:rowOff>
    </xdr:from>
    <xdr:to>
      <xdr:col>0</xdr:col>
      <xdr:colOff>428625</xdr:colOff>
      <xdr:row>21</xdr:row>
      <xdr:rowOff>76200</xdr:rowOff>
    </xdr:to>
    <xdr:cxnSp macro="">
      <xdr:nvCxnSpPr>
        <xdr:cNvPr id="13" name="直線コネクタ 12"/>
        <xdr:cNvCxnSpPr/>
      </xdr:nvCxnSpPr>
      <xdr:spPr>
        <a:xfrm flipH="1" flipV="1">
          <a:off x="409576" y="2962275"/>
          <a:ext cx="19049" cy="419100"/>
        </a:xfrm>
        <a:prstGeom prst="line">
          <a:avLst/>
        </a:prstGeom>
        <a:ln>
          <a:headEnd type="triangl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180975</xdr:colOff>
      <xdr:row>51</xdr:row>
      <xdr:rowOff>104775</xdr:rowOff>
    </xdr:from>
    <xdr:to>
      <xdr:col>6</xdr:col>
      <xdr:colOff>371475</xdr:colOff>
      <xdr:row>51</xdr:row>
      <xdr:rowOff>123825</xdr:rowOff>
    </xdr:to>
    <xdr:cxnSp macro="">
      <xdr:nvCxnSpPr>
        <xdr:cNvPr id="18" name="直線コネクタ 17"/>
        <xdr:cNvCxnSpPr/>
      </xdr:nvCxnSpPr>
      <xdr:spPr>
        <a:xfrm>
          <a:off x="2924175" y="7791450"/>
          <a:ext cx="1562100" cy="19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161925</xdr:colOff>
      <xdr:row>47</xdr:row>
      <xdr:rowOff>0</xdr:rowOff>
    </xdr:from>
    <xdr:to>
      <xdr:col>4</xdr:col>
      <xdr:colOff>171450</xdr:colOff>
      <xdr:row>51</xdr:row>
      <xdr:rowOff>85725</xdr:rowOff>
    </xdr:to>
    <xdr:cxnSp macro="">
      <xdr:nvCxnSpPr>
        <xdr:cNvPr id="19" name="直線コネクタ 18"/>
        <xdr:cNvCxnSpPr/>
      </xdr:nvCxnSpPr>
      <xdr:spPr>
        <a:xfrm flipH="1" flipV="1">
          <a:off x="2905125" y="7115175"/>
          <a:ext cx="9525" cy="657225"/>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247650</xdr:colOff>
      <xdr:row>51</xdr:row>
      <xdr:rowOff>104776</xdr:rowOff>
    </xdr:from>
    <xdr:to>
      <xdr:col>5</xdr:col>
      <xdr:colOff>247652</xdr:colOff>
      <xdr:row>54</xdr:row>
      <xdr:rowOff>76200</xdr:rowOff>
    </xdr:to>
    <xdr:cxnSp macro="">
      <xdr:nvCxnSpPr>
        <xdr:cNvPr id="20" name="直線コネクタ 19"/>
        <xdr:cNvCxnSpPr/>
      </xdr:nvCxnSpPr>
      <xdr:spPr>
        <a:xfrm flipH="1">
          <a:off x="3676650" y="7791451"/>
          <a:ext cx="2" cy="400049"/>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371477</xdr:colOff>
      <xdr:row>51</xdr:row>
      <xdr:rowOff>123826</xdr:rowOff>
    </xdr:from>
    <xdr:to>
      <xdr:col>6</xdr:col>
      <xdr:colOff>381000</xdr:colOff>
      <xdr:row>56</xdr:row>
      <xdr:rowOff>114300</xdr:rowOff>
    </xdr:to>
    <xdr:cxnSp macro="">
      <xdr:nvCxnSpPr>
        <xdr:cNvPr id="22" name="直線コネクタ 21"/>
        <xdr:cNvCxnSpPr/>
      </xdr:nvCxnSpPr>
      <xdr:spPr>
        <a:xfrm>
          <a:off x="4486277" y="7810501"/>
          <a:ext cx="9523" cy="704849"/>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666750</xdr:colOff>
      <xdr:row>45</xdr:row>
      <xdr:rowOff>47625</xdr:rowOff>
    </xdr:from>
    <xdr:ext cx="402482" cy="275717"/>
    <xdr:sp macro="" textlink="">
      <xdr:nvSpPr>
        <xdr:cNvPr id="25" name="テキスト ボックス 24"/>
        <xdr:cNvSpPr txBox="1"/>
      </xdr:nvSpPr>
      <xdr:spPr>
        <a:xfrm>
          <a:off x="2724150" y="6877050"/>
          <a:ext cx="402482"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B</a:t>
          </a:r>
          <a:r>
            <a:rPr kumimoji="1" lang="ja-JP" altLang="en-US" sz="1100"/>
            <a:t>株</a:t>
          </a:r>
          <a:endParaRPr kumimoji="1" lang="en-US" altLang="ja-JP" sz="1100"/>
        </a:p>
      </xdr:txBody>
    </xdr:sp>
    <xdr:clientData/>
  </xdr:oneCellAnchor>
  <xdr:oneCellAnchor>
    <xdr:from>
      <xdr:col>5</xdr:col>
      <xdr:colOff>123825</xdr:colOff>
      <xdr:row>54</xdr:row>
      <xdr:rowOff>95250</xdr:rowOff>
    </xdr:from>
    <xdr:ext cx="256160" cy="264560"/>
    <xdr:sp macro="" textlink="">
      <xdr:nvSpPr>
        <xdr:cNvPr id="26" name="テキスト ボックス 25"/>
        <xdr:cNvSpPr txBox="1"/>
      </xdr:nvSpPr>
      <xdr:spPr>
        <a:xfrm>
          <a:off x="3552825" y="82105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5</a:t>
          </a:r>
          <a:endParaRPr kumimoji="1" lang="ja-JP" altLang="en-US" sz="1100"/>
        </a:p>
      </xdr:txBody>
    </xdr:sp>
    <xdr:clientData/>
  </xdr:oneCellAnchor>
  <xdr:twoCellAnchor>
    <xdr:from>
      <xdr:col>2</xdr:col>
      <xdr:colOff>142875</xdr:colOff>
      <xdr:row>221</xdr:row>
      <xdr:rowOff>28575</xdr:rowOff>
    </xdr:from>
    <xdr:to>
      <xdr:col>2</xdr:col>
      <xdr:colOff>142875</xdr:colOff>
      <xdr:row>227</xdr:row>
      <xdr:rowOff>9525</xdr:rowOff>
    </xdr:to>
    <xdr:cxnSp macro="">
      <xdr:nvCxnSpPr>
        <xdr:cNvPr id="5" name="直線コネクタ 4"/>
        <xdr:cNvCxnSpPr/>
      </xdr:nvCxnSpPr>
      <xdr:spPr>
        <a:xfrm flipV="1">
          <a:off x="1514475" y="35975925"/>
          <a:ext cx="0" cy="83820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152400</xdr:colOff>
      <xdr:row>227</xdr:row>
      <xdr:rowOff>19050</xdr:rowOff>
    </xdr:from>
    <xdr:to>
      <xdr:col>4</xdr:col>
      <xdr:colOff>209550</xdr:colOff>
      <xdr:row>227</xdr:row>
      <xdr:rowOff>19050</xdr:rowOff>
    </xdr:to>
    <xdr:cxnSp macro="">
      <xdr:nvCxnSpPr>
        <xdr:cNvPr id="21" name="直線コネクタ 20"/>
        <xdr:cNvCxnSpPr/>
      </xdr:nvCxnSpPr>
      <xdr:spPr>
        <a:xfrm>
          <a:off x="1524000" y="36823650"/>
          <a:ext cx="1428750" cy="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28575</xdr:colOff>
      <xdr:row>223</xdr:row>
      <xdr:rowOff>38100</xdr:rowOff>
    </xdr:from>
    <xdr:to>
      <xdr:col>4</xdr:col>
      <xdr:colOff>352425</xdr:colOff>
      <xdr:row>223</xdr:row>
      <xdr:rowOff>38100</xdr:rowOff>
    </xdr:to>
    <xdr:cxnSp macro="">
      <xdr:nvCxnSpPr>
        <xdr:cNvPr id="23" name="直線コネクタ 22"/>
        <xdr:cNvCxnSpPr/>
      </xdr:nvCxnSpPr>
      <xdr:spPr>
        <a:xfrm>
          <a:off x="2085975" y="36271200"/>
          <a:ext cx="1009650" cy="0"/>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161925</xdr:colOff>
      <xdr:row>223</xdr:row>
      <xdr:rowOff>47625</xdr:rowOff>
    </xdr:from>
    <xdr:to>
      <xdr:col>3</xdr:col>
      <xdr:colOff>38100</xdr:colOff>
      <xdr:row>227</xdr:row>
      <xdr:rowOff>0</xdr:rowOff>
    </xdr:to>
    <xdr:cxnSp macro="">
      <xdr:nvCxnSpPr>
        <xdr:cNvPr id="24" name="直線コネクタ 23"/>
        <xdr:cNvCxnSpPr/>
      </xdr:nvCxnSpPr>
      <xdr:spPr>
        <a:xfrm flipV="1">
          <a:off x="1533525" y="36280725"/>
          <a:ext cx="561975" cy="52387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142875</xdr:colOff>
      <xdr:row>243</xdr:row>
      <xdr:rowOff>28575</xdr:rowOff>
    </xdr:from>
    <xdr:to>
      <xdr:col>2</xdr:col>
      <xdr:colOff>142875</xdr:colOff>
      <xdr:row>249</xdr:row>
      <xdr:rowOff>9525</xdr:rowOff>
    </xdr:to>
    <xdr:cxnSp macro="">
      <xdr:nvCxnSpPr>
        <xdr:cNvPr id="27" name="直線コネクタ 26"/>
        <xdr:cNvCxnSpPr/>
      </xdr:nvCxnSpPr>
      <xdr:spPr>
        <a:xfrm flipV="1">
          <a:off x="1514475" y="35975925"/>
          <a:ext cx="0" cy="83820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152400</xdr:colOff>
      <xdr:row>249</xdr:row>
      <xdr:rowOff>19050</xdr:rowOff>
    </xdr:from>
    <xdr:to>
      <xdr:col>4</xdr:col>
      <xdr:colOff>209550</xdr:colOff>
      <xdr:row>249</xdr:row>
      <xdr:rowOff>19050</xdr:rowOff>
    </xdr:to>
    <xdr:cxnSp macro="">
      <xdr:nvCxnSpPr>
        <xdr:cNvPr id="28" name="直線コネクタ 27"/>
        <xdr:cNvCxnSpPr/>
      </xdr:nvCxnSpPr>
      <xdr:spPr>
        <a:xfrm>
          <a:off x="1524000" y="36823650"/>
          <a:ext cx="1428750" cy="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57150</xdr:colOff>
      <xdr:row>249</xdr:row>
      <xdr:rowOff>9525</xdr:rowOff>
    </xdr:from>
    <xdr:to>
      <xdr:col>4</xdr:col>
      <xdr:colOff>76200</xdr:colOff>
      <xdr:row>249</xdr:row>
      <xdr:rowOff>9525</xdr:rowOff>
    </xdr:to>
    <xdr:cxnSp macro="">
      <xdr:nvCxnSpPr>
        <xdr:cNvPr id="29" name="直線コネクタ 28"/>
        <xdr:cNvCxnSpPr/>
      </xdr:nvCxnSpPr>
      <xdr:spPr>
        <a:xfrm>
          <a:off x="2114550" y="39957375"/>
          <a:ext cx="704850" cy="0"/>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142875</xdr:colOff>
      <xdr:row>245</xdr:row>
      <xdr:rowOff>19050</xdr:rowOff>
    </xdr:from>
    <xdr:to>
      <xdr:col>3</xdr:col>
      <xdr:colOff>66675</xdr:colOff>
      <xdr:row>249</xdr:row>
      <xdr:rowOff>9525</xdr:rowOff>
    </xdr:to>
    <xdr:cxnSp macro="">
      <xdr:nvCxnSpPr>
        <xdr:cNvPr id="30" name="直線コネクタ 29"/>
        <xdr:cNvCxnSpPr/>
      </xdr:nvCxnSpPr>
      <xdr:spPr>
        <a:xfrm flipH="1" flipV="1">
          <a:off x="1514475" y="39395400"/>
          <a:ext cx="609600" cy="56197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133350</xdr:colOff>
      <xdr:row>282</xdr:row>
      <xdr:rowOff>28575</xdr:rowOff>
    </xdr:from>
    <xdr:to>
      <xdr:col>2</xdr:col>
      <xdr:colOff>142875</xdr:colOff>
      <xdr:row>292</xdr:row>
      <xdr:rowOff>0</xdr:rowOff>
    </xdr:to>
    <xdr:cxnSp macro="">
      <xdr:nvCxnSpPr>
        <xdr:cNvPr id="34" name="直線コネクタ 33"/>
        <xdr:cNvCxnSpPr/>
      </xdr:nvCxnSpPr>
      <xdr:spPr>
        <a:xfrm flipV="1">
          <a:off x="1504950" y="44691300"/>
          <a:ext cx="9525" cy="1400175"/>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152400</xdr:colOff>
      <xdr:row>288</xdr:row>
      <xdr:rowOff>19050</xdr:rowOff>
    </xdr:from>
    <xdr:to>
      <xdr:col>4</xdr:col>
      <xdr:colOff>209550</xdr:colOff>
      <xdr:row>288</xdr:row>
      <xdr:rowOff>19050</xdr:rowOff>
    </xdr:to>
    <xdr:cxnSp macro="">
      <xdr:nvCxnSpPr>
        <xdr:cNvPr id="35" name="直線コネクタ 34"/>
        <xdr:cNvCxnSpPr/>
      </xdr:nvCxnSpPr>
      <xdr:spPr>
        <a:xfrm>
          <a:off x="1524000" y="45539025"/>
          <a:ext cx="1428750" cy="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666750</xdr:colOff>
      <xdr:row>288</xdr:row>
      <xdr:rowOff>9525</xdr:rowOff>
    </xdr:from>
    <xdr:to>
      <xdr:col>4</xdr:col>
      <xdr:colOff>66675</xdr:colOff>
      <xdr:row>288</xdr:row>
      <xdr:rowOff>19050</xdr:rowOff>
    </xdr:to>
    <xdr:cxnSp macro="">
      <xdr:nvCxnSpPr>
        <xdr:cNvPr id="36" name="直線コネクタ 35"/>
        <xdr:cNvCxnSpPr/>
      </xdr:nvCxnSpPr>
      <xdr:spPr>
        <a:xfrm>
          <a:off x="2038350" y="45529500"/>
          <a:ext cx="771525" cy="952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123825</xdr:colOff>
      <xdr:row>288</xdr:row>
      <xdr:rowOff>9525</xdr:rowOff>
    </xdr:from>
    <xdr:to>
      <xdr:col>3</xdr:col>
      <xdr:colOff>0</xdr:colOff>
      <xdr:row>291</xdr:row>
      <xdr:rowOff>104775</xdr:rowOff>
    </xdr:to>
    <xdr:cxnSp macro="">
      <xdr:nvCxnSpPr>
        <xdr:cNvPr id="37" name="直線コネクタ 36"/>
        <xdr:cNvCxnSpPr/>
      </xdr:nvCxnSpPr>
      <xdr:spPr>
        <a:xfrm flipV="1">
          <a:off x="1495425" y="45529500"/>
          <a:ext cx="561975" cy="52387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142875</xdr:colOff>
      <xdr:row>326</xdr:row>
      <xdr:rowOff>28575</xdr:rowOff>
    </xdr:from>
    <xdr:to>
      <xdr:col>3</xdr:col>
      <xdr:colOff>142875</xdr:colOff>
      <xdr:row>332</xdr:row>
      <xdr:rowOff>9525</xdr:rowOff>
    </xdr:to>
    <xdr:cxnSp macro="">
      <xdr:nvCxnSpPr>
        <xdr:cNvPr id="31" name="直線コネクタ 30"/>
        <xdr:cNvCxnSpPr/>
      </xdr:nvCxnSpPr>
      <xdr:spPr>
        <a:xfrm flipV="1">
          <a:off x="1514475" y="35975925"/>
          <a:ext cx="0" cy="83820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152400</xdr:colOff>
      <xdr:row>332</xdr:row>
      <xdr:rowOff>19050</xdr:rowOff>
    </xdr:from>
    <xdr:to>
      <xdr:col>5</xdr:col>
      <xdr:colOff>209550</xdr:colOff>
      <xdr:row>332</xdr:row>
      <xdr:rowOff>19050</xdr:rowOff>
    </xdr:to>
    <xdr:cxnSp macro="">
      <xdr:nvCxnSpPr>
        <xdr:cNvPr id="32" name="直線コネクタ 31"/>
        <xdr:cNvCxnSpPr/>
      </xdr:nvCxnSpPr>
      <xdr:spPr>
        <a:xfrm>
          <a:off x="1524000" y="36823650"/>
          <a:ext cx="1428750" cy="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161925</xdr:colOff>
      <xdr:row>328</xdr:row>
      <xdr:rowOff>19050</xdr:rowOff>
    </xdr:from>
    <xdr:to>
      <xdr:col>4</xdr:col>
      <xdr:colOff>152400</xdr:colOff>
      <xdr:row>328</xdr:row>
      <xdr:rowOff>19050</xdr:rowOff>
    </xdr:to>
    <xdr:cxnSp macro="">
      <xdr:nvCxnSpPr>
        <xdr:cNvPr id="33" name="直線コネクタ 32"/>
        <xdr:cNvCxnSpPr/>
      </xdr:nvCxnSpPr>
      <xdr:spPr>
        <a:xfrm>
          <a:off x="2219325" y="51996975"/>
          <a:ext cx="676275" cy="0"/>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161925</xdr:colOff>
      <xdr:row>328</xdr:row>
      <xdr:rowOff>19050</xdr:rowOff>
    </xdr:from>
    <xdr:to>
      <xdr:col>5</xdr:col>
      <xdr:colOff>47625</xdr:colOff>
      <xdr:row>332</xdr:row>
      <xdr:rowOff>9525</xdr:rowOff>
    </xdr:to>
    <xdr:cxnSp macro="">
      <xdr:nvCxnSpPr>
        <xdr:cNvPr id="38" name="直線コネクタ 37"/>
        <xdr:cNvCxnSpPr/>
      </xdr:nvCxnSpPr>
      <xdr:spPr>
        <a:xfrm>
          <a:off x="2905125" y="51996975"/>
          <a:ext cx="571500" cy="56197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142875</xdr:colOff>
      <xdr:row>348</xdr:row>
      <xdr:rowOff>28575</xdr:rowOff>
    </xdr:from>
    <xdr:to>
      <xdr:col>2</xdr:col>
      <xdr:colOff>142875</xdr:colOff>
      <xdr:row>354</xdr:row>
      <xdr:rowOff>9525</xdr:rowOff>
    </xdr:to>
    <xdr:cxnSp macro="">
      <xdr:nvCxnSpPr>
        <xdr:cNvPr id="39" name="直線コネクタ 38"/>
        <xdr:cNvCxnSpPr/>
      </xdr:nvCxnSpPr>
      <xdr:spPr>
        <a:xfrm flipV="1">
          <a:off x="1514475" y="39119175"/>
          <a:ext cx="0" cy="83820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152400</xdr:colOff>
      <xdr:row>354</xdr:row>
      <xdr:rowOff>19050</xdr:rowOff>
    </xdr:from>
    <xdr:to>
      <xdr:col>4</xdr:col>
      <xdr:colOff>209550</xdr:colOff>
      <xdr:row>354</xdr:row>
      <xdr:rowOff>19050</xdr:rowOff>
    </xdr:to>
    <xdr:cxnSp macro="">
      <xdr:nvCxnSpPr>
        <xdr:cNvPr id="40" name="直線コネクタ 39"/>
        <xdr:cNvCxnSpPr/>
      </xdr:nvCxnSpPr>
      <xdr:spPr>
        <a:xfrm>
          <a:off x="1524000" y="39966900"/>
          <a:ext cx="1428750" cy="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142875</xdr:colOff>
      <xdr:row>354</xdr:row>
      <xdr:rowOff>9525</xdr:rowOff>
    </xdr:from>
    <xdr:to>
      <xdr:col>3</xdr:col>
      <xdr:colOff>66675</xdr:colOff>
      <xdr:row>354</xdr:row>
      <xdr:rowOff>19050</xdr:rowOff>
    </xdr:to>
    <xdr:cxnSp macro="">
      <xdr:nvCxnSpPr>
        <xdr:cNvPr id="41" name="直線コネクタ 40"/>
        <xdr:cNvCxnSpPr/>
      </xdr:nvCxnSpPr>
      <xdr:spPr>
        <a:xfrm>
          <a:off x="1514475" y="55702200"/>
          <a:ext cx="609600" cy="952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66675</xdr:colOff>
      <xdr:row>348</xdr:row>
      <xdr:rowOff>133351</xdr:rowOff>
    </xdr:from>
    <xdr:to>
      <xdr:col>4</xdr:col>
      <xdr:colOff>114300</xdr:colOff>
      <xdr:row>354</xdr:row>
      <xdr:rowOff>19050</xdr:rowOff>
    </xdr:to>
    <xdr:cxnSp macro="">
      <xdr:nvCxnSpPr>
        <xdr:cNvPr id="42" name="直線コネクタ 41"/>
        <xdr:cNvCxnSpPr/>
      </xdr:nvCxnSpPr>
      <xdr:spPr>
        <a:xfrm flipV="1">
          <a:off x="2124075" y="54968776"/>
          <a:ext cx="733425" cy="742949"/>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133350</xdr:colOff>
      <xdr:row>387</xdr:row>
      <xdr:rowOff>28575</xdr:rowOff>
    </xdr:from>
    <xdr:to>
      <xdr:col>2</xdr:col>
      <xdr:colOff>142875</xdr:colOff>
      <xdr:row>397</xdr:row>
      <xdr:rowOff>0</xdr:rowOff>
    </xdr:to>
    <xdr:cxnSp macro="">
      <xdr:nvCxnSpPr>
        <xdr:cNvPr id="44" name="直線コネクタ 43"/>
        <xdr:cNvCxnSpPr/>
      </xdr:nvCxnSpPr>
      <xdr:spPr>
        <a:xfrm flipV="1">
          <a:off x="1504950" y="44691300"/>
          <a:ext cx="9525" cy="1400175"/>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152400</xdr:colOff>
      <xdr:row>393</xdr:row>
      <xdr:rowOff>19050</xdr:rowOff>
    </xdr:from>
    <xdr:to>
      <xdr:col>4</xdr:col>
      <xdr:colOff>209550</xdr:colOff>
      <xdr:row>393</xdr:row>
      <xdr:rowOff>19050</xdr:rowOff>
    </xdr:to>
    <xdr:cxnSp macro="">
      <xdr:nvCxnSpPr>
        <xdr:cNvPr id="45" name="直線コネクタ 44"/>
        <xdr:cNvCxnSpPr/>
      </xdr:nvCxnSpPr>
      <xdr:spPr>
        <a:xfrm>
          <a:off x="1524000" y="45539025"/>
          <a:ext cx="1428750" cy="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133350</xdr:colOff>
      <xdr:row>393</xdr:row>
      <xdr:rowOff>9525</xdr:rowOff>
    </xdr:from>
    <xdr:to>
      <xdr:col>2</xdr:col>
      <xdr:colOff>676275</xdr:colOff>
      <xdr:row>393</xdr:row>
      <xdr:rowOff>19050</xdr:rowOff>
    </xdr:to>
    <xdr:cxnSp macro="">
      <xdr:nvCxnSpPr>
        <xdr:cNvPr id="46" name="直線コネクタ 45"/>
        <xdr:cNvCxnSpPr/>
      </xdr:nvCxnSpPr>
      <xdr:spPr>
        <a:xfrm>
          <a:off x="1504950" y="61274325"/>
          <a:ext cx="542925" cy="952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66676</xdr:colOff>
      <xdr:row>393</xdr:row>
      <xdr:rowOff>38101</xdr:rowOff>
    </xdr:from>
    <xdr:to>
      <xdr:col>4</xdr:col>
      <xdr:colOff>85725</xdr:colOff>
      <xdr:row>396</xdr:row>
      <xdr:rowOff>95250</xdr:rowOff>
    </xdr:to>
    <xdr:cxnSp macro="">
      <xdr:nvCxnSpPr>
        <xdr:cNvPr id="47" name="直線コネクタ 46"/>
        <xdr:cNvCxnSpPr/>
      </xdr:nvCxnSpPr>
      <xdr:spPr>
        <a:xfrm flipH="1" flipV="1">
          <a:off x="2124076" y="61302901"/>
          <a:ext cx="704849" cy="485774"/>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4</xdr:col>
      <xdr:colOff>9525</xdr:colOff>
      <xdr:row>420</xdr:row>
      <xdr:rowOff>57150</xdr:rowOff>
    </xdr:from>
    <xdr:to>
      <xdr:col>6</xdr:col>
      <xdr:colOff>457200</xdr:colOff>
      <xdr:row>427</xdr:row>
      <xdr:rowOff>114300</xdr:rowOff>
    </xdr:to>
    <xdr:pic>
      <xdr:nvPicPr>
        <xdr:cNvPr id="118" name="図 11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752725" y="65398650"/>
          <a:ext cx="1819275" cy="1057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257175</xdr:colOff>
      <xdr:row>430</xdr:row>
      <xdr:rowOff>66675</xdr:rowOff>
    </xdr:from>
    <xdr:to>
      <xdr:col>7</xdr:col>
      <xdr:colOff>266700</xdr:colOff>
      <xdr:row>440</xdr:row>
      <xdr:rowOff>38100</xdr:rowOff>
    </xdr:to>
    <xdr:cxnSp macro="">
      <xdr:nvCxnSpPr>
        <xdr:cNvPr id="123" name="直線コネクタ 122"/>
        <xdr:cNvCxnSpPr/>
      </xdr:nvCxnSpPr>
      <xdr:spPr>
        <a:xfrm flipV="1">
          <a:off x="5057775" y="66875025"/>
          <a:ext cx="9525" cy="1400175"/>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276225</xdr:colOff>
      <xdr:row>436</xdr:row>
      <xdr:rowOff>57150</xdr:rowOff>
    </xdr:from>
    <xdr:to>
      <xdr:col>10</xdr:col>
      <xdr:colOff>666750</xdr:colOff>
      <xdr:row>436</xdr:row>
      <xdr:rowOff>57150</xdr:rowOff>
    </xdr:to>
    <xdr:cxnSp macro="">
      <xdr:nvCxnSpPr>
        <xdr:cNvPr id="124" name="直線コネクタ 123"/>
        <xdr:cNvCxnSpPr/>
      </xdr:nvCxnSpPr>
      <xdr:spPr>
        <a:xfrm>
          <a:off x="5076825" y="67722750"/>
          <a:ext cx="2447925" cy="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257175</xdr:colOff>
      <xdr:row>436</xdr:row>
      <xdr:rowOff>47625</xdr:rowOff>
    </xdr:from>
    <xdr:to>
      <xdr:col>8</xdr:col>
      <xdr:colOff>114300</xdr:colOff>
      <xdr:row>436</xdr:row>
      <xdr:rowOff>57150</xdr:rowOff>
    </xdr:to>
    <xdr:cxnSp macro="">
      <xdr:nvCxnSpPr>
        <xdr:cNvPr id="125" name="直線コネクタ 124"/>
        <xdr:cNvCxnSpPr/>
      </xdr:nvCxnSpPr>
      <xdr:spPr>
        <a:xfrm>
          <a:off x="5057775" y="67713225"/>
          <a:ext cx="542925" cy="952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114300</xdr:colOff>
      <xdr:row>434</xdr:row>
      <xdr:rowOff>28575</xdr:rowOff>
    </xdr:from>
    <xdr:to>
      <xdr:col>8</xdr:col>
      <xdr:colOff>314325</xdr:colOff>
      <xdr:row>436</xdr:row>
      <xdr:rowOff>66675</xdr:rowOff>
    </xdr:to>
    <xdr:cxnSp macro="">
      <xdr:nvCxnSpPr>
        <xdr:cNvPr id="126" name="直線コネクタ 125"/>
        <xdr:cNvCxnSpPr/>
      </xdr:nvCxnSpPr>
      <xdr:spPr>
        <a:xfrm flipH="1">
          <a:off x="5600700" y="67408425"/>
          <a:ext cx="200025" cy="323850"/>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314326</xdr:colOff>
      <xdr:row>434</xdr:row>
      <xdr:rowOff>47626</xdr:rowOff>
    </xdr:from>
    <xdr:to>
      <xdr:col>9</xdr:col>
      <xdr:colOff>276225</xdr:colOff>
      <xdr:row>436</xdr:row>
      <xdr:rowOff>57150</xdr:rowOff>
    </xdr:to>
    <xdr:cxnSp macro="">
      <xdr:nvCxnSpPr>
        <xdr:cNvPr id="128" name="直線コネクタ 127"/>
        <xdr:cNvCxnSpPr/>
      </xdr:nvCxnSpPr>
      <xdr:spPr>
        <a:xfrm flipH="1" flipV="1">
          <a:off x="5800726" y="67427476"/>
          <a:ext cx="647699" cy="295274"/>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257175</xdr:colOff>
      <xdr:row>436</xdr:row>
      <xdr:rowOff>47625</xdr:rowOff>
    </xdr:from>
    <xdr:to>
      <xdr:col>10</xdr:col>
      <xdr:colOff>114300</xdr:colOff>
      <xdr:row>436</xdr:row>
      <xdr:rowOff>57150</xdr:rowOff>
    </xdr:to>
    <xdr:cxnSp macro="">
      <xdr:nvCxnSpPr>
        <xdr:cNvPr id="134" name="直線コネクタ 133"/>
        <xdr:cNvCxnSpPr/>
      </xdr:nvCxnSpPr>
      <xdr:spPr>
        <a:xfrm>
          <a:off x="6429375" y="67713225"/>
          <a:ext cx="542925" cy="952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7</xdr:col>
      <xdr:colOff>552450</xdr:colOff>
      <xdr:row>436</xdr:row>
      <xdr:rowOff>47625</xdr:rowOff>
    </xdr:from>
    <xdr:ext cx="326308" cy="275717"/>
    <xdr:sp macro="" textlink="">
      <xdr:nvSpPr>
        <xdr:cNvPr id="135" name="テキスト ボックス 134"/>
        <xdr:cNvSpPr txBox="1"/>
      </xdr:nvSpPr>
      <xdr:spPr>
        <a:xfrm>
          <a:off x="5353050" y="67713225"/>
          <a:ext cx="326308"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Ｋｌ</a:t>
          </a:r>
        </a:p>
      </xdr:txBody>
    </xdr:sp>
    <xdr:clientData/>
  </xdr:oneCellAnchor>
  <xdr:oneCellAnchor>
    <xdr:from>
      <xdr:col>8</xdr:col>
      <xdr:colOff>200025</xdr:colOff>
      <xdr:row>436</xdr:row>
      <xdr:rowOff>57150</xdr:rowOff>
    </xdr:from>
    <xdr:ext cx="403700" cy="275717"/>
    <xdr:sp macro="" textlink="">
      <xdr:nvSpPr>
        <xdr:cNvPr id="136" name="テキスト ボックス 135"/>
        <xdr:cNvSpPr txBox="1"/>
      </xdr:nvSpPr>
      <xdr:spPr>
        <a:xfrm>
          <a:off x="5686425" y="67722750"/>
          <a:ext cx="40370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Ｋ</a:t>
          </a:r>
          <a:r>
            <a:rPr kumimoji="1" lang="en-US" altLang="ja-JP" sz="1100"/>
            <a:t>m</a:t>
          </a:r>
          <a:endParaRPr kumimoji="1" lang="ja-JP" altLang="en-US" sz="1100"/>
        </a:p>
      </xdr:txBody>
    </xdr:sp>
    <xdr:clientData/>
  </xdr:oneCellAnchor>
  <xdr:oneCellAnchor>
    <xdr:from>
      <xdr:col>9</xdr:col>
      <xdr:colOff>28575</xdr:colOff>
      <xdr:row>436</xdr:row>
      <xdr:rowOff>38100</xdr:rowOff>
    </xdr:from>
    <xdr:ext cx="365165" cy="275717"/>
    <xdr:sp macro="" textlink="">
      <xdr:nvSpPr>
        <xdr:cNvPr id="137" name="テキスト ボックス 136"/>
        <xdr:cNvSpPr txBox="1"/>
      </xdr:nvSpPr>
      <xdr:spPr>
        <a:xfrm>
          <a:off x="6200775" y="67703700"/>
          <a:ext cx="36516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Ｋ</a:t>
          </a:r>
          <a:r>
            <a:rPr kumimoji="1" lang="en-US" altLang="ja-JP" sz="1100"/>
            <a:t>h</a:t>
          </a:r>
          <a:endParaRPr kumimoji="1" lang="ja-JP" altLang="en-US" sz="1100"/>
        </a:p>
      </xdr:txBody>
    </xdr:sp>
    <xdr:clientData/>
  </xdr:oneCellAnchor>
  <xdr:twoCellAnchor>
    <xdr:from>
      <xdr:col>7</xdr:col>
      <xdr:colOff>295275</xdr:colOff>
      <xdr:row>434</xdr:row>
      <xdr:rowOff>19050</xdr:rowOff>
    </xdr:from>
    <xdr:to>
      <xdr:col>8</xdr:col>
      <xdr:colOff>323850</xdr:colOff>
      <xdr:row>434</xdr:row>
      <xdr:rowOff>28576</xdr:rowOff>
    </xdr:to>
    <xdr:cxnSp macro="">
      <xdr:nvCxnSpPr>
        <xdr:cNvPr id="139" name="直線コネクタ 138"/>
        <xdr:cNvCxnSpPr/>
      </xdr:nvCxnSpPr>
      <xdr:spPr>
        <a:xfrm>
          <a:off x="5095875" y="67398900"/>
          <a:ext cx="714375" cy="9526"/>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257175</xdr:colOff>
      <xdr:row>445</xdr:row>
      <xdr:rowOff>85725</xdr:rowOff>
    </xdr:from>
    <xdr:to>
      <xdr:col>0</xdr:col>
      <xdr:colOff>266700</xdr:colOff>
      <xdr:row>455</xdr:row>
      <xdr:rowOff>66675</xdr:rowOff>
    </xdr:to>
    <xdr:cxnSp macro="">
      <xdr:nvCxnSpPr>
        <xdr:cNvPr id="141" name="直線コネクタ 140"/>
        <xdr:cNvCxnSpPr/>
      </xdr:nvCxnSpPr>
      <xdr:spPr>
        <a:xfrm flipV="1">
          <a:off x="257175" y="69342000"/>
          <a:ext cx="9525" cy="140970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266700</xdr:colOff>
      <xdr:row>455</xdr:row>
      <xdr:rowOff>66675</xdr:rowOff>
    </xdr:from>
    <xdr:to>
      <xdr:col>5</xdr:col>
      <xdr:colOff>542925</xdr:colOff>
      <xdr:row>455</xdr:row>
      <xdr:rowOff>76200</xdr:rowOff>
    </xdr:to>
    <xdr:cxnSp macro="">
      <xdr:nvCxnSpPr>
        <xdr:cNvPr id="142" name="直線コネクタ 141"/>
        <xdr:cNvCxnSpPr/>
      </xdr:nvCxnSpPr>
      <xdr:spPr>
        <a:xfrm flipV="1">
          <a:off x="266700" y="70751700"/>
          <a:ext cx="3705225" cy="9525"/>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9526</xdr:colOff>
      <xdr:row>447</xdr:row>
      <xdr:rowOff>47625</xdr:rowOff>
    </xdr:from>
    <xdr:to>
      <xdr:col>2</xdr:col>
      <xdr:colOff>95250</xdr:colOff>
      <xdr:row>452</xdr:row>
      <xdr:rowOff>66675</xdr:rowOff>
    </xdr:to>
    <xdr:cxnSp macro="">
      <xdr:nvCxnSpPr>
        <xdr:cNvPr id="144" name="直線コネクタ 143"/>
        <xdr:cNvCxnSpPr/>
      </xdr:nvCxnSpPr>
      <xdr:spPr>
        <a:xfrm>
          <a:off x="695326" y="69589650"/>
          <a:ext cx="771524" cy="73342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85726</xdr:colOff>
      <xdr:row>452</xdr:row>
      <xdr:rowOff>57150</xdr:rowOff>
    </xdr:from>
    <xdr:to>
      <xdr:col>3</xdr:col>
      <xdr:colOff>476250</xdr:colOff>
      <xdr:row>453</xdr:row>
      <xdr:rowOff>104775</xdr:rowOff>
    </xdr:to>
    <xdr:cxnSp macro="">
      <xdr:nvCxnSpPr>
        <xdr:cNvPr id="146" name="直線コネクタ 145"/>
        <xdr:cNvCxnSpPr/>
      </xdr:nvCxnSpPr>
      <xdr:spPr>
        <a:xfrm>
          <a:off x="1457326" y="70313550"/>
          <a:ext cx="1076324" cy="190500"/>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257175</xdr:colOff>
      <xdr:row>469</xdr:row>
      <xdr:rowOff>66675</xdr:rowOff>
    </xdr:from>
    <xdr:to>
      <xdr:col>7</xdr:col>
      <xdr:colOff>266700</xdr:colOff>
      <xdr:row>479</xdr:row>
      <xdr:rowOff>38100</xdr:rowOff>
    </xdr:to>
    <xdr:cxnSp macro="">
      <xdr:nvCxnSpPr>
        <xdr:cNvPr id="150" name="直線コネクタ 149"/>
        <xdr:cNvCxnSpPr/>
      </xdr:nvCxnSpPr>
      <xdr:spPr>
        <a:xfrm flipV="1">
          <a:off x="5057775" y="66875025"/>
          <a:ext cx="9525" cy="140970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276225</xdr:colOff>
      <xdr:row>475</xdr:row>
      <xdr:rowOff>57150</xdr:rowOff>
    </xdr:from>
    <xdr:to>
      <xdr:col>10</xdr:col>
      <xdr:colOff>666750</xdr:colOff>
      <xdr:row>475</xdr:row>
      <xdr:rowOff>57150</xdr:rowOff>
    </xdr:to>
    <xdr:cxnSp macro="">
      <xdr:nvCxnSpPr>
        <xdr:cNvPr id="151" name="直線コネクタ 150"/>
        <xdr:cNvCxnSpPr/>
      </xdr:nvCxnSpPr>
      <xdr:spPr>
        <a:xfrm>
          <a:off x="5076825" y="67722750"/>
          <a:ext cx="2447925" cy="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257175</xdr:colOff>
      <xdr:row>475</xdr:row>
      <xdr:rowOff>47625</xdr:rowOff>
    </xdr:from>
    <xdr:to>
      <xdr:col>8</xdr:col>
      <xdr:colOff>114300</xdr:colOff>
      <xdr:row>475</xdr:row>
      <xdr:rowOff>57150</xdr:rowOff>
    </xdr:to>
    <xdr:cxnSp macro="">
      <xdr:nvCxnSpPr>
        <xdr:cNvPr id="152" name="直線コネクタ 151"/>
        <xdr:cNvCxnSpPr/>
      </xdr:nvCxnSpPr>
      <xdr:spPr>
        <a:xfrm>
          <a:off x="5057775" y="67713225"/>
          <a:ext cx="542925" cy="952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114300</xdr:colOff>
      <xdr:row>473</xdr:row>
      <xdr:rowOff>28575</xdr:rowOff>
    </xdr:from>
    <xdr:to>
      <xdr:col>8</xdr:col>
      <xdr:colOff>314325</xdr:colOff>
      <xdr:row>475</xdr:row>
      <xdr:rowOff>66675</xdr:rowOff>
    </xdr:to>
    <xdr:cxnSp macro="">
      <xdr:nvCxnSpPr>
        <xdr:cNvPr id="153" name="直線コネクタ 152"/>
        <xdr:cNvCxnSpPr/>
      </xdr:nvCxnSpPr>
      <xdr:spPr>
        <a:xfrm flipH="1">
          <a:off x="5600700" y="67408425"/>
          <a:ext cx="200025" cy="323850"/>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314326</xdr:colOff>
      <xdr:row>473</xdr:row>
      <xdr:rowOff>47626</xdr:rowOff>
    </xdr:from>
    <xdr:to>
      <xdr:col>9</xdr:col>
      <xdr:colOff>276225</xdr:colOff>
      <xdr:row>475</xdr:row>
      <xdr:rowOff>57150</xdr:rowOff>
    </xdr:to>
    <xdr:cxnSp macro="">
      <xdr:nvCxnSpPr>
        <xdr:cNvPr id="154" name="直線コネクタ 153"/>
        <xdr:cNvCxnSpPr/>
      </xdr:nvCxnSpPr>
      <xdr:spPr>
        <a:xfrm flipH="1" flipV="1">
          <a:off x="5800726" y="67427476"/>
          <a:ext cx="647699" cy="295274"/>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257175</xdr:colOff>
      <xdr:row>475</xdr:row>
      <xdr:rowOff>47625</xdr:rowOff>
    </xdr:from>
    <xdr:to>
      <xdr:col>10</xdr:col>
      <xdr:colOff>114300</xdr:colOff>
      <xdr:row>475</xdr:row>
      <xdr:rowOff>57150</xdr:rowOff>
    </xdr:to>
    <xdr:cxnSp macro="">
      <xdr:nvCxnSpPr>
        <xdr:cNvPr id="155" name="直線コネクタ 154"/>
        <xdr:cNvCxnSpPr/>
      </xdr:nvCxnSpPr>
      <xdr:spPr>
        <a:xfrm>
          <a:off x="6429375" y="67713225"/>
          <a:ext cx="542925" cy="952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7</xdr:col>
      <xdr:colOff>552450</xdr:colOff>
      <xdr:row>475</xdr:row>
      <xdr:rowOff>47625</xdr:rowOff>
    </xdr:from>
    <xdr:ext cx="326308" cy="275717"/>
    <xdr:sp macro="" textlink="">
      <xdr:nvSpPr>
        <xdr:cNvPr id="156" name="テキスト ボックス 155"/>
        <xdr:cNvSpPr txBox="1"/>
      </xdr:nvSpPr>
      <xdr:spPr>
        <a:xfrm>
          <a:off x="5353050" y="67713225"/>
          <a:ext cx="326308"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Ｋｌ</a:t>
          </a:r>
        </a:p>
      </xdr:txBody>
    </xdr:sp>
    <xdr:clientData/>
  </xdr:oneCellAnchor>
  <xdr:oneCellAnchor>
    <xdr:from>
      <xdr:col>8</xdr:col>
      <xdr:colOff>200025</xdr:colOff>
      <xdr:row>475</xdr:row>
      <xdr:rowOff>57150</xdr:rowOff>
    </xdr:from>
    <xdr:ext cx="403700" cy="275717"/>
    <xdr:sp macro="" textlink="">
      <xdr:nvSpPr>
        <xdr:cNvPr id="157" name="テキスト ボックス 156"/>
        <xdr:cNvSpPr txBox="1"/>
      </xdr:nvSpPr>
      <xdr:spPr>
        <a:xfrm>
          <a:off x="5686425" y="67722750"/>
          <a:ext cx="40370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Ｋ</a:t>
          </a:r>
          <a:r>
            <a:rPr kumimoji="1" lang="en-US" altLang="ja-JP" sz="1100"/>
            <a:t>m</a:t>
          </a:r>
          <a:endParaRPr kumimoji="1" lang="ja-JP" altLang="en-US" sz="1100"/>
        </a:p>
      </xdr:txBody>
    </xdr:sp>
    <xdr:clientData/>
  </xdr:oneCellAnchor>
  <xdr:oneCellAnchor>
    <xdr:from>
      <xdr:col>9</xdr:col>
      <xdr:colOff>28575</xdr:colOff>
      <xdr:row>475</xdr:row>
      <xdr:rowOff>38100</xdr:rowOff>
    </xdr:from>
    <xdr:ext cx="365165" cy="275717"/>
    <xdr:sp macro="" textlink="">
      <xdr:nvSpPr>
        <xdr:cNvPr id="158" name="テキスト ボックス 157"/>
        <xdr:cNvSpPr txBox="1"/>
      </xdr:nvSpPr>
      <xdr:spPr>
        <a:xfrm>
          <a:off x="6200775" y="67703700"/>
          <a:ext cx="36516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Ｋ</a:t>
          </a:r>
          <a:r>
            <a:rPr kumimoji="1" lang="en-US" altLang="ja-JP" sz="1100"/>
            <a:t>h</a:t>
          </a:r>
          <a:endParaRPr kumimoji="1" lang="ja-JP" altLang="en-US" sz="1100"/>
        </a:p>
      </xdr:txBody>
    </xdr:sp>
    <xdr:clientData/>
  </xdr:oneCellAnchor>
  <xdr:twoCellAnchor>
    <xdr:from>
      <xdr:col>7</xdr:col>
      <xdr:colOff>295275</xdr:colOff>
      <xdr:row>473</xdr:row>
      <xdr:rowOff>19050</xdr:rowOff>
    </xdr:from>
    <xdr:to>
      <xdr:col>8</xdr:col>
      <xdr:colOff>323850</xdr:colOff>
      <xdr:row>473</xdr:row>
      <xdr:rowOff>28576</xdr:rowOff>
    </xdr:to>
    <xdr:cxnSp macro="">
      <xdr:nvCxnSpPr>
        <xdr:cNvPr id="159" name="直線コネクタ 158"/>
        <xdr:cNvCxnSpPr/>
      </xdr:nvCxnSpPr>
      <xdr:spPr>
        <a:xfrm>
          <a:off x="5095875" y="67398900"/>
          <a:ext cx="714375" cy="9526"/>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447</xdr:row>
      <xdr:rowOff>57150</xdr:rowOff>
    </xdr:from>
    <xdr:to>
      <xdr:col>1</xdr:col>
      <xdr:colOff>0</xdr:colOff>
      <xdr:row>455</xdr:row>
      <xdr:rowOff>85725</xdr:rowOff>
    </xdr:to>
    <xdr:cxnSp macro="">
      <xdr:nvCxnSpPr>
        <xdr:cNvPr id="161" name="直線コネクタ 160"/>
        <xdr:cNvCxnSpPr/>
      </xdr:nvCxnSpPr>
      <xdr:spPr>
        <a:xfrm>
          <a:off x="685800" y="69599175"/>
          <a:ext cx="0" cy="1171575"/>
        </a:xfrm>
        <a:prstGeom prst="line">
          <a:avLst/>
        </a:prstGeom>
        <a:ln>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85725</xdr:colOff>
      <xdr:row>452</xdr:row>
      <xdr:rowOff>66675</xdr:rowOff>
    </xdr:from>
    <xdr:to>
      <xdr:col>2</xdr:col>
      <xdr:colOff>85725</xdr:colOff>
      <xdr:row>455</xdr:row>
      <xdr:rowOff>104775</xdr:rowOff>
    </xdr:to>
    <xdr:cxnSp macro="">
      <xdr:nvCxnSpPr>
        <xdr:cNvPr id="162" name="直線コネクタ 161"/>
        <xdr:cNvCxnSpPr/>
      </xdr:nvCxnSpPr>
      <xdr:spPr>
        <a:xfrm>
          <a:off x="1457325" y="70323075"/>
          <a:ext cx="0" cy="466725"/>
        </a:xfrm>
        <a:prstGeom prst="line">
          <a:avLst/>
        </a:prstGeom>
        <a:ln>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495300</xdr:colOff>
      <xdr:row>453</xdr:row>
      <xdr:rowOff>123825</xdr:rowOff>
    </xdr:from>
    <xdr:to>
      <xdr:col>3</xdr:col>
      <xdr:colOff>495300</xdr:colOff>
      <xdr:row>455</xdr:row>
      <xdr:rowOff>85725</xdr:rowOff>
    </xdr:to>
    <xdr:cxnSp macro="">
      <xdr:nvCxnSpPr>
        <xdr:cNvPr id="165" name="直線コネクタ 164"/>
        <xdr:cNvCxnSpPr/>
      </xdr:nvCxnSpPr>
      <xdr:spPr>
        <a:xfrm>
          <a:off x="2552700" y="70523100"/>
          <a:ext cx="0" cy="247650"/>
        </a:xfrm>
        <a:prstGeom prst="line">
          <a:avLst/>
        </a:prstGeom>
        <a:ln>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257175</xdr:colOff>
      <xdr:row>484</xdr:row>
      <xdr:rowOff>85725</xdr:rowOff>
    </xdr:from>
    <xdr:to>
      <xdr:col>0</xdr:col>
      <xdr:colOff>266700</xdr:colOff>
      <xdr:row>494</xdr:row>
      <xdr:rowOff>66675</xdr:rowOff>
    </xdr:to>
    <xdr:cxnSp macro="">
      <xdr:nvCxnSpPr>
        <xdr:cNvPr id="167" name="直線コネクタ 166"/>
        <xdr:cNvCxnSpPr/>
      </xdr:nvCxnSpPr>
      <xdr:spPr>
        <a:xfrm flipV="1">
          <a:off x="257175" y="69342000"/>
          <a:ext cx="9525" cy="140970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266700</xdr:colOff>
      <xdr:row>494</xdr:row>
      <xdr:rowOff>66675</xdr:rowOff>
    </xdr:from>
    <xdr:to>
      <xdr:col>5</xdr:col>
      <xdr:colOff>542925</xdr:colOff>
      <xdr:row>494</xdr:row>
      <xdr:rowOff>76200</xdr:rowOff>
    </xdr:to>
    <xdr:cxnSp macro="">
      <xdr:nvCxnSpPr>
        <xdr:cNvPr id="168" name="直線コネクタ 167"/>
        <xdr:cNvCxnSpPr/>
      </xdr:nvCxnSpPr>
      <xdr:spPr>
        <a:xfrm flipV="1">
          <a:off x="266700" y="70751700"/>
          <a:ext cx="3705225" cy="9525"/>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76200</xdr:colOff>
      <xdr:row>486</xdr:row>
      <xdr:rowOff>85725</xdr:rowOff>
    </xdr:from>
    <xdr:to>
      <xdr:col>3</xdr:col>
      <xdr:colOff>476250</xdr:colOff>
      <xdr:row>491</xdr:row>
      <xdr:rowOff>47626</xdr:rowOff>
    </xdr:to>
    <xdr:cxnSp macro="">
      <xdr:nvCxnSpPr>
        <xdr:cNvPr id="169" name="直線コネクタ 168"/>
        <xdr:cNvCxnSpPr/>
      </xdr:nvCxnSpPr>
      <xdr:spPr>
        <a:xfrm flipV="1">
          <a:off x="1447800" y="75638025"/>
          <a:ext cx="1085850" cy="676276"/>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9526</xdr:colOff>
      <xdr:row>491</xdr:row>
      <xdr:rowOff>66675</xdr:rowOff>
    </xdr:from>
    <xdr:to>
      <xdr:col>2</xdr:col>
      <xdr:colOff>57150</xdr:colOff>
      <xdr:row>492</xdr:row>
      <xdr:rowOff>38100</xdr:rowOff>
    </xdr:to>
    <xdr:cxnSp macro="">
      <xdr:nvCxnSpPr>
        <xdr:cNvPr id="170" name="直線コネクタ 169"/>
        <xdr:cNvCxnSpPr/>
      </xdr:nvCxnSpPr>
      <xdr:spPr>
        <a:xfrm flipV="1">
          <a:off x="695326" y="76333350"/>
          <a:ext cx="733424" cy="114300"/>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492</xdr:row>
      <xdr:rowOff>57150</xdr:rowOff>
    </xdr:from>
    <xdr:to>
      <xdr:col>1</xdr:col>
      <xdr:colOff>9525</xdr:colOff>
      <xdr:row>494</xdr:row>
      <xdr:rowOff>85725</xdr:rowOff>
    </xdr:to>
    <xdr:cxnSp macro="">
      <xdr:nvCxnSpPr>
        <xdr:cNvPr id="171" name="直線コネクタ 170"/>
        <xdr:cNvCxnSpPr/>
      </xdr:nvCxnSpPr>
      <xdr:spPr>
        <a:xfrm flipH="1">
          <a:off x="685800" y="76466700"/>
          <a:ext cx="9525" cy="314325"/>
        </a:xfrm>
        <a:prstGeom prst="line">
          <a:avLst/>
        </a:prstGeom>
        <a:ln>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85725</xdr:colOff>
      <xdr:row>491</xdr:row>
      <xdr:rowOff>66675</xdr:rowOff>
    </xdr:from>
    <xdr:to>
      <xdr:col>2</xdr:col>
      <xdr:colOff>85725</xdr:colOff>
      <xdr:row>494</xdr:row>
      <xdr:rowOff>104775</xdr:rowOff>
    </xdr:to>
    <xdr:cxnSp macro="">
      <xdr:nvCxnSpPr>
        <xdr:cNvPr id="172" name="直線コネクタ 171"/>
        <xdr:cNvCxnSpPr/>
      </xdr:nvCxnSpPr>
      <xdr:spPr>
        <a:xfrm>
          <a:off x="1457325" y="70323075"/>
          <a:ext cx="0" cy="466725"/>
        </a:xfrm>
        <a:prstGeom prst="line">
          <a:avLst/>
        </a:prstGeom>
        <a:ln>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495300</xdr:colOff>
      <xdr:row>486</xdr:row>
      <xdr:rowOff>57150</xdr:rowOff>
    </xdr:from>
    <xdr:to>
      <xdr:col>3</xdr:col>
      <xdr:colOff>514350</xdr:colOff>
      <xdr:row>494</xdr:row>
      <xdr:rowOff>85725</xdr:rowOff>
    </xdr:to>
    <xdr:cxnSp macro="">
      <xdr:nvCxnSpPr>
        <xdr:cNvPr id="173" name="直線コネクタ 172"/>
        <xdr:cNvCxnSpPr/>
      </xdr:nvCxnSpPr>
      <xdr:spPr>
        <a:xfrm flipH="1">
          <a:off x="2552700" y="75609450"/>
          <a:ext cx="19050" cy="1171575"/>
        </a:xfrm>
        <a:prstGeom prst="line">
          <a:avLst/>
        </a:prstGeom>
        <a:ln>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142875</xdr:colOff>
      <xdr:row>518</xdr:row>
      <xdr:rowOff>28575</xdr:rowOff>
    </xdr:from>
    <xdr:to>
      <xdr:col>2</xdr:col>
      <xdr:colOff>142875</xdr:colOff>
      <xdr:row>524</xdr:row>
      <xdr:rowOff>9525</xdr:rowOff>
    </xdr:to>
    <xdr:cxnSp macro="">
      <xdr:nvCxnSpPr>
        <xdr:cNvPr id="180" name="直線コネクタ 179"/>
        <xdr:cNvCxnSpPr/>
      </xdr:nvCxnSpPr>
      <xdr:spPr>
        <a:xfrm flipV="1">
          <a:off x="1514475" y="54864000"/>
          <a:ext cx="0" cy="83820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152400</xdr:colOff>
      <xdr:row>524</xdr:row>
      <xdr:rowOff>19050</xdr:rowOff>
    </xdr:from>
    <xdr:to>
      <xdr:col>4</xdr:col>
      <xdr:colOff>209550</xdr:colOff>
      <xdr:row>524</xdr:row>
      <xdr:rowOff>19050</xdr:rowOff>
    </xdr:to>
    <xdr:cxnSp macro="">
      <xdr:nvCxnSpPr>
        <xdr:cNvPr id="181" name="直線コネクタ 180"/>
        <xdr:cNvCxnSpPr/>
      </xdr:nvCxnSpPr>
      <xdr:spPr>
        <a:xfrm>
          <a:off x="1524000" y="55711725"/>
          <a:ext cx="1428750" cy="0"/>
        </a:xfrm>
        <a:prstGeom prst="line">
          <a:avLst/>
        </a:prstGeom>
        <a:ln>
          <a:headEnd type="none"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142875</xdr:colOff>
      <xdr:row>524</xdr:row>
      <xdr:rowOff>9525</xdr:rowOff>
    </xdr:from>
    <xdr:to>
      <xdr:col>3</xdr:col>
      <xdr:colOff>66675</xdr:colOff>
      <xdr:row>524</xdr:row>
      <xdr:rowOff>19050</xdr:rowOff>
    </xdr:to>
    <xdr:cxnSp macro="">
      <xdr:nvCxnSpPr>
        <xdr:cNvPr id="182" name="直線コネクタ 181"/>
        <xdr:cNvCxnSpPr/>
      </xdr:nvCxnSpPr>
      <xdr:spPr>
        <a:xfrm>
          <a:off x="1514475" y="55702200"/>
          <a:ext cx="609600" cy="9525"/>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66675</xdr:colOff>
      <xdr:row>518</xdr:row>
      <xdr:rowOff>133351</xdr:rowOff>
    </xdr:from>
    <xdr:to>
      <xdr:col>4</xdr:col>
      <xdr:colOff>114300</xdr:colOff>
      <xdr:row>524</xdr:row>
      <xdr:rowOff>19050</xdr:rowOff>
    </xdr:to>
    <xdr:cxnSp macro="">
      <xdr:nvCxnSpPr>
        <xdr:cNvPr id="183" name="直線コネクタ 182"/>
        <xdr:cNvCxnSpPr/>
      </xdr:nvCxnSpPr>
      <xdr:spPr>
        <a:xfrm flipV="1">
          <a:off x="2124075" y="54968776"/>
          <a:ext cx="733425" cy="742949"/>
        </a:xfrm>
        <a:prstGeom prst="line">
          <a:avLst/>
        </a:prstGeom>
        <a:ln>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285750</xdr:colOff>
      <xdr:row>13</xdr:row>
      <xdr:rowOff>28575</xdr:rowOff>
    </xdr:from>
    <xdr:to>
      <xdr:col>1</xdr:col>
      <xdr:colOff>295275</xdr:colOff>
      <xdr:row>16</xdr:row>
      <xdr:rowOff>0</xdr:rowOff>
    </xdr:to>
    <xdr:cxnSp macro="">
      <xdr:nvCxnSpPr>
        <xdr:cNvPr id="3" name="直線矢印コネクタ 2"/>
        <xdr:cNvCxnSpPr/>
      </xdr:nvCxnSpPr>
      <xdr:spPr>
        <a:xfrm flipV="1">
          <a:off x="285750" y="1295400"/>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295275</xdr:colOff>
      <xdr:row>16</xdr:row>
      <xdr:rowOff>0</xdr:rowOff>
    </xdr:from>
    <xdr:to>
      <xdr:col>1</xdr:col>
      <xdr:colOff>304800</xdr:colOff>
      <xdr:row>18</xdr:row>
      <xdr:rowOff>114300</xdr:rowOff>
    </xdr:to>
    <xdr:cxnSp macro="">
      <xdr:nvCxnSpPr>
        <xdr:cNvPr id="4" name="直線矢印コネクタ 3"/>
        <xdr:cNvCxnSpPr/>
      </xdr:nvCxnSpPr>
      <xdr:spPr>
        <a:xfrm>
          <a:off x="295275" y="1695450"/>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438150</xdr:colOff>
      <xdr:row>13</xdr:row>
      <xdr:rowOff>19050</xdr:rowOff>
    </xdr:from>
    <xdr:to>
      <xdr:col>3</xdr:col>
      <xdr:colOff>447675</xdr:colOff>
      <xdr:row>15</xdr:row>
      <xdr:rowOff>133350</xdr:rowOff>
    </xdr:to>
    <xdr:cxnSp macro="">
      <xdr:nvCxnSpPr>
        <xdr:cNvPr id="8" name="直線矢印コネクタ 7"/>
        <xdr:cNvCxnSpPr/>
      </xdr:nvCxnSpPr>
      <xdr:spPr>
        <a:xfrm flipV="1">
          <a:off x="1809750" y="1285875"/>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447675</xdr:colOff>
      <xdr:row>15</xdr:row>
      <xdr:rowOff>133350</xdr:rowOff>
    </xdr:from>
    <xdr:to>
      <xdr:col>3</xdr:col>
      <xdr:colOff>457200</xdr:colOff>
      <xdr:row>18</xdr:row>
      <xdr:rowOff>104775</xdr:rowOff>
    </xdr:to>
    <xdr:cxnSp macro="">
      <xdr:nvCxnSpPr>
        <xdr:cNvPr id="9" name="直線矢印コネクタ 8"/>
        <xdr:cNvCxnSpPr/>
      </xdr:nvCxnSpPr>
      <xdr:spPr>
        <a:xfrm>
          <a:off x="1819275" y="1685925"/>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504825</xdr:colOff>
      <xdr:row>12</xdr:row>
      <xdr:rowOff>123825</xdr:rowOff>
    </xdr:from>
    <xdr:to>
      <xdr:col>6</xdr:col>
      <xdr:colOff>514350</xdr:colOff>
      <xdr:row>15</xdr:row>
      <xdr:rowOff>95250</xdr:rowOff>
    </xdr:to>
    <xdr:cxnSp macro="">
      <xdr:nvCxnSpPr>
        <xdr:cNvPr id="10" name="直線矢印コネクタ 9"/>
        <xdr:cNvCxnSpPr/>
      </xdr:nvCxnSpPr>
      <xdr:spPr>
        <a:xfrm flipV="1">
          <a:off x="3933825" y="1247775"/>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514350</xdr:colOff>
      <xdr:row>15</xdr:row>
      <xdr:rowOff>95250</xdr:rowOff>
    </xdr:from>
    <xdr:to>
      <xdr:col>6</xdr:col>
      <xdr:colOff>523875</xdr:colOff>
      <xdr:row>18</xdr:row>
      <xdr:rowOff>66675</xdr:rowOff>
    </xdr:to>
    <xdr:cxnSp macro="">
      <xdr:nvCxnSpPr>
        <xdr:cNvPr id="11" name="直線矢印コネクタ 10"/>
        <xdr:cNvCxnSpPr/>
      </xdr:nvCxnSpPr>
      <xdr:spPr>
        <a:xfrm>
          <a:off x="3943350" y="1647825"/>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9</xdr:col>
      <xdr:colOff>19050</xdr:colOff>
      <xdr:row>22</xdr:row>
      <xdr:rowOff>38100</xdr:rowOff>
    </xdr:from>
    <xdr:ext cx="184731" cy="264560"/>
    <xdr:sp macro="" textlink="">
      <xdr:nvSpPr>
        <xdr:cNvPr id="12" name="テキスト ボックス 11"/>
        <xdr:cNvSpPr txBox="1"/>
      </xdr:nvSpPr>
      <xdr:spPr>
        <a:xfrm>
          <a:off x="6191250" y="2590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twoCellAnchor>
    <xdr:from>
      <xdr:col>1</xdr:col>
      <xdr:colOff>304800</xdr:colOff>
      <xdr:row>12</xdr:row>
      <xdr:rowOff>0</xdr:rowOff>
    </xdr:from>
    <xdr:to>
      <xdr:col>2</xdr:col>
      <xdr:colOff>342900</xdr:colOff>
      <xdr:row>14</xdr:row>
      <xdr:rowOff>9525</xdr:rowOff>
    </xdr:to>
    <xdr:sp macro="" textlink="">
      <xdr:nvSpPr>
        <xdr:cNvPr id="13" name="テキスト ボックス 12"/>
        <xdr:cNvSpPr txBox="1"/>
      </xdr:nvSpPr>
      <xdr:spPr>
        <a:xfrm>
          <a:off x="990600" y="2009775"/>
          <a:ext cx="723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110</a:t>
          </a:r>
          <a:r>
            <a:rPr kumimoji="1" lang="ja-JP" altLang="en-US" sz="1100"/>
            <a:t>円</a:t>
          </a:r>
        </a:p>
      </xdr:txBody>
    </xdr:sp>
    <xdr:clientData/>
  </xdr:twoCellAnchor>
  <xdr:twoCellAnchor>
    <xdr:from>
      <xdr:col>1</xdr:col>
      <xdr:colOff>295275</xdr:colOff>
      <xdr:row>17</xdr:row>
      <xdr:rowOff>95250</xdr:rowOff>
    </xdr:from>
    <xdr:to>
      <xdr:col>2</xdr:col>
      <xdr:colOff>333375</xdr:colOff>
      <xdr:row>19</xdr:row>
      <xdr:rowOff>104775</xdr:rowOff>
    </xdr:to>
    <xdr:sp macro="" textlink="">
      <xdr:nvSpPr>
        <xdr:cNvPr id="15" name="テキスト ボックス 14"/>
        <xdr:cNvSpPr txBox="1"/>
      </xdr:nvSpPr>
      <xdr:spPr>
        <a:xfrm>
          <a:off x="981075" y="2819400"/>
          <a:ext cx="723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90</a:t>
          </a:r>
          <a:r>
            <a:rPr kumimoji="1" lang="ja-JP" altLang="en-US" sz="1100"/>
            <a:t>円</a:t>
          </a:r>
        </a:p>
      </xdr:txBody>
    </xdr:sp>
    <xdr:clientData/>
  </xdr:twoCellAnchor>
  <xdr:twoCellAnchor>
    <xdr:from>
      <xdr:col>0</xdr:col>
      <xdr:colOff>0</xdr:colOff>
      <xdr:row>16</xdr:row>
      <xdr:rowOff>28575</xdr:rowOff>
    </xdr:from>
    <xdr:to>
      <xdr:col>1</xdr:col>
      <xdr:colOff>38100</xdr:colOff>
      <xdr:row>18</xdr:row>
      <xdr:rowOff>38100</xdr:rowOff>
    </xdr:to>
    <xdr:sp macro="" textlink="">
      <xdr:nvSpPr>
        <xdr:cNvPr id="16" name="テキスト ボックス 15"/>
        <xdr:cNvSpPr txBox="1"/>
      </xdr:nvSpPr>
      <xdr:spPr>
        <a:xfrm>
          <a:off x="0" y="2609850"/>
          <a:ext cx="723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100</a:t>
          </a:r>
          <a:r>
            <a:rPr kumimoji="1" lang="ja-JP" altLang="en-US" sz="1100"/>
            <a:t>円</a:t>
          </a:r>
        </a:p>
      </xdr:txBody>
    </xdr:sp>
    <xdr:clientData/>
  </xdr:twoCellAnchor>
  <xdr:twoCellAnchor>
    <xdr:from>
      <xdr:col>2</xdr:col>
      <xdr:colOff>314325</xdr:colOff>
      <xdr:row>15</xdr:row>
      <xdr:rowOff>104775</xdr:rowOff>
    </xdr:from>
    <xdr:to>
      <xdr:col>3</xdr:col>
      <xdr:colOff>352425</xdr:colOff>
      <xdr:row>17</xdr:row>
      <xdr:rowOff>114300</xdr:rowOff>
    </xdr:to>
    <xdr:sp macro="" textlink="">
      <xdr:nvSpPr>
        <xdr:cNvPr id="17" name="テキスト ボックス 16"/>
        <xdr:cNvSpPr txBox="1"/>
      </xdr:nvSpPr>
      <xdr:spPr>
        <a:xfrm>
          <a:off x="1685925" y="2543175"/>
          <a:ext cx="723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endParaRPr kumimoji="1" lang="ja-JP" altLang="en-US" sz="1100"/>
        </a:p>
      </xdr:txBody>
    </xdr:sp>
    <xdr:clientData/>
  </xdr:twoCellAnchor>
  <xdr:twoCellAnchor>
    <xdr:from>
      <xdr:col>3</xdr:col>
      <xdr:colOff>457198</xdr:colOff>
      <xdr:row>12</xdr:row>
      <xdr:rowOff>28575</xdr:rowOff>
    </xdr:from>
    <xdr:to>
      <xdr:col>5</xdr:col>
      <xdr:colOff>533400</xdr:colOff>
      <xdr:row>14</xdr:row>
      <xdr:rowOff>38100</xdr:rowOff>
    </xdr:to>
    <xdr:sp macro="" textlink="">
      <xdr:nvSpPr>
        <xdr:cNvPr id="18" name="テキスト ボックス 17"/>
        <xdr:cNvSpPr txBox="1"/>
      </xdr:nvSpPr>
      <xdr:spPr>
        <a:xfrm>
          <a:off x="2514598" y="2038350"/>
          <a:ext cx="144780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e</a:t>
          </a:r>
          <a:r>
            <a:rPr kumimoji="1" lang="en-US" altLang="ja-JP" sz="1100" baseline="0"/>
            <a:t> ^ (10% * 0.25) </a:t>
          </a:r>
          <a:endParaRPr kumimoji="1" lang="ja-JP" altLang="en-US" sz="1100"/>
        </a:p>
      </xdr:txBody>
    </xdr:sp>
    <xdr:clientData/>
  </xdr:twoCellAnchor>
  <xdr:twoCellAnchor>
    <xdr:from>
      <xdr:col>3</xdr:col>
      <xdr:colOff>419098</xdr:colOff>
      <xdr:row>17</xdr:row>
      <xdr:rowOff>123825</xdr:rowOff>
    </xdr:from>
    <xdr:to>
      <xdr:col>5</xdr:col>
      <xdr:colOff>495300</xdr:colOff>
      <xdr:row>19</xdr:row>
      <xdr:rowOff>133350</xdr:rowOff>
    </xdr:to>
    <xdr:sp macro="" textlink="">
      <xdr:nvSpPr>
        <xdr:cNvPr id="19" name="テキスト ボックス 18"/>
        <xdr:cNvSpPr txBox="1"/>
      </xdr:nvSpPr>
      <xdr:spPr>
        <a:xfrm>
          <a:off x="2476498" y="2847975"/>
          <a:ext cx="144780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e</a:t>
          </a:r>
          <a:r>
            <a:rPr kumimoji="1" lang="en-US" altLang="ja-JP" sz="1100" baseline="0"/>
            <a:t> ^ (10% * 0.25) </a:t>
          </a:r>
          <a:endParaRPr kumimoji="1" lang="ja-JP" altLang="en-US" sz="1100"/>
        </a:p>
      </xdr:txBody>
    </xdr:sp>
    <xdr:clientData/>
  </xdr:twoCellAnchor>
  <xdr:twoCellAnchor>
    <xdr:from>
      <xdr:col>6</xdr:col>
      <xdr:colOff>552448</xdr:colOff>
      <xdr:row>12</xdr:row>
      <xdr:rowOff>9525</xdr:rowOff>
    </xdr:from>
    <xdr:to>
      <xdr:col>8</xdr:col>
      <xdr:colOff>628650</xdr:colOff>
      <xdr:row>14</xdr:row>
      <xdr:rowOff>19050</xdr:rowOff>
    </xdr:to>
    <xdr:sp macro="" textlink="">
      <xdr:nvSpPr>
        <xdr:cNvPr id="20" name="テキスト ボックス 19"/>
        <xdr:cNvSpPr txBox="1"/>
      </xdr:nvSpPr>
      <xdr:spPr>
        <a:xfrm>
          <a:off x="4667248" y="2019300"/>
          <a:ext cx="144780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aseline="0"/>
            <a:t>5</a:t>
          </a:r>
          <a:r>
            <a:rPr kumimoji="1" lang="ja-JP" altLang="en-US" sz="1100" baseline="0"/>
            <a:t>円</a:t>
          </a:r>
          <a:r>
            <a:rPr kumimoji="1" lang="en-US" altLang="ja-JP" sz="1100" baseline="0"/>
            <a:t> </a:t>
          </a:r>
          <a:endParaRPr kumimoji="1" lang="ja-JP" altLang="en-US" sz="1100"/>
        </a:p>
      </xdr:txBody>
    </xdr:sp>
    <xdr:clientData/>
  </xdr:twoCellAnchor>
  <xdr:twoCellAnchor>
    <xdr:from>
      <xdr:col>6</xdr:col>
      <xdr:colOff>571498</xdr:colOff>
      <xdr:row>17</xdr:row>
      <xdr:rowOff>66675</xdr:rowOff>
    </xdr:from>
    <xdr:to>
      <xdr:col>8</xdr:col>
      <xdr:colOff>647700</xdr:colOff>
      <xdr:row>19</xdr:row>
      <xdr:rowOff>76200</xdr:rowOff>
    </xdr:to>
    <xdr:sp macro="" textlink="">
      <xdr:nvSpPr>
        <xdr:cNvPr id="21" name="テキスト ボックス 20"/>
        <xdr:cNvSpPr txBox="1"/>
      </xdr:nvSpPr>
      <xdr:spPr>
        <a:xfrm>
          <a:off x="4686298" y="2790825"/>
          <a:ext cx="144780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aseline="0"/>
            <a:t>0</a:t>
          </a:r>
          <a:r>
            <a:rPr kumimoji="1" lang="ja-JP" altLang="en-US" sz="1100" baseline="0"/>
            <a:t>円</a:t>
          </a:r>
          <a:r>
            <a:rPr kumimoji="1" lang="en-US" altLang="ja-JP" sz="1100" baseline="0"/>
            <a:t> </a:t>
          </a:r>
          <a:endParaRPr kumimoji="1" lang="ja-JP" altLang="en-US" sz="1100"/>
        </a:p>
      </xdr:txBody>
    </xdr:sp>
    <xdr:clientData/>
  </xdr:twoCellAnchor>
  <xdr:twoCellAnchor>
    <xdr:from>
      <xdr:col>7</xdr:col>
      <xdr:colOff>381000</xdr:colOff>
      <xdr:row>9</xdr:row>
      <xdr:rowOff>47625</xdr:rowOff>
    </xdr:from>
    <xdr:to>
      <xdr:col>12</xdr:col>
      <xdr:colOff>276225</xdr:colOff>
      <xdr:row>14</xdr:row>
      <xdr:rowOff>28575</xdr:rowOff>
    </xdr:to>
    <xdr:sp macro="" textlink="">
      <xdr:nvSpPr>
        <xdr:cNvPr id="22" name="正方形/長方形 21"/>
        <xdr:cNvSpPr/>
      </xdr:nvSpPr>
      <xdr:spPr>
        <a:xfrm>
          <a:off x="5181600" y="1628775"/>
          <a:ext cx="3324225" cy="6953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オプションを１単位買ったときの値段を求める</a:t>
          </a:r>
          <a:endParaRPr kumimoji="1" lang="en-US" altLang="ja-JP" sz="1100"/>
        </a:p>
        <a:p>
          <a:pPr algn="l"/>
          <a:endParaRPr kumimoji="1" lang="en-US" altLang="ja-JP" sz="1100"/>
        </a:p>
        <a:p>
          <a:pPr algn="l"/>
          <a:r>
            <a:rPr kumimoji="1" lang="ja-JP" altLang="en-US" sz="1100"/>
            <a:t>⇒オプションは、</a:t>
          </a:r>
          <a:r>
            <a:rPr kumimoji="1" lang="en-US" altLang="ja-JP" sz="1100"/>
            <a:t>5</a:t>
          </a:r>
          <a:r>
            <a:rPr kumimoji="1" lang="ja-JP" altLang="en-US" sz="1100"/>
            <a:t>円得るか・</a:t>
          </a:r>
          <a:r>
            <a:rPr kumimoji="1" lang="en-US" altLang="ja-JP" sz="1100"/>
            <a:t>0</a:t>
          </a:r>
          <a:r>
            <a:rPr kumimoji="1" lang="ja-JP" altLang="en-US" sz="1100"/>
            <a:t>円で放棄かのどちらか</a:t>
          </a:r>
        </a:p>
      </xdr:txBody>
    </xdr:sp>
    <xdr:clientData/>
  </xdr:twoCellAnchor>
  <xdr:twoCellAnchor>
    <xdr:from>
      <xdr:col>0</xdr:col>
      <xdr:colOff>285750</xdr:colOff>
      <xdr:row>69</xdr:row>
      <xdr:rowOff>28575</xdr:rowOff>
    </xdr:from>
    <xdr:to>
      <xdr:col>1</xdr:col>
      <xdr:colOff>295275</xdr:colOff>
      <xdr:row>72</xdr:row>
      <xdr:rowOff>0</xdr:rowOff>
    </xdr:to>
    <xdr:cxnSp macro="">
      <xdr:nvCxnSpPr>
        <xdr:cNvPr id="23" name="直線矢印コネクタ 22"/>
        <xdr:cNvCxnSpPr/>
      </xdr:nvCxnSpPr>
      <xdr:spPr>
        <a:xfrm flipV="1">
          <a:off x="285750" y="2181225"/>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295275</xdr:colOff>
      <xdr:row>72</xdr:row>
      <xdr:rowOff>0</xdr:rowOff>
    </xdr:from>
    <xdr:to>
      <xdr:col>1</xdr:col>
      <xdr:colOff>304800</xdr:colOff>
      <xdr:row>74</xdr:row>
      <xdr:rowOff>114300</xdr:rowOff>
    </xdr:to>
    <xdr:cxnSp macro="">
      <xdr:nvCxnSpPr>
        <xdr:cNvPr id="24" name="直線矢印コネクタ 23"/>
        <xdr:cNvCxnSpPr/>
      </xdr:nvCxnSpPr>
      <xdr:spPr>
        <a:xfrm>
          <a:off x="295275" y="2581275"/>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438150</xdr:colOff>
      <xdr:row>69</xdr:row>
      <xdr:rowOff>19050</xdr:rowOff>
    </xdr:from>
    <xdr:to>
      <xdr:col>3</xdr:col>
      <xdr:colOff>447675</xdr:colOff>
      <xdr:row>71</xdr:row>
      <xdr:rowOff>133350</xdr:rowOff>
    </xdr:to>
    <xdr:cxnSp macro="">
      <xdr:nvCxnSpPr>
        <xdr:cNvPr id="25" name="直線矢印コネクタ 24"/>
        <xdr:cNvCxnSpPr/>
      </xdr:nvCxnSpPr>
      <xdr:spPr>
        <a:xfrm flipV="1">
          <a:off x="1809750" y="2171700"/>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447675</xdr:colOff>
      <xdr:row>71</xdr:row>
      <xdr:rowOff>133350</xdr:rowOff>
    </xdr:from>
    <xdr:to>
      <xdr:col>3</xdr:col>
      <xdr:colOff>457200</xdr:colOff>
      <xdr:row>74</xdr:row>
      <xdr:rowOff>104775</xdr:rowOff>
    </xdr:to>
    <xdr:cxnSp macro="">
      <xdr:nvCxnSpPr>
        <xdr:cNvPr id="26" name="直線矢印コネクタ 25"/>
        <xdr:cNvCxnSpPr/>
      </xdr:nvCxnSpPr>
      <xdr:spPr>
        <a:xfrm>
          <a:off x="1819275" y="2571750"/>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504825</xdr:colOff>
      <xdr:row>68</xdr:row>
      <xdr:rowOff>123825</xdr:rowOff>
    </xdr:from>
    <xdr:to>
      <xdr:col>6</xdr:col>
      <xdr:colOff>514350</xdr:colOff>
      <xdr:row>71</xdr:row>
      <xdr:rowOff>95250</xdr:rowOff>
    </xdr:to>
    <xdr:cxnSp macro="">
      <xdr:nvCxnSpPr>
        <xdr:cNvPr id="27" name="直線矢印コネクタ 26"/>
        <xdr:cNvCxnSpPr/>
      </xdr:nvCxnSpPr>
      <xdr:spPr>
        <a:xfrm flipV="1">
          <a:off x="3933825" y="2133600"/>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514350</xdr:colOff>
      <xdr:row>71</xdr:row>
      <xdr:rowOff>95250</xdr:rowOff>
    </xdr:from>
    <xdr:to>
      <xdr:col>6</xdr:col>
      <xdr:colOff>523875</xdr:colOff>
      <xdr:row>74</xdr:row>
      <xdr:rowOff>66675</xdr:rowOff>
    </xdr:to>
    <xdr:cxnSp macro="">
      <xdr:nvCxnSpPr>
        <xdr:cNvPr id="28" name="直線矢印コネクタ 27"/>
        <xdr:cNvCxnSpPr/>
      </xdr:nvCxnSpPr>
      <xdr:spPr>
        <a:xfrm>
          <a:off x="3943350" y="2533650"/>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304800</xdr:colOff>
      <xdr:row>68</xdr:row>
      <xdr:rowOff>0</xdr:rowOff>
    </xdr:from>
    <xdr:to>
      <xdr:col>2</xdr:col>
      <xdr:colOff>342900</xdr:colOff>
      <xdr:row>70</xdr:row>
      <xdr:rowOff>9525</xdr:rowOff>
    </xdr:to>
    <xdr:sp macro="" textlink="">
      <xdr:nvSpPr>
        <xdr:cNvPr id="29" name="テキスト ボックス 28"/>
        <xdr:cNvSpPr txBox="1"/>
      </xdr:nvSpPr>
      <xdr:spPr>
        <a:xfrm>
          <a:off x="990600" y="2009775"/>
          <a:ext cx="723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120</a:t>
          </a:r>
          <a:r>
            <a:rPr kumimoji="1" lang="ja-JP" altLang="en-US" sz="1100"/>
            <a:t>円</a:t>
          </a:r>
        </a:p>
      </xdr:txBody>
    </xdr:sp>
    <xdr:clientData/>
  </xdr:twoCellAnchor>
  <xdr:twoCellAnchor>
    <xdr:from>
      <xdr:col>1</xdr:col>
      <xdr:colOff>295275</xdr:colOff>
      <xdr:row>73</xdr:row>
      <xdr:rowOff>95250</xdr:rowOff>
    </xdr:from>
    <xdr:to>
      <xdr:col>2</xdr:col>
      <xdr:colOff>333375</xdr:colOff>
      <xdr:row>75</xdr:row>
      <xdr:rowOff>104775</xdr:rowOff>
    </xdr:to>
    <xdr:sp macro="" textlink="">
      <xdr:nvSpPr>
        <xdr:cNvPr id="30" name="テキスト ボックス 29"/>
        <xdr:cNvSpPr txBox="1"/>
      </xdr:nvSpPr>
      <xdr:spPr>
        <a:xfrm>
          <a:off x="981075" y="2819400"/>
          <a:ext cx="723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90</a:t>
          </a:r>
          <a:r>
            <a:rPr kumimoji="1" lang="ja-JP" altLang="en-US" sz="1100"/>
            <a:t>円</a:t>
          </a:r>
        </a:p>
      </xdr:txBody>
    </xdr:sp>
    <xdr:clientData/>
  </xdr:twoCellAnchor>
  <xdr:twoCellAnchor>
    <xdr:from>
      <xdr:col>0</xdr:col>
      <xdr:colOff>0</xdr:colOff>
      <xdr:row>72</xdr:row>
      <xdr:rowOff>28575</xdr:rowOff>
    </xdr:from>
    <xdr:to>
      <xdr:col>1</xdr:col>
      <xdr:colOff>38100</xdr:colOff>
      <xdr:row>74</xdr:row>
      <xdr:rowOff>38100</xdr:rowOff>
    </xdr:to>
    <xdr:sp macro="" textlink="">
      <xdr:nvSpPr>
        <xdr:cNvPr id="31" name="テキスト ボックス 30"/>
        <xdr:cNvSpPr txBox="1"/>
      </xdr:nvSpPr>
      <xdr:spPr>
        <a:xfrm>
          <a:off x="0" y="2609850"/>
          <a:ext cx="723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100</a:t>
          </a:r>
          <a:r>
            <a:rPr kumimoji="1" lang="ja-JP" altLang="en-US" sz="1100"/>
            <a:t>円</a:t>
          </a:r>
        </a:p>
      </xdr:txBody>
    </xdr:sp>
    <xdr:clientData/>
  </xdr:twoCellAnchor>
  <xdr:twoCellAnchor>
    <xdr:from>
      <xdr:col>2</xdr:col>
      <xdr:colOff>314325</xdr:colOff>
      <xdr:row>71</xdr:row>
      <xdr:rowOff>104775</xdr:rowOff>
    </xdr:from>
    <xdr:to>
      <xdr:col>3</xdr:col>
      <xdr:colOff>352425</xdr:colOff>
      <xdr:row>73</xdr:row>
      <xdr:rowOff>114300</xdr:rowOff>
    </xdr:to>
    <xdr:sp macro="" textlink="">
      <xdr:nvSpPr>
        <xdr:cNvPr id="32" name="テキスト ボックス 31"/>
        <xdr:cNvSpPr txBox="1"/>
      </xdr:nvSpPr>
      <xdr:spPr>
        <a:xfrm>
          <a:off x="1685925" y="2543175"/>
          <a:ext cx="723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endParaRPr kumimoji="1" lang="ja-JP" altLang="en-US" sz="1100"/>
        </a:p>
      </xdr:txBody>
    </xdr:sp>
    <xdr:clientData/>
  </xdr:twoCellAnchor>
  <xdr:twoCellAnchor>
    <xdr:from>
      <xdr:col>3</xdr:col>
      <xdr:colOff>457198</xdr:colOff>
      <xdr:row>68</xdr:row>
      <xdr:rowOff>28575</xdr:rowOff>
    </xdr:from>
    <xdr:to>
      <xdr:col>5</xdr:col>
      <xdr:colOff>533400</xdr:colOff>
      <xdr:row>70</xdr:row>
      <xdr:rowOff>38100</xdr:rowOff>
    </xdr:to>
    <xdr:sp macro="" textlink="">
      <xdr:nvSpPr>
        <xdr:cNvPr id="33" name="テキスト ボックス 32"/>
        <xdr:cNvSpPr txBox="1"/>
      </xdr:nvSpPr>
      <xdr:spPr>
        <a:xfrm>
          <a:off x="2514598" y="2038350"/>
          <a:ext cx="144780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1.01</a:t>
          </a:r>
          <a:endParaRPr kumimoji="1" lang="ja-JP" altLang="en-US" sz="1100"/>
        </a:p>
      </xdr:txBody>
    </xdr:sp>
    <xdr:clientData/>
  </xdr:twoCellAnchor>
  <xdr:twoCellAnchor>
    <xdr:from>
      <xdr:col>3</xdr:col>
      <xdr:colOff>419098</xdr:colOff>
      <xdr:row>73</xdr:row>
      <xdr:rowOff>123825</xdr:rowOff>
    </xdr:from>
    <xdr:to>
      <xdr:col>5</xdr:col>
      <xdr:colOff>495300</xdr:colOff>
      <xdr:row>75</xdr:row>
      <xdr:rowOff>133350</xdr:rowOff>
    </xdr:to>
    <xdr:sp macro="" textlink="">
      <xdr:nvSpPr>
        <xdr:cNvPr id="34" name="テキスト ボックス 33"/>
        <xdr:cNvSpPr txBox="1"/>
      </xdr:nvSpPr>
      <xdr:spPr>
        <a:xfrm>
          <a:off x="2476498" y="2847975"/>
          <a:ext cx="144780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1.01</a:t>
          </a:r>
          <a:endParaRPr kumimoji="1" lang="ja-JP" altLang="en-US" sz="1100"/>
        </a:p>
      </xdr:txBody>
    </xdr:sp>
    <xdr:clientData/>
  </xdr:twoCellAnchor>
  <xdr:twoCellAnchor>
    <xdr:from>
      <xdr:col>6</xdr:col>
      <xdr:colOff>552448</xdr:colOff>
      <xdr:row>68</xdr:row>
      <xdr:rowOff>9525</xdr:rowOff>
    </xdr:from>
    <xdr:to>
      <xdr:col>8</xdr:col>
      <xdr:colOff>628650</xdr:colOff>
      <xdr:row>70</xdr:row>
      <xdr:rowOff>19050</xdr:rowOff>
    </xdr:to>
    <xdr:sp macro="" textlink="">
      <xdr:nvSpPr>
        <xdr:cNvPr id="35" name="テキスト ボックス 34"/>
        <xdr:cNvSpPr txBox="1"/>
      </xdr:nvSpPr>
      <xdr:spPr>
        <a:xfrm>
          <a:off x="4667248" y="2019300"/>
          <a:ext cx="144780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aseline="0"/>
            <a:t>0</a:t>
          </a:r>
          <a:r>
            <a:rPr kumimoji="1" lang="ja-JP" altLang="en-US" sz="1100" baseline="0"/>
            <a:t>円</a:t>
          </a:r>
          <a:r>
            <a:rPr kumimoji="1" lang="en-US" altLang="ja-JP" sz="1100" baseline="0"/>
            <a:t> </a:t>
          </a:r>
          <a:endParaRPr kumimoji="1" lang="ja-JP" altLang="en-US" sz="1100"/>
        </a:p>
      </xdr:txBody>
    </xdr:sp>
    <xdr:clientData/>
  </xdr:twoCellAnchor>
  <xdr:twoCellAnchor>
    <xdr:from>
      <xdr:col>6</xdr:col>
      <xdr:colOff>571498</xdr:colOff>
      <xdr:row>73</xdr:row>
      <xdr:rowOff>66675</xdr:rowOff>
    </xdr:from>
    <xdr:to>
      <xdr:col>8</xdr:col>
      <xdr:colOff>647700</xdr:colOff>
      <xdr:row>75</xdr:row>
      <xdr:rowOff>76200</xdr:rowOff>
    </xdr:to>
    <xdr:sp macro="" textlink="">
      <xdr:nvSpPr>
        <xdr:cNvPr id="36" name="テキスト ボックス 35"/>
        <xdr:cNvSpPr txBox="1"/>
      </xdr:nvSpPr>
      <xdr:spPr>
        <a:xfrm>
          <a:off x="4686298" y="2790825"/>
          <a:ext cx="144780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aseline="0"/>
            <a:t>8</a:t>
          </a:r>
          <a:r>
            <a:rPr kumimoji="1" lang="ja-JP" altLang="en-US" sz="1100" baseline="0"/>
            <a:t>円</a:t>
          </a:r>
          <a:r>
            <a:rPr kumimoji="1" lang="en-US" altLang="ja-JP" sz="1100" baseline="0"/>
            <a:t>   ( 98 - 90 = 8 )</a:t>
          </a:r>
          <a:endParaRPr kumimoji="1" lang="ja-JP" altLang="en-US" sz="1100"/>
        </a:p>
      </xdr:txBody>
    </xdr:sp>
    <xdr:clientData/>
  </xdr:twoCellAnchor>
  <xdr:twoCellAnchor>
    <xdr:from>
      <xdr:col>7</xdr:col>
      <xdr:colOff>609600</xdr:colOff>
      <xdr:row>64</xdr:row>
      <xdr:rowOff>9525</xdr:rowOff>
    </xdr:from>
    <xdr:to>
      <xdr:col>12</xdr:col>
      <xdr:colOff>504825</xdr:colOff>
      <xdr:row>68</xdr:row>
      <xdr:rowOff>133350</xdr:rowOff>
    </xdr:to>
    <xdr:sp macro="" textlink="">
      <xdr:nvSpPr>
        <xdr:cNvPr id="37" name="正方形/長方形 36"/>
        <xdr:cNvSpPr/>
      </xdr:nvSpPr>
      <xdr:spPr>
        <a:xfrm>
          <a:off x="5410200" y="9496425"/>
          <a:ext cx="3324225" cy="6953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オプションを１単位買ったときの値段を求める</a:t>
          </a:r>
          <a:endParaRPr kumimoji="1" lang="en-US" altLang="ja-JP" sz="1100"/>
        </a:p>
        <a:p>
          <a:pPr algn="l"/>
          <a:endParaRPr kumimoji="1" lang="en-US" altLang="ja-JP" sz="1100"/>
        </a:p>
        <a:p>
          <a:pPr algn="l"/>
          <a:r>
            <a:rPr kumimoji="1" lang="ja-JP" altLang="en-US" sz="1100"/>
            <a:t>⇒オプションは、</a:t>
          </a:r>
          <a:r>
            <a:rPr kumimoji="1" lang="en-US" altLang="ja-JP" sz="1100"/>
            <a:t>8</a:t>
          </a:r>
          <a:r>
            <a:rPr kumimoji="1" lang="ja-JP" altLang="en-US" sz="1100"/>
            <a:t>円得るか・</a:t>
          </a:r>
          <a:r>
            <a:rPr kumimoji="1" lang="en-US" altLang="ja-JP" sz="1100"/>
            <a:t>0</a:t>
          </a:r>
          <a:r>
            <a:rPr kumimoji="1" lang="ja-JP" altLang="en-US" sz="1100"/>
            <a:t>円で放棄かのどちらか</a:t>
          </a:r>
        </a:p>
      </xdr:txBody>
    </xdr:sp>
    <xdr:clientData/>
  </xdr:twoCellAnchor>
  <xdr:oneCellAnchor>
    <xdr:from>
      <xdr:col>9</xdr:col>
      <xdr:colOff>19050</xdr:colOff>
      <xdr:row>78</xdr:row>
      <xdr:rowOff>38100</xdr:rowOff>
    </xdr:from>
    <xdr:ext cx="184731" cy="264560"/>
    <xdr:sp macro="" textlink="">
      <xdr:nvSpPr>
        <xdr:cNvPr id="38" name="テキスト ボックス 37"/>
        <xdr:cNvSpPr txBox="1"/>
      </xdr:nvSpPr>
      <xdr:spPr>
        <a:xfrm>
          <a:off x="6191250" y="347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twoCellAnchor>
    <xdr:from>
      <xdr:col>0</xdr:col>
      <xdr:colOff>285750</xdr:colOff>
      <xdr:row>127</xdr:row>
      <xdr:rowOff>28575</xdr:rowOff>
    </xdr:from>
    <xdr:to>
      <xdr:col>1</xdr:col>
      <xdr:colOff>295275</xdr:colOff>
      <xdr:row>130</xdr:row>
      <xdr:rowOff>0</xdr:rowOff>
    </xdr:to>
    <xdr:cxnSp macro="">
      <xdr:nvCxnSpPr>
        <xdr:cNvPr id="39" name="直線矢印コネクタ 38"/>
        <xdr:cNvCxnSpPr/>
      </xdr:nvCxnSpPr>
      <xdr:spPr>
        <a:xfrm flipV="1">
          <a:off x="285750" y="10229850"/>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295275</xdr:colOff>
      <xdr:row>130</xdr:row>
      <xdr:rowOff>0</xdr:rowOff>
    </xdr:from>
    <xdr:to>
      <xdr:col>1</xdr:col>
      <xdr:colOff>304800</xdr:colOff>
      <xdr:row>132</xdr:row>
      <xdr:rowOff>114300</xdr:rowOff>
    </xdr:to>
    <xdr:cxnSp macro="">
      <xdr:nvCxnSpPr>
        <xdr:cNvPr id="40" name="直線矢印コネクタ 39"/>
        <xdr:cNvCxnSpPr/>
      </xdr:nvCxnSpPr>
      <xdr:spPr>
        <a:xfrm>
          <a:off x="295275" y="10629900"/>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438150</xdr:colOff>
      <xdr:row>127</xdr:row>
      <xdr:rowOff>19050</xdr:rowOff>
    </xdr:from>
    <xdr:to>
      <xdr:col>3</xdr:col>
      <xdr:colOff>447675</xdr:colOff>
      <xdr:row>129</xdr:row>
      <xdr:rowOff>133350</xdr:rowOff>
    </xdr:to>
    <xdr:cxnSp macro="">
      <xdr:nvCxnSpPr>
        <xdr:cNvPr id="41" name="直線矢印コネクタ 40"/>
        <xdr:cNvCxnSpPr/>
      </xdr:nvCxnSpPr>
      <xdr:spPr>
        <a:xfrm flipV="1">
          <a:off x="1809750" y="10220325"/>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447675</xdr:colOff>
      <xdr:row>129</xdr:row>
      <xdr:rowOff>133350</xdr:rowOff>
    </xdr:from>
    <xdr:to>
      <xdr:col>3</xdr:col>
      <xdr:colOff>457200</xdr:colOff>
      <xdr:row>132</xdr:row>
      <xdr:rowOff>104775</xdr:rowOff>
    </xdr:to>
    <xdr:cxnSp macro="">
      <xdr:nvCxnSpPr>
        <xdr:cNvPr id="42" name="直線矢印コネクタ 41"/>
        <xdr:cNvCxnSpPr/>
      </xdr:nvCxnSpPr>
      <xdr:spPr>
        <a:xfrm>
          <a:off x="1819275" y="10620375"/>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504825</xdr:colOff>
      <xdr:row>126</xdr:row>
      <xdr:rowOff>123825</xdr:rowOff>
    </xdr:from>
    <xdr:to>
      <xdr:col>6</xdr:col>
      <xdr:colOff>514350</xdr:colOff>
      <xdr:row>129</xdr:row>
      <xdr:rowOff>95250</xdr:rowOff>
    </xdr:to>
    <xdr:cxnSp macro="">
      <xdr:nvCxnSpPr>
        <xdr:cNvPr id="43" name="直線矢印コネクタ 42"/>
        <xdr:cNvCxnSpPr/>
      </xdr:nvCxnSpPr>
      <xdr:spPr>
        <a:xfrm flipV="1">
          <a:off x="3933825" y="10182225"/>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514350</xdr:colOff>
      <xdr:row>129</xdr:row>
      <xdr:rowOff>95250</xdr:rowOff>
    </xdr:from>
    <xdr:to>
      <xdr:col>6</xdr:col>
      <xdr:colOff>523875</xdr:colOff>
      <xdr:row>132</xdr:row>
      <xdr:rowOff>66675</xdr:rowOff>
    </xdr:to>
    <xdr:cxnSp macro="">
      <xdr:nvCxnSpPr>
        <xdr:cNvPr id="44" name="直線矢印コネクタ 43"/>
        <xdr:cNvCxnSpPr/>
      </xdr:nvCxnSpPr>
      <xdr:spPr>
        <a:xfrm>
          <a:off x="3943350" y="10582275"/>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304800</xdr:colOff>
      <xdr:row>126</xdr:row>
      <xdr:rowOff>0</xdr:rowOff>
    </xdr:from>
    <xdr:to>
      <xdr:col>2</xdr:col>
      <xdr:colOff>342900</xdr:colOff>
      <xdr:row>128</xdr:row>
      <xdr:rowOff>9525</xdr:rowOff>
    </xdr:to>
    <xdr:sp macro="" textlink="">
      <xdr:nvSpPr>
        <xdr:cNvPr id="45" name="テキスト ボックス 44"/>
        <xdr:cNvSpPr txBox="1"/>
      </xdr:nvSpPr>
      <xdr:spPr>
        <a:xfrm>
          <a:off x="990600" y="10058400"/>
          <a:ext cx="723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u×S</a:t>
          </a:r>
          <a:endParaRPr kumimoji="1" lang="ja-JP" altLang="en-US" sz="1100"/>
        </a:p>
      </xdr:txBody>
    </xdr:sp>
    <xdr:clientData/>
  </xdr:twoCellAnchor>
  <xdr:twoCellAnchor>
    <xdr:from>
      <xdr:col>1</xdr:col>
      <xdr:colOff>295275</xdr:colOff>
      <xdr:row>131</xdr:row>
      <xdr:rowOff>95250</xdr:rowOff>
    </xdr:from>
    <xdr:to>
      <xdr:col>2</xdr:col>
      <xdr:colOff>333375</xdr:colOff>
      <xdr:row>133</xdr:row>
      <xdr:rowOff>104775</xdr:rowOff>
    </xdr:to>
    <xdr:sp macro="" textlink="">
      <xdr:nvSpPr>
        <xdr:cNvPr id="46" name="テキスト ボックス 45"/>
        <xdr:cNvSpPr txBox="1"/>
      </xdr:nvSpPr>
      <xdr:spPr>
        <a:xfrm>
          <a:off x="981075" y="10868025"/>
          <a:ext cx="723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d×S</a:t>
          </a:r>
          <a:endParaRPr kumimoji="1" lang="ja-JP" altLang="en-US" sz="1100"/>
        </a:p>
      </xdr:txBody>
    </xdr:sp>
    <xdr:clientData/>
  </xdr:twoCellAnchor>
  <xdr:twoCellAnchor>
    <xdr:from>
      <xdr:col>0</xdr:col>
      <xdr:colOff>0</xdr:colOff>
      <xdr:row>130</xdr:row>
      <xdr:rowOff>28575</xdr:rowOff>
    </xdr:from>
    <xdr:to>
      <xdr:col>1</xdr:col>
      <xdr:colOff>38100</xdr:colOff>
      <xdr:row>132</xdr:row>
      <xdr:rowOff>38100</xdr:rowOff>
    </xdr:to>
    <xdr:sp macro="" textlink="">
      <xdr:nvSpPr>
        <xdr:cNvPr id="47" name="テキスト ボックス 46"/>
        <xdr:cNvSpPr txBox="1"/>
      </xdr:nvSpPr>
      <xdr:spPr>
        <a:xfrm>
          <a:off x="0" y="10658475"/>
          <a:ext cx="723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S</a:t>
          </a:r>
          <a:endParaRPr kumimoji="1" lang="ja-JP" altLang="en-US" sz="1100"/>
        </a:p>
      </xdr:txBody>
    </xdr:sp>
    <xdr:clientData/>
  </xdr:twoCellAnchor>
  <xdr:twoCellAnchor>
    <xdr:from>
      <xdr:col>2</xdr:col>
      <xdr:colOff>314325</xdr:colOff>
      <xdr:row>129</xdr:row>
      <xdr:rowOff>104775</xdr:rowOff>
    </xdr:from>
    <xdr:to>
      <xdr:col>3</xdr:col>
      <xdr:colOff>352425</xdr:colOff>
      <xdr:row>131</xdr:row>
      <xdr:rowOff>114300</xdr:rowOff>
    </xdr:to>
    <xdr:sp macro="" textlink="">
      <xdr:nvSpPr>
        <xdr:cNvPr id="48" name="テキスト ボックス 47"/>
        <xdr:cNvSpPr txBox="1"/>
      </xdr:nvSpPr>
      <xdr:spPr>
        <a:xfrm>
          <a:off x="1685925" y="10591800"/>
          <a:ext cx="723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endParaRPr kumimoji="1" lang="ja-JP" altLang="en-US" sz="1100"/>
        </a:p>
      </xdr:txBody>
    </xdr:sp>
    <xdr:clientData/>
  </xdr:twoCellAnchor>
  <xdr:twoCellAnchor>
    <xdr:from>
      <xdr:col>3</xdr:col>
      <xdr:colOff>457198</xdr:colOff>
      <xdr:row>126</xdr:row>
      <xdr:rowOff>28575</xdr:rowOff>
    </xdr:from>
    <xdr:to>
      <xdr:col>5</xdr:col>
      <xdr:colOff>533400</xdr:colOff>
      <xdr:row>128</xdr:row>
      <xdr:rowOff>38100</xdr:rowOff>
    </xdr:to>
    <xdr:sp macro="" textlink="">
      <xdr:nvSpPr>
        <xdr:cNvPr id="49" name="テキスト ボックス 48"/>
        <xdr:cNvSpPr txBox="1"/>
      </xdr:nvSpPr>
      <xdr:spPr>
        <a:xfrm>
          <a:off x="2514598" y="10086975"/>
          <a:ext cx="144780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R ( = 1 +</a:t>
          </a:r>
          <a:r>
            <a:rPr kumimoji="1" lang="en-US" altLang="ja-JP" sz="1100" baseline="0"/>
            <a:t> r )</a:t>
          </a:r>
          <a:endParaRPr kumimoji="1" lang="ja-JP" altLang="en-US" sz="1100"/>
        </a:p>
      </xdr:txBody>
    </xdr:sp>
    <xdr:clientData/>
  </xdr:twoCellAnchor>
  <xdr:twoCellAnchor>
    <xdr:from>
      <xdr:col>3</xdr:col>
      <xdr:colOff>419098</xdr:colOff>
      <xdr:row>131</xdr:row>
      <xdr:rowOff>123825</xdr:rowOff>
    </xdr:from>
    <xdr:to>
      <xdr:col>5</xdr:col>
      <xdr:colOff>495300</xdr:colOff>
      <xdr:row>133</xdr:row>
      <xdr:rowOff>133350</xdr:rowOff>
    </xdr:to>
    <xdr:sp macro="" textlink="">
      <xdr:nvSpPr>
        <xdr:cNvPr id="50" name="テキスト ボックス 49"/>
        <xdr:cNvSpPr txBox="1"/>
      </xdr:nvSpPr>
      <xdr:spPr>
        <a:xfrm>
          <a:off x="2476498" y="10896600"/>
          <a:ext cx="144780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chemeClr val="dk1"/>
              </a:solidFill>
              <a:effectLst/>
              <a:latin typeface="+mn-lt"/>
              <a:ea typeface="+mn-ea"/>
              <a:cs typeface="+mn-cs"/>
            </a:rPr>
            <a:t>R ( = 1 +</a:t>
          </a:r>
          <a:r>
            <a:rPr kumimoji="1" lang="en-US" altLang="ja-JP" sz="1100" baseline="0">
              <a:solidFill>
                <a:schemeClr val="dk1"/>
              </a:solidFill>
              <a:effectLst/>
              <a:latin typeface="+mn-lt"/>
              <a:ea typeface="+mn-ea"/>
              <a:cs typeface="+mn-cs"/>
            </a:rPr>
            <a:t> r )</a:t>
          </a:r>
          <a:endParaRPr kumimoji="1" lang="ja-JP" altLang="en-US" sz="1100"/>
        </a:p>
      </xdr:txBody>
    </xdr:sp>
    <xdr:clientData/>
  </xdr:twoCellAnchor>
  <xdr:twoCellAnchor>
    <xdr:from>
      <xdr:col>6</xdr:col>
      <xdr:colOff>552448</xdr:colOff>
      <xdr:row>126</xdr:row>
      <xdr:rowOff>9525</xdr:rowOff>
    </xdr:from>
    <xdr:to>
      <xdr:col>8</xdr:col>
      <xdr:colOff>628650</xdr:colOff>
      <xdr:row>128</xdr:row>
      <xdr:rowOff>19050</xdr:rowOff>
    </xdr:to>
    <xdr:sp macro="" textlink="">
      <xdr:nvSpPr>
        <xdr:cNvPr id="51" name="テキスト ボックス 50"/>
        <xdr:cNvSpPr txBox="1"/>
      </xdr:nvSpPr>
      <xdr:spPr>
        <a:xfrm>
          <a:off x="4667248" y="10067925"/>
          <a:ext cx="144780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aseline="0"/>
            <a:t>Cu </a:t>
          </a:r>
          <a:endParaRPr kumimoji="1" lang="ja-JP" altLang="en-US" sz="1100"/>
        </a:p>
      </xdr:txBody>
    </xdr:sp>
    <xdr:clientData/>
  </xdr:twoCellAnchor>
  <xdr:twoCellAnchor>
    <xdr:from>
      <xdr:col>6</xdr:col>
      <xdr:colOff>571498</xdr:colOff>
      <xdr:row>131</xdr:row>
      <xdr:rowOff>66675</xdr:rowOff>
    </xdr:from>
    <xdr:to>
      <xdr:col>8</xdr:col>
      <xdr:colOff>647700</xdr:colOff>
      <xdr:row>133</xdr:row>
      <xdr:rowOff>76200</xdr:rowOff>
    </xdr:to>
    <xdr:sp macro="" textlink="">
      <xdr:nvSpPr>
        <xdr:cNvPr id="52" name="テキスト ボックス 51"/>
        <xdr:cNvSpPr txBox="1"/>
      </xdr:nvSpPr>
      <xdr:spPr>
        <a:xfrm>
          <a:off x="4686298" y="10839450"/>
          <a:ext cx="144780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Cd</a:t>
          </a:r>
          <a:endParaRPr kumimoji="1" lang="ja-JP" altLang="en-US" sz="1100"/>
        </a:p>
      </xdr:txBody>
    </xdr:sp>
    <xdr:clientData/>
  </xdr:twoCellAnchor>
  <xdr:oneCellAnchor>
    <xdr:from>
      <xdr:col>9</xdr:col>
      <xdr:colOff>19050</xdr:colOff>
      <xdr:row>135</xdr:row>
      <xdr:rowOff>38100</xdr:rowOff>
    </xdr:from>
    <xdr:ext cx="184731" cy="264560"/>
    <xdr:sp macro="" textlink="">
      <xdr:nvSpPr>
        <xdr:cNvPr id="54" name="テキスト ボックス 53"/>
        <xdr:cNvSpPr txBox="1"/>
      </xdr:nvSpPr>
      <xdr:spPr>
        <a:xfrm>
          <a:off x="6191250" y="11525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1</xdr:col>
      <xdr:colOff>542925</xdr:colOff>
      <xdr:row>9</xdr:row>
      <xdr:rowOff>114300</xdr:rowOff>
    </xdr:from>
    <xdr:to>
      <xdr:col>1</xdr:col>
      <xdr:colOff>542926</xdr:colOff>
      <xdr:row>13</xdr:row>
      <xdr:rowOff>114300</xdr:rowOff>
    </xdr:to>
    <xdr:cxnSp macro="">
      <xdr:nvCxnSpPr>
        <xdr:cNvPr id="3" name="直線矢印コネクタ 2"/>
        <xdr:cNvCxnSpPr/>
      </xdr:nvCxnSpPr>
      <xdr:spPr>
        <a:xfrm>
          <a:off x="1228725" y="2085975"/>
          <a:ext cx="1" cy="5715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38100</xdr:colOff>
      <xdr:row>3</xdr:row>
      <xdr:rowOff>123825</xdr:rowOff>
    </xdr:from>
    <xdr:to>
      <xdr:col>4</xdr:col>
      <xdr:colOff>38100</xdr:colOff>
      <xdr:row>9</xdr:row>
      <xdr:rowOff>114300</xdr:rowOff>
    </xdr:to>
    <xdr:cxnSp macro="">
      <xdr:nvCxnSpPr>
        <xdr:cNvPr id="4" name="直線矢印コネクタ 3"/>
        <xdr:cNvCxnSpPr/>
      </xdr:nvCxnSpPr>
      <xdr:spPr>
        <a:xfrm flipV="1">
          <a:off x="2781300" y="1238250"/>
          <a:ext cx="0" cy="8477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533402</xdr:colOff>
      <xdr:row>9</xdr:row>
      <xdr:rowOff>114300</xdr:rowOff>
    </xdr:from>
    <xdr:to>
      <xdr:col>4</xdr:col>
      <xdr:colOff>28575</xdr:colOff>
      <xdr:row>9</xdr:row>
      <xdr:rowOff>114300</xdr:rowOff>
    </xdr:to>
    <xdr:cxnSp macro="">
      <xdr:nvCxnSpPr>
        <xdr:cNvPr id="7" name="直線矢印コネクタ 6"/>
        <xdr:cNvCxnSpPr/>
      </xdr:nvCxnSpPr>
      <xdr:spPr>
        <a:xfrm flipH="1">
          <a:off x="1219202" y="2085975"/>
          <a:ext cx="1552573" cy="0"/>
        </a:xfrm>
        <a:prstGeom prst="straightConnector1">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1</xdr:col>
      <xdr:colOff>219075</xdr:colOff>
      <xdr:row>13</xdr:row>
      <xdr:rowOff>114300</xdr:rowOff>
    </xdr:from>
    <xdr:ext cx="611706" cy="275717"/>
    <xdr:sp macro="" textlink="">
      <xdr:nvSpPr>
        <xdr:cNvPr id="11" name="テキスト ボックス 10"/>
        <xdr:cNvSpPr txBox="1"/>
      </xdr:nvSpPr>
      <xdr:spPr>
        <a:xfrm>
          <a:off x="904875" y="2657475"/>
          <a:ext cx="611706"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1000</a:t>
          </a:r>
          <a:r>
            <a:rPr kumimoji="1" lang="ja-JP" altLang="en-US" sz="1100"/>
            <a:t>円</a:t>
          </a:r>
        </a:p>
      </xdr:txBody>
    </xdr:sp>
    <xdr:clientData/>
  </xdr:oneCellAnchor>
  <xdr:oneCellAnchor>
    <xdr:from>
      <xdr:col>4</xdr:col>
      <xdr:colOff>66675</xdr:colOff>
      <xdr:row>3</xdr:row>
      <xdr:rowOff>9525</xdr:rowOff>
    </xdr:from>
    <xdr:ext cx="611706" cy="275717"/>
    <xdr:sp macro="" textlink="">
      <xdr:nvSpPr>
        <xdr:cNvPr id="12" name="テキスト ボックス 11"/>
        <xdr:cNvSpPr txBox="1"/>
      </xdr:nvSpPr>
      <xdr:spPr>
        <a:xfrm>
          <a:off x="2809875" y="1123950"/>
          <a:ext cx="611706"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1100</a:t>
          </a:r>
          <a:r>
            <a:rPr kumimoji="1" lang="ja-JP" altLang="en-US" sz="1100"/>
            <a:t>円</a:t>
          </a:r>
        </a:p>
      </xdr:txBody>
    </xdr:sp>
    <xdr:clientData/>
  </xdr:oneCellAnchor>
  <xdr:twoCellAnchor>
    <xdr:from>
      <xdr:col>4</xdr:col>
      <xdr:colOff>152400</xdr:colOff>
      <xdr:row>62</xdr:row>
      <xdr:rowOff>123825</xdr:rowOff>
    </xdr:from>
    <xdr:to>
      <xdr:col>6</xdr:col>
      <xdr:colOff>666750</xdr:colOff>
      <xdr:row>66</xdr:row>
      <xdr:rowOff>104775</xdr:rowOff>
    </xdr:to>
    <xdr:sp macro="" textlink="">
      <xdr:nvSpPr>
        <xdr:cNvPr id="13" name="角丸四角形 12"/>
        <xdr:cNvSpPr/>
      </xdr:nvSpPr>
      <xdr:spPr>
        <a:xfrm>
          <a:off x="2895600" y="10829925"/>
          <a:ext cx="1885950" cy="5524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原資産価格推移</a:t>
          </a:r>
        </a:p>
      </xdr:txBody>
    </xdr:sp>
    <xdr:clientData/>
  </xdr:twoCellAnchor>
  <xdr:twoCellAnchor>
    <xdr:from>
      <xdr:col>0</xdr:col>
      <xdr:colOff>495300</xdr:colOff>
      <xdr:row>69</xdr:row>
      <xdr:rowOff>104775</xdr:rowOff>
    </xdr:from>
    <xdr:to>
      <xdr:col>3</xdr:col>
      <xdr:colOff>323850</xdr:colOff>
      <xdr:row>73</xdr:row>
      <xdr:rowOff>85725</xdr:rowOff>
    </xdr:to>
    <xdr:sp macro="" textlink="">
      <xdr:nvSpPr>
        <xdr:cNvPr id="14" name="角丸四角形 13"/>
        <xdr:cNvSpPr/>
      </xdr:nvSpPr>
      <xdr:spPr>
        <a:xfrm>
          <a:off x="495300" y="11811000"/>
          <a:ext cx="1885950" cy="5524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①確率分布（密度関数）</a:t>
          </a:r>
        </a:p>
      </xdr:txBody>
    </xdr:sp>
    <xdr:clientData/>
  </xdr:twoCellAnchor>
  <xdr:twoCellAnchor>
    <xdr:from>
      <xdr:col>4</xdr:col>
      <xdr:colOff>161925</xdr:colOff>
      <xdr:row>69</xdr:row>
      <xdr:rowOff>85725</xdr:rowOff>
    </xdr:from>
    <xdr:to>
      <xdr:col>6</xdr:col>
      <xdr:colOff>676275</xdr:colOff>
      <xdr:row>73</xdr:row>
      <xdr:rowOff>66675</xdr:rowOff>
    </xdr:to>
    <xdr:sp macro="" textlink="">
      <xdr:nvSpPr>
        <xdr:cNvPr id="15" name="角丸四角形 14"/>
        <xdr:cNvSpPr/>
      </xdr:nvSpPr>
      <xdr:spPr>
        <a:xfrm>
          <a:off x="2905125" y="11791950"/>
          <a:ext cx="1885950" cy="5524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②確率微分方程式</a:t>
          </a:r>
        </a:p>
      </xdr:txBody>
    </xdr:sp>
    <xdr:clientData/>
  </xdr:twoCellAnchor>
  <xdr:twoCellAnchor>
    <xdr:from>
      <xdr:col>7</xdr:col>
      <xdr:colOff>447675</xdr:colOff>
      <xdr:row>69</xdr:row>
      <xdr:rowOff>95250</xdr:rowOff>
    </xdr:from>
    <xdr:to>
      <xdr:col>10</xdr:col>
      <xdr:colOff>276225</xdr:colOff>
      <xdr:row>73</xdr:row>
      <xdr:rowOff>76200</xdr:rowOff>
    </xdr:to>
    <xdr:sp macro="" textlink="">
      <xdr:nvSpPr>
        <xdr:cNvPr id="16" name="角丸四角形 15"/>
        <xdr:cNvSpPr/>
      </xdr:nvSpPr>
      <xdr:spPr>
        <a:xfrm>
          <a:off x="5248275" y="11801475"/>
          <a:ext cx="1885950" cy="5524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③二項モデル</a:t>
          </a:r>
          <a:endParaRPr kumimoji="1" lang="en-US" altLang="ja-JP" sz="1100"/>
        </a:p>
      </xdr:txBody>
    </xdr:sp>
    <xdr:clientData/>
  </xdr:twoCellAnchor>
  <xdr:twoCellAnchor>
    <xdr:from>
      <xdr:col>2</xdr:col>
      <xdr:colOff>66676</xdr:colOff>
      <xdr:row>66</xdr:row>
      <xdr:rowOff>104775</xdr:rowOff>
    </xdr:from>
    <xdr:to>
      <xdr:col>5</xdr:col>
      <xdr:colOff>409576</xdr:colOff>
      <xdr:row>69</xdr:row>
      <xdr:rowOff>104775</xdr:rowOff>
    </xdr:to>
    <xdr:cxnSp macro="">
      <xdr:nvCxnSpPr>
        <xdr:cNvPr id="18" name="直線コネクタ 17"/>
        <xdr:cNvCxnSpPr>
          <a:stCxn id="14" idx="0"/>
          <a:endCxn id="13" idx="2"/>
        </xdr:cNvCxnSpPr>
      </xdr:nvCxnSpPr>
      <xdr:spPr>
        <a:xfrm rot="5400000" flipH="1" flipV="1">
          <a:off x="2424113" y="10396538"/>
          <a:ext cx="428625" cy="2400300"/>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409575</xdr:colOff>
      <xdr:row>66</xdr:row>
      <xdr:rowOff>104775</xdr:rowOff>
    </xdr:from>
    <xdr:to>
      <xdr:col>9</xdr:col>
      <xdr:colOff>19050</xdr:colOff>
      <xdr:row>69</xdr:row>
      <xdr:rowOff>95250</xdr:rowOff>
    </xdr:to>
    <xdr:cxnSp macro="">
      <xdr:nvCxnSpPr>
        <xdr:cNvPr id="19" name="直線コネクタ 17"/>
        <xdr:cNvCxnSpPr>
          <a:stCxn id="16" idx="0"/>
          <a:endCxn id="13" idx="2"/>
        </xdr:cNvCxnSpPr>
      </xdr:nvCxnSpPr>
      <xdr:spPr>
        <a:xfrm rot="16200000" flipV="1">
          <a:off x="4805363" y="10415587"/>
          <a:ext cx="419100" cy="2352675"/>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409576</xdr:colOff>
      <xdr:row>66</xdr:row>
      <xdr:rowOff>104775</xdr:rowOff>
    </xdr:from>
    <xdr:to>
      <xdr:col>5</xdr:col>
      <xdr:colOff>419101</xdr:colOff>
      <xdr:row>69</xdr:row>
      <xdr:rowOff>85725</xdr:rowOff>
    </xdr:to>
    <xdr:cxnSp macro="">
      <xdr:nvCxnSpPr>
        <xdr:cNvPr id="22" name="直線コネクタ 17"/>
        <xdr:cNvCxnSpPr>
          <a:stCxn id="15" idx="0"/>
          <a:endCxn id="13" idx="2"/>
        </xdr:cNvCxnSpPr>
      </xdr:nvCxnSpPr>
      <xdr:spPr>
        <a:xfrm rot="16200000" flipV="1">
          <a:off x="3638551" y="11582400"/>
          <a:ext cx="409575" cy="9525"/>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438150</xdr:colOff>
      <xdr:row>89</xdr:row>
      <xdr:rowOff>57150</xdr:rowOff>
    </xdr:from>
    <xdr:to>
      <xdr:col>2</xdr:col>
      <xdr:colOff>504825</xdr:colOff>
      <xdr:row>91</xdr:row>
      <xdr:rowOff>57150</xdr:rowOff>
    </xdr:to>
    <xdr:cxnSp macro="">
      <xdr:nvCxnSpPr>
        <xdr:cNvPr id="26" name="直線矢印コネクタ 25"/>
        <xdr:cNvCxnSpPr/>
      </xdr:nvCxnSpPr>
      <xdr:spPr>
        <a:xfrm flipV="1">
          <a:off x="438150" y="14935200"/>
          <a:ext cx="1438275" cy="285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428625</xdr:colOff>
      <xdr:row>91</xdr:row>
      <xdr:rowOff>57150</xdr:rowOff>
    </xdr:from>
    <xdr:to>
      <xdr:col>2</xdr:col>
      <xdr:colOff>495300</xdr:colOff>
      <xdr:row>94</xdr:row>
      <xdr:rowOff>95250</xdr:rowOff>
    </xdr:to>
    <xdr:cxnSp macro="">
      <xdr:nvCxnSpPr>
        <xdr:cNvPr id="27" name="直線矢印コネクタ 26"/>
        <xdr:cNvCxnSpPr/>
      </xdr:nvCxnSpPr>
      <xdr:spPr>
        <a:xfrm>
          <a:off x="428625" y="15220950"/>
          <a:ext cx="1438275" cy="4667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285751</xdr:colOff>
      <xdr:row>88</xdr:row>
      <xdr:rowOff>9526</xdr:rowOff>
    </xdr:from>
    <xdr:to>
      <xdr:col>2</xdr:col>
      <xdr:colOff>95251</xdr:colOff>
      <xdr:row>90</xdr:row>
      <xdr:rowOff>85726</xdr:rowOff>
    </xdr:to>
    <xdr:sp macro="" textlink="">
      <xdr:nvSpPr>
        <xdr:cNvPr id="31" name="テキスト ボックス 30"/>
        <xdr:cNvSpPr txBox="1"/>
      </xdr:nvSpPr>
      <xdr:spPr>
        <a:xfrm>
          <a:off x="971551" y="14744701"/>
          <a:ext cx="4953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ｐ</a:t>
          </a:r>
        </a:p>
      </xdr:txBody>
    </xdr:sp>
    <xdr:clientData/>
  </xdr:twoCellAnchor>
  <xdr:twoCellAnchor>
    <xdr:from>
      <xdr:col>1</xdr:col>
      <xdr:colOff>266701</xdr:colOff>
      <xdr:row>92</xdr:row>
      <xdr:rowOff>104776</xdr:rowOff>
    </xdr:from>
    <xdr:to>
      <xdr:col>2</xdr:col>
      <xdr:colOff>238125</xdr:colOff>
      <xdr:row>95</xdr:row>
      <xdr:rowOff>38101</xdr:rowOff>
    </xdr:to>
    <xdr:sp macro="" textlink="">
      <xdr:nvSpPr>
        <xdr:cNvPr id="32" name="テキスト ボックス 31"/>
        <xdr:cNvSpPr txBox="1"/>
      </xdr:nvSpPr>
      <xdr:spPr>
        <a:xfrm>
          <a:off x="952501" y="15411451"/>
          <a:ext cx="657224"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１－ｐ</a:t>
          </a:r>
        </a:p>
      </xdr:txBody>
    </xdr:sp>
    <xdr:clientData/>
  </xdr:twoCellAnchor>
  <xdr:twoCellAnchor>
    <xdr:from>
      <xdr:col>0</xdr:col>
      <xdr:colOff>609600</xdr:colOff>
      <xdr:row>95</xdr:row>
      <xdr:rowOff>57150</xdr:rowOff>
    </xdr:from>
    <xdr:to>
      <xdr:col>3</xdr:col>
      <xdr:colOff>38100</xdr:colOff>
      <xdr:row>99</xdr:row>
      <xdr:rowOff>19050</xdr:rowOff>
    </xdr:to>
    <xdr:sp macro="" textlink="">
      <xdr:nvSpPr>
        <xdr:cNvPr id="33" name="右中かっこ 32"/>
        <xdr:cNvSpPr/>
      </xdr:nvSpPr>
      <xdr:spPr>
        <a:xfrm rot="5400000">
          <a:off x="1085850" y="15316200"/>
          <a:ext cx="533400" cy="1485900"/>
        </a:xfrm>
        <a:prstGeom prst="righ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editAs="oneCell">
    <xdr:from>
      <xdr:col>0</xdr:col>
      <xdr:colOff>76200</xdr:colOff>
      <xdr:row>227</xdr:row>
      <xdr:rowOff>9525</xdr:rowOff>
    </xdr:from>
    <xdr:to>
      <xdr:col>4</xdr:col>
      <xdr:colOff>533400</xdr:colOff>
      <xdr:row>236</xdr:row>
      <xdr:rowOff>57150</xdr:rowOff>
    </xdr:to>
    <xdr:pic>
      <xdr:nvPicPr>
        <xdr:cNvPr id="20" name="図 19" descr="https://encrypted-tbn3.gstatic.com/images?q=tbn:ANd9GcRr7E2y7DdjbpHXJlXXcoUxhFfncWS1eLvn2ACUoH4jn7NhT4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39614475"/>
          <a:ext cx="3200400" cy="1333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552450</xdr:colOff>
      <xdr:row>235</xdr:row>
      <xdr:rowOff>76200</xdr:rowOff>
    </xdr:from>
    <xdr:to>
      <xdr:col>3</xdr:col>
      <xdr:colOff>238125</xdr:colOff>
      <xdr:row>237</xdr:row>
      <xdr:rowOff>9525</xdr:rowOff>
    </xdr:to>
    <xdr:sp macro="" textlink="">
      <xdr:nvSpPr>
        <xdr:cNvPr id="2" name="正方形/長方形 1"/>
        <xdr:cNvSpPr/>
      </xdr:nvSpPr>
      <xdr:spPr>
        <a:xfrm>
          <a:off x="1238250" y="40824150"/>
          <a:ext cx="1057275" cy="219075"/>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285750</xdr:colOff>
      <xdr:row>223</xdr:row>
      <xdr:rowOff>133350</xdr:rowOff>
    </xdr:from>
    <xdr:to>
      <xdr:col>2</xdr:col>
      <xdr:colOff>304800</xdr:colOff>
      <xdr:row>237</xdr:row>
      <xdr:rowOff>38100</xdr:rowOff>
    </xdr:to>
    <xdr:cxnSp macro="">
      <xdr:nvCxnSpPr>
        <xdr:cNvPr id="6" name="直線矢印コネクタ 5"/>
        <xdr:cNvCxnSpPr/>
      </xdr:nvCxnSpPr>
      <xdr:spPr>
        <a:xfrm>
          <a:off x="1657350" y="39490650"/>
          <a:ext cx="19050" cy="1981200"/>
        </a:xfrm>
        <a:prstGeom prst="straightConnector1">
          <a:avLst/>
        </a:prstGeom>
        <a:ln>
          <a:solidFill>
            <a:srgbClr val="FF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314325</xdr:colOff>
      <xdr:row>223</xdr:row>
      <xdr:rowOff>85724</xdr:rowOff>
    </xdr:from>
    <xdr:to>
      <xdr:col>3</xdr:col>
      <xdr:colOff>647700</xdr:colOff>
      <xdr:row>225</xdr:row>
      <xdr:rowOff>114299</xdr:rowOff>
    </xdr:to>
    <xdr:sp macro="" textlink="">
      <xdr:nvSpPr>
        <xdr:cNvPr id="8" name="テキスト ボックス 7"/>
        <xdr:cNvSpPr txBox="1"/>
      </xdr:nvSpPr>
      <xdr:spPr>
        <a:xfrm>
          <a:off x="1685925" y="39443024"/>
          <a:ext cx="101917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確率密度</a:t>
          </a:r>
        </a:p>
      </xdr:txBody>
    </xdr:sp>
    <xdr:clientData/>
  </xdr:twoCellAnchor>
  <xdr:twoCellAnchor>
    <xdr:from>
      <xdr:col>3</xdr:col>
      <xdr:colOff>676275</xdr:colOff>
      <xdr:row>231</xdr:row>
      <xdr:rowOff>114299</xdr:rowOff>
    </xdr:from>
    <xdr:to>
      <xdr:col>5</xdr:col>
      <xdr:colOff>323850</xdr:colOff>
      <xdr:row>234</xdr:row>
      <xdr:rowOff>76199</xdr:rowOff>
    </xdr:to>
    <xdr:sp macro="" textlink="">
      <xdr:nvSpPr>
        <xdr:cNvPr id="25" name="テキスト ボックス 24"/>
        <xdr:cNvSpPr txBox="1"/>
      </xdr:nvSpPr>
      <xdr:spPr>
        <a:xfrm>
          <a:off x="2733675" y="40690799"/>
          <a:ext cx="101917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W(t)</a:t>
          </a:r>
          <a:endParaRPr kumimoji="1" lang="ja-JP" altLang="en-US" sz="1100"/>
        </a:p>
      </xdr:txBody>
    </xdr:sp>
    <xdr:clientData/>
  </xdr:twoCellAnchor>
  <xdr:twoCellAnchor>
    <xdr:from>
      <xdr:col>1</xdr:col>
      <xdr:colOff>447675</xdr:colOff>
      <xdr:row>231</xdr:row>
      <xdr:rowOff>76200</xdr:rowOff>
    </xdr:from>
    <xdr:to>
      <xdr:col>2</xdr:col>
      <xdr:colOff>295275</xdr:colOff>
      <xdr:row>231</xdr:row>
      <xdr:rowOff>76200</xdr:rowOff>
    </xdr:to>
    <xdr:cxnSp macro="">
      <xdr:nvCxnSpPr>
        <xdr:cNvPr id="17" name="直線矢印コネクタ 16"/>
        <xdr:cNvCxnSpPr/>
      </xdr:nvCxnSpPr>
      <xdr:spPr>
        <a:xfrm>
          <a:off x="1133475" y="40652700"/>
          <a:ext cx="533400" cy="0"/>
        </a:xfrm>
        <a:prstGeom prst="straightConnector1">
          <a:avLst/>
        </a:prstGeom>
        <a:ln>
          <a:headEnd type="arrow"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333375</xdr:colOff>
      <xdr:row>231</xdr:row>
      <xdr:rowOff>76200</xdr:rowOff>
    </xdr:from>
    <xdr:to>
      <xdr:col>3</xdr:col>
      <xdr:colOff>180975</xdr:colOff>
      <xdr:row>231</xdr:row>
      <xdr:rowOff>76200</xdr:rowOff>
    </xdr:to>
    <xdr:cxnSp macro="">
      <xdr:nvCxnSpPr>
        <xdr:cNvPr id="28" name="直線矢印コネクタ 27"/>
        <xdr:cNvCxnSpPr/>
      </xdr:nvCxnSpPr>
      <xdr:spPr>
        <a:xfrm>
          <a:off x="1704975" y="40652700"/>
          <a:ext cx="533400" cy="0"/>
        </a:xfrm>
        <a:prstGeom prst="straightConnector1">
          <a:avLst/>
        </a:prstGeom>
        <a:ln>
          <a:headEnd type="arrow"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419101</xdr:colOff>
      <xdr:row>231</xdr:row>
      <xdr:rowOff>104775</xdr:rowOff>
    </xdr:from>
    <xdr:to>
      <xdr:col>3</xdr:col>
      <xdr:colOff>342901</xdr:colOff>
      <xdr:row>233</xdr:row>
      <xdr:rowOff>76201</xdr:rowOff>
    </xdr:to>
    <xdr:sp macro="" textlink="">
      <xdr:nvSpPr>
        <xdr:cNvPr id="29" name="テキスト ボックス 28"/>
        <xdr:cNvSpPr txBox="1"/>
      </xdr:nvSpPr>
      <xdr:spPr>
        <a:xfrm>
          <a:off x="1790701" y="40681275"/>
          <a:ext cx="609600" cy="257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mj-ea"/>
              <a:ea typeface="+mj-ea"/>
            </a:rPr>
            <a:t>√</a:t>
          </a:r>
          <a:r>
            <a:rPr kumimoji="1" lang="en-US" altLang="ja-JP" sz="1100">
              <a:latin typeface="+mj-ea"/>
              <a:ea typeface="+mj-ea"/>
            </a:rPr>
            <a:t>t</a:t>
          </a:r>
          <a:endParaRPr kumimoji="1" lang="ja-JP" altLang="en-US" sz="1100">
            <a:latin typeface="+mj-ea"/>
            <a:ea typeface="+mj-ea"/>
          </a:endParaRPr>
        </a:p>
      </xdr:txBody>
    </xdr:sp>
    <xdr:clientData/>
  </xdr:twoCellAnchor>
  <xdr:twoCellAnchor>
    <xdr:from>
      <xdr:col>1</xdr:col>
      <xdr:colOff>542926</xdr:colOff>
      <xdr:row>231</xdr:row>
      <xdr:rowOff>95250</xdr:rowOff>
    </xdr:from>
    <xdr:to>
      <xdr:col>2</xdr:col>
      <xdr:colOff>466726</xdr:colOff>
      <xdr:row>233</xdr:row>
      <xdr:rowOff>66676</xdr:rowOff>
    </xdr:to>
    <xdr:sp macro="" textlink="">
      <xdr:nvSpPr>
        <xdr:cNvPr id="30" name="テキスト ボックス 29"/>
        <xdr:cNvSpPr txBox="1"/>
      </xdr:nvSpPr>
      <xdr:spPr>
        <a:xfrm>
          <a:off x="1228726" y="40671750"/>
          <a:ext cx="609600" cy="257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mj-ea"/>
              <a:ea typeface="+mj-ea"/>
            </a:rPr>
            <a:t>√</a:t>
          </a:r>
          <a:r>
            <a:rPr kumimoji="1" lang="en-US" altLang="ja-JP" sz="1100">
              <a:latin typeface="+mj-ea"/>
              <a:ea typeface="+mj-ea"/>
            </a:rPr>
            <a:t>t</a:t>
          </a:r>
          <a:endParaRPr kumimoji="1" lang="ja-JP" altLang="en-US" sz="1100">
            <a:latin typeface="+mj-ea"/>
            <a:ea typeface="+mj-ea"/>
          </a:endParaRPr>
        </a:p>
      </xdr:txBody>
    </xdr:sp>
    <xdr:clientData/>
  </xdr:twoCellAnchor>
  <xdr:oneCellAnchor>
    <xdr:from>
      <xdr:col>0</xdr:col>
      <xdr:colOff>76200</xdr:colOff>
      <xdr:row>227</xdr:row>
      <xdr:rowOff>9525</xdr:rowOff>
    </xdr:from>
    <xdr:ext cx="3200400" cy="1333500"/>
    <xdr:pic>
      <xdr:nvPicPr>
        <xdr:cNvPr id="34" name="図 33" descr="https://encrypted-tbn3.gstatic.com/images?q=tbn:ANd9GcRr7E2y7DdjbpHXJlXXcoUxhFfncWS1eLvn2ACUoH4jn7NhT4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40014525"/>
          <a:ext cx="3200400" cy="1333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1</xdr:col>
      <xdr:colOff>552450</xdr:colOff>
      <xdr:row>235</xdr:row>
      <xdr:rowOff>76200</xdr:rowOff>
    </xdr:from>
    <xdr:to>
      <xdr:col>3</xdr:col>
      <xdr:colOff>238125</xdr:colOff>
      <xdr:row>237</xdr:row>
      <xdr:rowOff>9525</xdr:rowOff>
    </xdr:to>
    <xdr:sp macro="" textlink="">
      <xdr:nvSpPr>
        <xdr:cNvPr id="35" name="正方形/長方形 34"/>
        <xdr:cNvSpPr/>
      </xdr:nvSpPr>
      <xdr:spPr>
        <a:xfrm>
          <a:off x="1238250" y="41224200"/>
          <a:ext cx="1057275" cy="219075"/>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296955</xdr:colOff>
      <xdr:row>223</xdr:row>
      <xdr:rowOff>122144</xdr:rowOff>
    </xdr:from>
    <xdr:to>
      <xdr:col>2</xdr:col>
      <xdr:colOff>316005</xdr:colOff>
      <xdr:row>237</xdr:row>
      <xdr:rowOff>26894</xdr:rowOff>
    </xdr:to>
    <xdr:cxnSp macro="">
      <xdr:nvCxnSpPr>
        <xdr:cNvPr id="36" name="直線矢印コネクタ 35"/>
        <xdr:cNvCxnSpPr/>
      </xdr:nvCxnSpPr>
      <xdr:spPr>
        <a:xfrm>
          <a:off x="1664073" y="39846997"/>
          <a:ext cx="19050" cy="2011456"/>
        </a:xfrm>
        <a:prstGeom prst="straightConnector1">
          <a:avLst/>
        </a:prstGeom>
        <a:ln w="28575">
          <a:solidFill>
            <a:schemeClr val="tx1"/>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314325</xdr:colOff>
      <xdr:row>223</xdr:row>
      <xdr:rowOff>85724</xdr:rowOff>
    </xdr:from>
    <xdr:to>
      <xdr:col>3</xdr:col>
      <xdr:colOff>647700</xdr:colOff>
      <xdr:row>225</xdr:row>
      <xdr:rowOff>114299</xdr:rowOff>
    </xdr:to>
    <xdr:sp macro="" textlink="">
      <xdr:nvSpPr>
        <xdr:cNvPr id="37" name="テキスト ボックス 36"/>
        <xdr:cNvSpPr txBox="1"/>
      </xdr:nvSpPr>
      <xdr:spPr>
        <a:xfrm>
          <a:off x="1685925" y="39443024"/>
          <a:ext cx="101917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確率密度</a:t>
          </a:r>
        </a:p>
      </xdr:txBody>
    </xdr:sp>
    <xdr:clientData/>
  </xdr:twoCellAnchor>
  <xdr:twoCellAnchor>
    <xdr:from>
      <xdr:col>3</xdr:col>
      <xdr:colOff>676275</xdr:colOff>
      <xdr:row>231</xdr:row>
      <xdr:rowOff>114299</xdr:rowOff>
    </xdr:from>
    <xdr:to>
      <xdr:col>5</xdr:col>
      <xdr:colOff>323850</xdr:colOff>
      <xdr:row>234</xdr:row>
      <xdr:rowOff>76199</xdr:rowOff>
    </xdr:to>
    <xdr:sp macro="" textlink="">
      <xdr:nvSpPr>
        <xdr:cNvPr id="38" name="テキスト ボックス 37"/>
        <xdr:cNvSpPr txBox="1"/>
      </xdr:nvSpPr>
      <xdr:spPr>
        <a:xfrm>
          <a:off x="2733675" y="40690799"/>
          <a:ext cx="101917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W(t)</a:t>
          </a:r>
          <a:endParaRPr kumimoji="1" lang="ja-JP" altLang="en-US" sz="1100"/>
        </a:p>
      </xdr:txBody>
    </xdr:sp>
    <xdr:clientData/>
  </xdr:twoCellAnchor>
  <xdr:twoCellAnchor>
    <xdr:from>
      <xdr:col>1</xdr:col>
      <xdr:colOff>447675</xdr:colOff>
      <xdr:row>231</xdr:row>
      <xdr:rowOff>76200</xdr:rowOff>
    </xdr:from>
    <xdr:to>
      <xdr:col>2</xdr:col>
      <xdr:colOff>295275</xdr:colOff>
      <xdr:row>231</xdr:row>
      <xdr:rowOff>76200</xdr:rowOff>
    </xdr:to>
    <xdr:cxnSp macro="">
      <xdr:nvCxnSpPr>
        <xdr:cNvPr id="39" name="直線矢印コネクタ 38"/>
        <xdr:cNvCxnSpPr/>
      </xdr:nvCxnSpPr>
      <xdr:spPr>
        <a:xfrm>
          <a:off x="1133475" y="40652700"/>
          <a:ext cx="533400" cy="0"/>
        </a:xfrm>
        <a:prstGeom prst="straightConnector1">
          <a:avLst/>
        </a:prstGeom>
        <a:ln>
          <a:headEnd type="arrow"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333375</xdr:colOff>
      <xdr:row>231</xdr:row>
      <xdr:rowOff>76200</xdr:rowOff>
    </xdr:from>
    <xdr:to>
      <xdr:col>3</xdr:col>
      <xdr:colOff>180975</xdr:colOff>
      <xdr:row>231</xdr:row>
      <xdr:rowOff>76200</xdr:rowOff>
    </xdr:to>
    <xdr:cxnSp macro="">
      <xdr:nvCxnSpPr>
        <xdr:cNvPr id="40" name="直線矢印コネクタ 39"/>
        <xdr:cNvCxnSpPr/>
      </xdr:nvCxnSpPr>
      <xdr:spPr>
        <a:xfrm>
          <a:off x="1704975" y="40652700"/>
          <a:ext cx="533400" cy="0"/>
        </a:xfrm>
        <a:prstGeom prst="straightConnector1">
          <a:avLst/>
        </a:prstGeom>
        <a:ln>
          <a:headEnd type="arrow"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419101</xdr:colOff>
      <xdr:row>231</xdr:row>
      <xdr:rowOff>104775</xdr:rowOff>
    </xdr:from>
    <xdr:to>
      <xdr:col>3</xdr:col>
      <xdr:colOff>342901</xdr:colOff>
      <xdr:row>233</xdr:row>
      <xdr:rowOff>76201</xdr:rowOff>
    </xdr:to>
    <xdr:sp macro="" textlink="">
      <xdr:nvSpPr>
        <xdr:cNvPr id="41" name="テキスト ボックス 40"/>
        <xdr:cNvSpPr txBox="1"/>
      </xdr:nvSpPr>
      <xdr:spPr>
        <a:xfrm>
          <a:off x="1790701" y="40681275"/>
          <a:ext cx="609600" cy="257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mj-ea"/>
              <a:ea typeface="+mj-ea"/>
            </a:rPr>
            <a:t>√</a:t>
          </a:r>
          <a:r>
            <a:rPr kumimoji="1" lang="en-US" altLang="ja-JP" sz="1100">
              <a:latin typeface="+mj-ea"/>
              <a:ea typeface="+mj-ea"/>
            </a:rPr>
            <a:t>t</a:t>
          </a:r>
          <a:endParaRPr kumimoji="1" lang="ja-JP" altLang="en-US" sz="1100">
            <a:latin typeface="+mj-ea"/>
            <a:ea typeface="+mj-ea"/>
          </a:endParaRPr>
        </a:p>
      </xdr:txBody>
    </xdr:sp>
    <xdr:clientData/>
  </xdr:twoCellAnchor>
  <xdr:twoCellAnchor>
    <xdr:from>
      <xdr:col>1</xdr:col>
      <xdr:colOff>542926</xdr:colOff>
      <xdr:row>231</xdr:row>
      <xdr:rowOff>95250</xdr:rowOff>
    </xdr:from>
    <xdr:to>
      <xdr:col>2</xdr:col>
      <xdr:colOff>466726</xdr:colOff>
      <xdr:row>233</xdr:row>
      <xdr:rowOff>66676</xdr:rowOff>
    </xdr:to>
    <xdr:sp macro="" textlink="">
      <xdr:nvSpPr>
        <xdr:cNvPr id="42" name="テキスト ボックス 41"/>
        <xdr:cNvSpPr txBox="1"/>
      </xdr:nvSpPr>
      <xdr:spPr>
        <a:xfrm>
          <a:off x="1228726" y="40671750"/>
          <a:ext cx="609600" cy="257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mj-ea"/>
              <a:ea typeface="+mj-ea"/>
            </a:rPr>
            <a:t>√</a:t>
          </a:r>
          <a:r>
            <a:rPr kumimoji="1" lang="en-US" altLang="ja-JP" sz="1100">
              <a:latin typeface="+mj-ea"/>
              <a:ea typeface="+mj-ea"/>
            </a:rPr>
            <a:t>t</a:t>
          </a:r>
          <a:endParaRPr kumimoji="1" lang="ja-JP" altLang="en-US" sz="1100">
            <a:latin typeface="+mj-ea"/>
            <a:ea typeface="+mj-ea"/>
          </a:endParaRPr>
        </a:p>
      </xdr:txBody>
    </xdr:sp>
    <xdr:clientData/>
  </xdr:twoCellAnchor>
  <xdr:oneCellAnchor>
    <xdr:from>
      <xdr:col>0</xdr:col>
      <xdr:colOff>76200</xdr:colOff>
      <xdr:row>245</xdr:row>
      <xdr:rowOff>9525</xdr:rowOff>
    </xdr:from>
    <xdr:ext cx="3191435" cy="1358713"/>
    <xdr:pic>
      <xdr:nvPicPr>
        <xdr:cNvPr id="43" name="図 42" descr="https://encrypted-tbn3.gstatic.com/images?q=tbn:ANd9GcRr7E2y7DdjbpHXJlXXcoUxhFfncWS1eLvn2ACUoH4jn7NhT4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40384319"/>
          <a:ext cx="3191435" cy="135871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1</xdr:col>
      <xdr:colOff>552450</xdr:colOff>
      <xdr:row>253</xdr:row>
      <xdr:rowOff>76200</xdr:rowOff>
    </xdr:from>
    <xdr:to>
      <xdr:col>3</xdr:col>
      <xdr:colOff>238125</xdr:colOff>
      <xdr:row>255</xdr:row>
      <xdr:rowOff>9525</xdr:rowOff>
    </xdr:to>
    <xdr:sp macro="" textlink="">
      <xdr:nvSpPr>
        <xdr:cNvPr id="44" name="正方形/長方形 43"/>
        <xdr:cNvSpPr/>
      </xdr:nvSpPr>
      <xdr:spPr>
        <a:xfrm>
          <a:off x="1236009" y="41616406"/>
          <a:ext cx="1052792" cy="224678"/>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285750</xdr:colOff>
      <xdr:row>241</xdr:row>
      <xdr:rowOff>133350</xdr:rowOff>
    </xdr:from>
    <xdr:to>
      <xdr:col>2</xdr:col>
      <xdr:colOff>304800</xdr:colOff>
      <xdr:row>255</xdr:row>
      <xdr:rowOff>38100</xdr:rowOff>
    </xdr:to>
    <xdr:cxnSp macro="">
      <xdr:nvCxnSpPr>
        <xdr:cNvPr id="45" name="直線矢印コネクタ 44"/>
        <xdr:cNvCxnSpPr/>
      </xdr:nvCxnSpPr>
      <xdr:spPr>
        <a:xfrm>
          <a:off x="1652868" y="39858203"/>
          <a:ext cx="19050" cy="2011456"/>
        </a:xfrm>
        <a:prstGeom prst="straightConnector1">
          <a:avLst/>
        </a:prstGeom>
        <a:ln>
          <a:solidFill>
            <a:srgbClr val="FF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314325</xdr:colOff>
      <xdr:row>241</xdr:row>
      <xdr:rowOff>85724</xdr:rowOff>
    </xdr:from>
    <xdr:to>
      <xdr:col>3</xdr:col>
      <xdr:colOff>647700</xdr:colOff>
      <xdr:row>243</xdr:row>
      <xdr:rowOff>114299</xdr:rowOff>
    </xdr:to>
    <xdr:sp macro="" textlink="">
      <xdr:nvSpPr>
        <xdr:cNvPr id="46" name="テキスト ボックス 45"/>
        <xdr:cNvSpPr txBox="1"/>
      </xdr:nvSpPr>
      <xdr:spPr>
        <a:xfrm>
          <a:off x="1681443" y="39810577"/>
          <a:ext cx="1016933" cy="3871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確率密度</a:t>
          </a:r>
        </a:p>
      </xdr:txBody>
    </xdr:sp>
    <xdr:clientData/>
  </xdr:twoCellAnchor>
  <xdr:twoCellAnchor>
    <xdr:from>
      <xdr:col>3</xdr:col>
      <xdr:colOff>676275</xdr:colOff>
      <xdr:row>249</xdr:row>
      <xdr:rowOff>114299</xdr:rowOff>
    </xdr:from>
    <xdr:to>
      <xdr:col>5</xdr:col>
      <xdr:colOff>323850</xdr:colOff>
      <xdr:row>252</xdr:row>
      <xdr:rowOff>76199</xdr:rowOff>
    </xdr:to>
    <xdr:sp macro="" textlink="">
      <xdr:nvSpPr>
        <xdr:cNvPr id="47" name="テキスト ボックス 46"/>
        <xdr:cNvSpPr txBox="1"/>
      </xdr:nvSpPr>
      <xdr:spPr>
        <a:xfrm>
          <a:off x="2726951" y="41071799"/>
          <a:ext cx="1014693" cy="398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W(t)</a:t>
          </a:r>
          <a:endParaRPr kumimoji="1" lang="ja-JP" altLang="en-US" sz="1100"/>
        </a:p>
      </xdr:txBody>
    </xdr:sp>
    <xdr:clientData/>
  </xdr:twoCellAnchor>
  <xdr:twoCellAnchor>
    <xdr:from>
      <xdr:col>1</xdr:col>
      <xdr:colOff>447675</xdr:colOff>
      <xdr:row>249</xdr:row>
      <xdr:rowOff>76200</xdr:rowOff>
    </xdr:from>
    <xdr:to>
      <xdr:col>2</xdr:col>
      <xdr:colOff>295275</xdr:colOff>
      <xdr:row>249</xdr:row>
      <xdr:rowOff>76200</xdr:rowOff>
    </xdr:to>
    <xdr:cxnSp macro="">
      <xdr:nvCxnSpPr>
        <xdr:cNvPr id="48" name="直線矢印コネクタ 47"/>
        <xdr:cNvCxnSpPr/>
      </xdr:nvCxnSpPr>
      <xdr:spPr>
        <a:xfrm>
          <a:off x="1131234" y="41033700"/>
          <a:ext cx="531159" cy="0"/>
        </a:xfrm>
        <a:prstGeom prst="straightConnector1">
          <a:avLst/>
        </a:prstGeom>
        <a:ln>
          <a:headEnd type="arrow"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333375</xdr:colOff>
      <xdr:row>249</xdr:row>
      <xdr:rowOff>76200</xdr:rowOff>
    </xdr:from>
    <xdr:to>
      <xdr:col>3</xdr:col>
      <xdr:colOff>180975</xdr:colOff>
      <xdr:row>249</xdr:row>
      <xdr:rowOff>76200</xdr:rowOff>
    </xdr:to>
    <xdr:cxnSp macro="">
      <xdr:nvCxnSpPr>
        <xdr:cNvPr id="49" name="直線矢印コネクタ 48"/>
        <xdr:cNvCxnSpPr/>
      </xdr:nvCxnSpPr>
      <xdr:spPr>
        <a:xfrm>
          <a:off x="1700493" y="41033700"/>
          <a:ext cx="531158" cy="0"/>
        </a:xfrm>
        <a:prstGeom prst="straightConnector1">
          <a:avLst/>
        </a:prstGeom>
        <a:ln>
          <a:headEnd type="arrow"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419101</xdr:colOff>
      <xdr:row>249</xdr:row>
      <xdr:rowOff>104775</xdr:rowOff>
    </xdr:from>
    <xdr:to>
      <xdr:col>3</xdr:col>
      <xdr:colOff>342901</xdr:colOff>
      <xdr:row>251</xdr:row>
      <xdr:rowOff>76201</xdr:rowOff>
    </xdr:to>
    <xdr:sp macro="" textlink="">
      <xdr:nvSpPr>
        <xdr:cNvPr id="50" name="テキスト ボックス 49"/>
        <xdr:cNvSpPr txBox="1"/>
      </xdr:nvSpPr>
      <xdr:spPr>
        <a:xfrm>
          <a:off x="1786219" y="41062275"/>
          <a:ext cx="607358" cy="262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mj-ea"/>
              <a:ea typeface="+mj-ea"/>
            </a:rPr>
            <a:t>√</a:t>
          </a:r>
          <a:r>
            <a:rPr kumimoji="1" lang="en-US" altLang="ja-JP" sz="1100">
              <a:latin typeface="+mj-ea"/>
              <a:ea typeface="+mj-ea"/>
            </a:rPr>
            <a:t>t</a:t>
          </a:r>
          <a:endParaRPr kumimoji="1" lang="ja-JP" altLang="en-US" sz="1100">
            <a:latin typeface="+mj-ea"/>
            <a:ea typeface="+mj-ea"/>
          </a:endParaRPr>
        </a:p>
      </xdr:txBody>
    </xdr:sp>
    <xdr:clientData/>
  </xdr:twoCellAnchor>
  <xdr:twoCellAnchor>
    <xdr:from>
      <xdr:col>1</xdr:col>
      <xdr:colOff>542926</xdr:colOff>
      <xdr:row>249</xdr:row>
      <xdr:rowOff>95250</xdr:rowOff>
    </xdr:from>
    <xdr:to>
      <xdr:col>2</xdr:col>
      <xdr:colOff>466726</xdr:colOff>
      <xdr:row>251</xdr:row>
      <xdr:rowOff>66676</xdr:rowOff>
    </xdr:to>
    <xdr:sp macro="" textlink="">
      <xdr:nvSpPr>
        <xdr:cNvPr id="51" name="テキスト ボックス 50"/>
        <xdr:cNvSpPr txBox="1"/>
      </xdr:nvSpPr>
      <xdr:spPr>
        <a:xfrm>
          <a:off x="1226485" y="41052750"/>
          <a:ext cx="607359" cy="262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mj-ea"/>
              <a:ea typeface="+mj-ea"/>
            </a:rPr>
            <a:t>√</a:t>
          </a:r>
          <a:r>
            <a:rPr kumimoji="1" lang="en-US" altLang="ja-JP" sz="1100">
              <a:latin typeface="+mj-ea"/>
              <a:ea typeface="+mj-ea"/>
            </a:rPr>
            <a:t>t</a:t>
          </a:r>
          <a:endParaRPr kumimoji="1" lang="ja-JP" altLang="en-US" sz="1100">
            <a:latin typeface="+mj-ea"/>
            <a:ea typeface="+mj-ea"/>
          </a:endParaRPr>
        </a:p>
      </xdr:txBody>
    </xdr:sp>
    <xdr:clientData/>
  </xdr:twoCellAnchor>
  <xdr:oneCellAnchor>
    <xdr:from>
      <xdr:col>0</xdr:col>
      <xdr:colOff>76200</xdr:colOff>
      <xdr:row>245</xdr:row>
      <xdr:rowOff>9525</xdr:rowOff>
    </xdr:from>
    <xdr:ext cx="3200400" cy="1333500"/>
    <xdr:pic>
      <xdr:nvPicPr>
        <xdr:cNvPr id="52" name="図 51" descr="https://encrypted-tbn3.gstatic.com/images?q=tbn:ANd9GcRr7E2y7DdjbpHXJlXXcoUxhFfncWS1eLvn2ACUoH4jn7NhT4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40384319"/>
          <a:ext cx="3200400" cy="1333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1</xdr:col>
      <xdr:colOff>552450</xdr:colOff>
      <xdr:row>253</xdr:row>
      <xdr:rowOff>76200</xdr:rowOff>
    </xdr:from>
    <xdr:to>
      <xdr:col>3</xdr:col>
      <xdr:colOff>238125</xdr:colOff>
      <xdr:row>255</xdr:row>
      <xdr:rowOff>9525</xdr:rowOff>
    </xdr:to>
    <xdr:sp macro="" textlink="">
      <xdr:nvSpPr>
        <xdr:cNvPr id="53" name="正方形/長方形 52"/>
        <xdr:cNvSpPr/>
      </xdr:nvSpPr>
      <xdr:spPr>
        <a:xfrm>
          <a:off x="1236009" y="41616406"/>
          <a:ext cx="1052792" cy="224678"/>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285750</xdr:colOff>
      <xdr:row>241</xdr:row>
      <xdr:rowOff>133350</xdr:rowOff>
    </xdr:from>
    <xdr:to>
      <xdr:col>2</xdr:col>
      <xdr:colOff>304800</xdr:colOff>
      <xdr:row>255</xdr:row>
      <xdr:rowOff>38100</xdr:rowOff>
    </xdr:to>
    <xdr:cxnSp macro="">
      <xdr:nvCxnSpPr>
        <xdr:cNvPr id="54" name="直線矢印コネクタ 53"/>
        <xdr:cNvCxnSpPr/>
      </xdr:nvCxnSpPr>
      <xdr:spPr>
        <a:xfrm>
          <a:off x="1652868" y="39858203"/>
          <a:ext cx="19050" cy="2011456"/>
        </a:xfrm>
        <a:prstGeom prst="straightConnector1">
          <a:avLst/>
        </a:prstGeom>
        <a:ln>
          <a:solidFill>
            <a:srgbClr val="FF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314325</xdr:colOff>
      <xdr:row>241</xdr:row>
      <xdr:rowOff>85724</xdr:rowOff>
    </xdr:from>
    <xdr:to>
      <xdr:col>3</xdr:col>
      <xdr:colOff>647700</xdr:colOff>
      <xdr:row>243</xdr:row>
      <xdr:rowOff>114299</xdr:rowOff>
    </xdr:to>
    <xdr:sp macro="" textlink="">
      <xdr:nvSpPr>
        <xdr:cNvPr id="55" name="テキスト ボックス 54"/>
        <xdr:cNvSpPr txBox="1"/>
      </xdr:nvSpPr>
      <xdr:spPr>
        <a:xfrm>
          <a:off x="1681443" y="39810577"/>
          <a:ext cx="1016933" cy="3871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確率密度</a:t>
          </a:r>
        </a:p>
      </xdr:txBody>
    </xdr:sp>
    <xdr:clientData/>
  </xdr:twoCellAnchor>
  <xdr:twoCellAnchor>
    <xdr:from>
      <xdr:col>3</xdr:col>
      <xdr:colOff>676275</xdr:colOff>
      <xdr:row>249</xdr:row>
      <xdr:rowOff>114299</xdr:rowOff>
    </xdr:from>
    <xdr:to>
      <xdr:col>5</xdr:col>
      <xdr:colOff>323850</xdr:colOff>
      <xdr:row>252</xdr:row>
      <xdr:rowOff>76199</xdr:rowOff>
    </xdr:to>
    <xdr:sp macro="" textlink="">
      <xdr:nvSpPr>
        <xdr:cNvPr id="56" name="テキスト ボックス 55"/>
        <xdr:cNvSpPr txBox="1"/>
      </xdr:nvSpPr>
      <xdr:spPr>
        <a:xfrm>
          <a:off x="2726951" y="41071799"/>
          <a:ext cx="1014693" cy="398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σW(t)</a:t>
          </a:r>
          <a:endParaRPr kumimoji="1" lang="ja-JP" altLang="en-US" sz="1100"/>
        </a:p>
      </xdr:txBody>
    </xdr:sp>
    <xdr:clientData/>
  </xdr:twoCellAnchor>
  <xdr:twoCellAnchor>
    <xdr:from>
      <xdr:col>1</xdr:col>
      <xdr:colOff>447675</xdr:colOff>
      <xdr:row>249</xdr:row>
      <xdr:rowOff>76200</xdr:rowOff>
    </xdr:from>
    <xdr:to>
      <xdr:col>2</xdr:col>
      <xdr:colOff>295275</xdr:colOff>
      <xdr:row>249</xdr:row>
      <xdr:rowOff>76200</xdr:rowOff>
    </xdr:to>
    <xdr:cxnSp macro="">
      <xdr:nvCxnSpPr>
        <xdr:cNvPr id="57" name="直線矢印コネクタ 56"/>
        <xdr:cNvCxnSpPr/>
      </xdr:nvCxnSpPr>
      <xdr:spPr>
        <a:xfrm>
          <a:off x="1131234" y="41033700"/>
          <a:ext cx="531159" cy="0"/>
        </a:xfrm>
        <a:prstGeom prst="straightConnector1">
          <a:avLst/>
        </a:prstGeom>
        <a:ln>
          <a:headEnd type="arrow"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333375</xdr:colOff>
      <xdr:row>249</xdr:row>
      <xdr:rowOff>76200</xdr:rowOff>
    </xdr:from>
    <xdr:to>
      <xdr:col>3</xdr:col>
      <xdr:colOff>180975</xdr:colOff>
      <xdr:row>249</xdr:row>
      <xdr:rowOff>76200</xdr:rowOff>
    </xdr:to>
    <xdr:cxnSp macro="">
      <xdr:nvCxnSpPr>
        <xdr:cNvPr id="58" name="直線矢印コネクタ 57"/>
        <xdr:cNvCxnSpPr/>
      </xdr:nvCxnSpPr>
      <xdr:spPr>
        <a:xfrm>
          <a:off x="1700493" y="41033700"/>
          <a:ext cx="531158" cy="0"/>
        </a:xfrm>
        <a:prstGeom prst="straightConnector1">
          <a:avLst/>
        </a:prstGeom>
        <a:ln>
          <a:headEnd type="arrow"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419101</xdr:colOff>
      <xdr:row>249</xdr:row>
      <xdr:rowOff>104775</xdr:rowOff>
    </xdr:from>
    <xdr:to>
      <xdr:col>3</xdr:col>
      <xdr:colOff>342901</xdr:colOff>
      <xdr:row>251</xdr:row>
      <xdr:rowOff>76201</xdr:rowOff>
    </xdr:to>
    <xdr:sp macro="" textlink="">
      <xdr:nvSpPr>
        <xdr:cNvPr id="59" name="テキスト ボックス 58"/>
        <xdr:cNvSpPr txBox="1"/>
      </xdr:nvSpPr>
      <xdr:spPr>
        <a:xfrm>
          <a:off x="1786219" y="41062275"/>
          <a:ext cx="607358" cy="262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latin typeface="+mj-ea"/>
              <a:ea typeface="+mj-ea"/>
            </a:rPr>
            <a:t>σ</a:t>
          </a:r>
          <a:r>
            <a:rPr kumimoji="1" lang="ja-JP" altLang="en-US" sz="1100">
              <a:latin typeface="+mj-ea"/>
              <a:ea typeface="+mj-ea"/>
            </a:rPr>
            <a:t>√</a:t>
          </a:r>
          <a:r>
            <a:rPr kumimoji="1" lang="en-US" altLang="ja-JP" sz="1100">
              <a:latin typeface="+mj-ea"/>
              <a:ea typeface="+mj-ea"/>
            </a:rPr>
            <a:t>t</a:t>
          </a:r>
          <a:endParaRPr kumimoji="1" lang="ja-JP" altLang="en-US" sz="1100">
            <a:latin typeface="+mj-ea"/>
            <a:ea typeface="+mj-ea"/>
          </a:endParaRPr>
        </a:p>
      </xdr:txBody>
    </xdr:sp>
    <xdr:clientData/>
  </xdr:twoCellAnchor>
  <xdr:twoCellAnchor>
    <xdr:from>
      <xdr:col>1</xdr:col>
      <xdr:colOff>542926</xdr:colOff>
      <xdr:row>249</xdr:row>
      <xdr:rowOff>95250</xdr:rowOff>
    </xdr:from>
    <xdr:to>
      <xdr:col>2</xdr:col>
      <xdr:colOff>466726</xdr:colOff>
      <xdr:row>251</xdr:row>
      <xdr:rowOff>66676</xdr:rowOff>
    </xdr:to>
    <xdr:sp macro="" textlink="">
      <xdr:nvSpPr>
        <xdr:cNvPr id="60" name="テキスト ボックス 59"/>
        <xdr:cNvSpPr txBox="1"/>
      </xdr:nvSpPr>
      <xdr:spPr>
        <a:xfrm>
          <a:off x="1226485" y="41052750"/>
          <a:ext cx="607359" cy="262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chemeClr val="dk1"/>
              </a:solidFill>
              <a:effectLst/>
              <a:latin typeface="+mn-lt"/>
              <a:ea typeface="+mn-ea"/>
              <a:cs typeface="+mn-cs"/>
            </a:rPr>
            <a:t>σ</a:t>
          </a:r>
          <a:r>
            <a:rPr kumimoji="1" lang="ja-JP" altLang="en-US" sz="1100">
              <a:latin typeface="+mj-ea"/>
              <a:ea typeface="+mj-ea"/>
            </a:rPr>
            <a:t>√</a:t>
          </a:r>
          <a:r>
            <a:rPr kumimoji="1" lang="en-US" altLang="ja-JP" sz="1100">
              <a:latin typeface="+mj-ea"/>
              <a:ea typeface="+mj-ea"/>
            </a:rPr>
            <a:t>t</a:t>
          </a:r>
          <a:endParaRPr kumimoji="1" lang="ja-JP" altLang="en-US" sz="1100">
            <a:latin typeface="+mj-ea"/>
            <a:ea typeface="+mj-ea"/>
          </a:endParaRPr>
        </a:p>
      </xdr:txBody>
    </xdr:sp>
    <xdr:clientData/>
  </xdr:twoCellAnchor>
  <xdr:twoCellAnchor>
    <xdr:from>
      <xdr:col>7</xdr:col>
      <xdr:colOff>56029</xdr:colOff>
      <xdr:row>234</xdr:row>
      <xdr:rowOff>100853</xdr:rowOff>
    </xdr:from>
    <xdr:to>
      <xdr:col>8</xdr:col>
      <xdr:colOff>168088</xdr:colOff>
      <xdr:row>244</xdr:row>
      <xdr:rowOff>89647</xdr:rowOff>
    </xdr:to>
    <xdr:sp macro="" textlink="">
      <xdr:nvSpPr>
        <xdr:cNvPr id="21" name="左カーブ矢印 20"/>
        <xdr:cNvSpPr/>
      </xdr:nvSpPr>
      <xdr:spPr>
        <a:xfrm>
          <a:off x="4840941" y="41495382"/>
          <a:ext cx="795618" cy="1568824"/>
        </a:xfrm>
        <a:prstGeom prst="curvedLeftArrow">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8</xdr:col>
      <xdr:colOff>381001</xdr:colOff>
      <xdr:row>238</xdr:row>
      <xdr:rowOff>44263</xdr:rowOff>
    </xdr:from>
    <xdr:to>
      <xdr:col>11</xdr:col>
      <xdr:colOff>100853</xdr:colOff>
      <xdr:row>242</xdr:row>
      <xdr:rowOff>56030</xdr:rowOff>
    </xdr:to>
    <xdr:sp macro="" textlink="">
      <xdr:nvSpPr>
        <xdr:cNvPr id="61" name="テキスト ボックス 60"/>
        <xdr:cNvSpPr txBox="1"/>
      </xdr:nvSpPr>
      <xdr:spPr>
        <a:xfrm>
          <a:off x="5849472" y="42043910"/>
          <a:ext cx="1770528" cy="6617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mj-ea"/>
              <a:ea typeface="+mj-ea"/>
            </a:rPr>
            <a:t>×</a:t>
          </a:r>
          <a:r>
            <a:rPr kumimoji="1" lang="ja-JP" altLang="en-US" sz="2400">
              <a:latin typeface="+mj-ea"/>
              <a:ea typeface="+mj-ea"/>
            </a:rPr>
            <a:t>　</a:t>
          </a:r>
          <a:r>
            <a:rPr kumimoji="1" lang="en-US" altLang="ja-JP" sz="2400">
              <a:latin typeface="+mj-ea"/>
              <a:ea typeface="+mj-ea"/>
            </a:rPr>
            <a:t>σ</a:t>
          </a:r>
          <a:endParaRPr kumimoji="1" lang="ja-JP" altLang="en-US" sz="2400">
            <a:latin typeface="+mj-ea"/>
            <a:ea typeface="+mj-ea"/>
          </a:endParaRPr>
        </a:p>
      </xdr:txBody>
    </xdr:sp>
    <xdr:clientData/>
  </xdr:twoCellAnchor>
  <xdr:oneCellAnchor>
    <xdr:from>
      <xdr:col>1</xdr:col>
      <xdr:colOff>76200</xdr:colOff>
      <xdr:row>263</xdr:row>
      <xdr:rowOff>9525</xdr:rowOff>
    </xdr:from>
    <xdr:ext cx="3191435" cy="1358713"/>
    <xdr:pic>
      <xdr:nvPicPr>
        <xdr:cNvPr id="62" name="図 61" descr="https://encrypted-tbn3.gstatic.com/images?q=tbn:ANd9GcRr7E2y7DdjbpHXJlXXcoUxhFfncWS1eLvn2ACUoH4jn7NhT4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43129760"/>
          <a:ext cx="3191435" cy="135871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2</xdr:col>
      <xdr:colOff>552450</xdr:colOff>
      <xdr:row>271</xdr:row>
      <xdr:rowOff>76200</xdr:rowOff>
    </xdr:from>
    <xdr:to>
      <xdr:col>4</xdr:col>
      <xdr:colOff>238125</xdr:colOff>
      <xdr:row>273</xdr:row>
      <xdr:rowOff>9525</xdr:rowOff>
    </xdr:to>
    <xdr:sp macro="" textlink="">
      <xdr:nvSpPr>
        <xdr:cNvPr id="63" name="正方形/長方形 62"/>
        <xdr:cNvSpPr/>
      </xdr:nvSpPr>
      <xdr:spPr>
        <a:xfrm>
          <a:off x="1236009" y="44361847"/>
          <a:ext cx="1052792" cy="224678"/>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314325</xdr:colOff>
      <xdr:row>259</xdr:row>
      <xdr:rowOff>85724</xdr:rowOff>
    </xdr:from>
    <xdr:to>
      <xdr:col>3</xdr:col>
      <xdr:colOff>647700</xdr:colOff>
      <xdr:row>261</xdr:row>
      <xdr:rowOff>114299</xdr:rowOff>
    </xdr:to>
    <xdr:sp macro="" textlink="">
      <xdr:nvSpPr>
        <xdr:cNvPr id="65" name="テキスト ボックス 64"/>
        <xdr:cNvSpPr txBox="1"/>
      </xdr:nvSpPr>
      <xdr:spPr>
        <a:xfrm>
          <a:off x="1681443" y="42556018"/>
          <a:ext cx="1016933" cy="3871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確率密度</a:t>
          </a:r>
        </a:p>
      </xdr:txBody>
    </xdr:sp>
    <xdr:clientData/>
  </xdr:twoCellAnchor>
  <xdr:twoCellAnchor>
    <xdr:from>
      <xdr:col>4</xdr:col>
      <xdr:colOff>676275</xdr:colOff>
      <xdr:row>267</xdr:row>
      <xdr:rowOff>114299</xdr:rowOff>
    </xdr:from>
    <xdr:to>
      <xdr:col>6</xdr:col>
      <xdr:colOff>323850</xdr:colOff>
      <xdr:row>270</xdr:row>
      <xdr:rowOff>76199</xdr:rowOff>
    </xdr:to>
    <xdr:sp macro="" textlink="">
      <xdr:nvSpPr>
        <xdr:cNvPr id="66" name="テキスト ボックス 65"/>
        <xdr:cNvSpPr txBox="1"/>
      </xdr:nvSpPr>
      <xdr:spPr>
        <a:xfrm>
          <a:off x="2726951" y="43817240"/>
          <a:ext cx="1014693" cy="398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W(t)</a:t>
          </a:r>
          <a:endParaRPr kumimoji="1" lang="ja-JP" altLang="en-US" sz="1100"/>
        </a:p>
      </xdr:txBody>
    </xdr:sp>
    <xdr:clientData/>
  </xdr:twoCellAnchor>
  <xdr:twoCellAnchor>
    <xdr:from>
      <xdr:col>2</xdr:col>
      <xdr:colOff>447675</xdr:colOff>
      <xdr:row>267</xdr:row>
      <xdr:rowOff>76200</xdr:rowOff>
    </xdr:from>
    <xdr:to>
      <xdr:col>3</xdr:col>
      <xdr:colOff>295275</xdr:colOff>
      <xdr:row>267</xdr:row>
      <xdr:rowOff>76200</xdr:rowOff>
    </xdr:to>
    <xdr:cxnSp macro="">
      <xdr:nvCxnSpPr>
        <xdr:cNvPr id="67" name="直線矢印コネクタ 66"/>
        <xdr:cNvCxnSpPr/>
      </xdr:nvCxnSpPr>
      <xdr:spPr>
        <a:xfrm>
          <a:off x="1131234" y="43779141"/>
          <a:ext cx="531159" cy="0"/>
        </a:xfrm>
        <a:prstGeom prst="straightConnector1">
          <a:avLst/>
        </a:prstGeom>
        <a:ln>
          <a:headEnd type="arrow"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333375</xdr:colOff>
      <xdr:row>267</xdr:row>
      <xdr:rowOff>76200</xdr:rowOff>
    </xdr:from>
    <xdr:to>
      <xdr:col>4</xdr:col>
      <xdr:colOff>180975</xdr:colOff>
      <xdr:row>267</xdr:row>
      <xdr:rowOff>76200</xdr:rowOff>
    </xdr:to>
    <xdr:cxnSp macro="">
      <xdr:nvCxnSpPr>
        <xdr:cNvPr id="68" name="直線矢印コネクタ 67"/>
        <xdr:cNvCxnSpPr/>
      </xdr:nvCxnSpPr>
      <xdr:spPr>
        <a:xfrm>
          <a:off x="1700493" y="43779141"/>
          <a:ext cx="531158" cy="0"/>
        </a:xfrm>
        <a:prstGeom prst="straightConnector1">
          <a:avLst/>
        </a:prstGeom>
        <a:ln>
          <a:headEnd type="arrow"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419101</xdr:colOff>
      <xdr:row>267</xdr:row>
      <xdr:rowOff>104775</xdr:rowOff>
    </xdr:from>
    <xdr:to>
      <xdr:col>4</xdr:col>
      <xdr:colOff>342901</xdr:colOff>
      <xdr:row>269</xdr:row>
      <xdr:rowOff>76201</xdr:rowOff>
    </xdr:to>
    <xdr:sp macro="" textlink="">
      <xdr:nvSpPr>
        <xdr:cNvPr id="69" name="テキスト ボックス 68"/>
        <xdr:cNvSpPr txBox="1"/>
      </xdr:nvSpPr>
      <xdr:spPr>
        <a:xfrm>
          <a:off x="1786219" y="43807716"/>
          <a:ext cx="607358" cy="262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mj-ea"/>
              <a:ea typeface="+mj-ea"/>
            </a:rPr>
            <a:t>√</a:t>
          </a:r>
          <a:r>
            <a:rPr kumimoji="1" lang="en-US" altLang="ja-JP" sz="1100">
              <a:latin typeface="+mj-ea"/>
              <a:ea typeface="+mj-ea"/>
            </a:rPr>
            <a:t>t</a:t>
          </a:r>
          <a:endParaRPr kumimoji="1" lang="ja-JP" altLang="en-US" sz="1100">
            <a:latin typeface="+mj-ea"/>
            <a:ea typeface="+mj-ea"/>
          </a:endParaRPr>
        </a:p>
      </xdr:txBody>
    </xdr:sp>
    <xdr:clientData/>
  </xdr:twoCellAnchor>
  <xdr:twoCellAnchor>
    <xdr:from>
      <xdr:col>2</xdr:col>
      <xdr:colOff>542926</xdr:colOff>
      <xdr:row>267</xdr:row>
      <xdr:rowOff>95250</xdr:rowOff>
    </xdr:from>
    <xdr:to>
      <xdr:col>3</xdr:col>
      <xdr:colOff>466726</xdr:colOff>
      <xdr:row>269</xdr:row>
      <xdr:rowOff>66676</xdr:rowOff>
    </xdr:to>
    <xdr:sp macro="" textlink="">
      <xdr:nvSpPr>
        <xdr:cNvPr id="70" name="テキスト ボックス 69"/>
        <xdr:cNvSpPr txBox="1"/>
      </xdr:nvSpPr>
      <xdr:spPr>
        <a:xfrm>
          <a:off x="1226485" y="43798191"/>
          <a:ext cx="607359" cy="262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mj-ea"/>
              <a:ea typeface="+mj-ea"/>
            </a:rPr>
            <a:t>√</a:t>
          </a:r>
          <a:r>
            <a:rPr kumimoji="1" lang="en-US" altLang="ja-JP" sz="1100">
              <a:latin typeface="+mj-ea"/>
              <a:ea typeface="+mj-ea"/>
            </a:rPr>
            <a:t>t</a:t>
          </a:r>
          <a:endParaRPr kumimoji="1" lang="ja-JP" altLang="en-US" sz="1100">
            <a:latin typeface="+mj-ea"/>
            <a:ea typeface="+mj-ea"/>
          </a:endParaRPr>
        </a:p>
      </xdr:txBody>
    </xdr:sp>
    <xdr:clientData/>
  </xdr:twoCellAnchor>
  <xdr:oneCellAnchor>
    <xdr:from>
      <xdr:col>1</xdr:col>
      <xdr:colOff>76200</xdr:colOff>
      <xdr:row>263</xdr:row>
      <xdr:rowOff>9525</xdr:rowOff>
    </xdr:from>
    <xdr:ext cx="3200400" cy="1333500"/>
    <xdr:pic>
      <xdr:nvPicPr>
        <xdr:cNvPr id="71" name="図 70" descr="https://encrypted-tbn3.gstatic.com/images?q=tbn:ANd9GcRr7E2y7DdjbpHXJlXXcoUxhFfncWS1eLvn2ACUoH4jn7NhT4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43129760"/>
          <a:ext cx="3200400" cy="1333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2</xdr:col>
      <xdr:colOff>552450</xdr:colOff>
      <xdr:row>271</xdr:row>
      <xdr:rowOff>76200</xdr:rowOff>
    </xdr:from>
    <xdr:to>
      <xdr:col>4</xdr:col>
      <xdr:colOff>238125</xdr:colOff>
      <xdr:row>273</xdr:row>
      <xdr:rowOff>9525</xdr:rowOff>
    </xdr:to>
    <xdr:sp macro="" textlink="">
      <xdr:nvSpPr>
        <xdr:cNvPr id="72" name="正方形/長方形 71"/>
        <xdr:cNvSpPr/>
      </xdr:nvSpPr>
      <xdr:spPr>
        <a:xfrm>
          <a:off x="1236009" y="44361847"/>
          <a:ext cx="1052792" cy="224678"/>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314325</xdr:colOff>
      <xdr:row>259</xdr:row>
      <xdr:rowOff>85724</xdr:rowOff>
    </xdr:from>
    <xdr:to>
      <xdr:col>3</xdr:col>
      <xdr:colOff>647700</xdr:colOff>
      <xdr:row>261</xdr:row>
      <xdr:rowOff>114299</xdr:rowOff>
    </xdr:to>
    <xdr:sp macro="" textlink="">
      <xdr:nvSpPr>
        <xdr:cNvPr id="74" name="テキスト ボックス 73"/>
        <xdr:cNvSpPr txBox="1"/>
      </xdr:nvSpPr>
      <xdr:spPr>
        <a:xfrm>
          <a:off x="1681443" y="42556018"/>
          <a:ext cx="1016933" cy="3871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確率密度</a:t>
          </a:r>
        </a:p>
      </xdr:txBody>
    </xdr:sp>
    <xdr:clientData/>
  </xdr:twoCellAnchor>
  <xdr:twoCellAnchor>
    <xdr:from>
      <xdr:col>4</xdr:col>
      <xdr:colOff>676275</xdr:colOff>
      <xdr:row>267</xdr:row>
      <xdr:rowOff>114299</xdr:rowOff>
    </xdr:from>
    <xdr:to>
      <xdr:col>6</xdr:col>
      <xdr:colOff>323850</xdr:colOff>
      <xdr:row>270</xdr:row>
      <xdr:rowOff>76199</xdr:rowOff>
    </xdr:to>
    <xdr:sp macro="" textlink="">
      <xdr:nvSpPr>
        <xdr:cNvPr id="75" name="テキスト ボックス 74"/>
        <xdr:cNvSpPr txBox="1"/>
      </xdr:nvSpPr>
      <xdr:spPr>
        <a:xfrm>
          <a:off x="2726951" y="43817240"/>
          <a:ext cx="1014693" cy="398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νt + σW(t)</a:t>
          </a:r>
          <a:endParaRPr kumimoji="1" lang="ja-JP" altLang="en-US" sz="1100"/>
        </a:p>
      </xdr:txBody>
    </xdr:sp>
    <xdr:clientData/>
  </xdr:twoCellAnchor>
  <xdr:twoCellAnchor>
    <xdr:from>
      <xdr:col>2</xdr:col>
      <xdr:colOff>447675</xdr:colOff>
      <xdr:row>267</xdr:row>
      <xdr:rowOff>76200</xdr:rowOff>
    </xdr:from>
    <xdr:to>
      <xdr:col>3</xdr:col>
      <xdr:colOff>295275</xdr:colOff>
      <xdr:row>267</xdr:row>
      <xdr:rowOff>76200</xdr:rowOff>
    </xdr:to>
    <xdr:cxnSp macro="">
      <xdr:nvCxnSpPr>
        <xdr:cNvPr id="76" name="直線矢印コネクタ 75"/>
        <xdr:cNvCxnSpPr/>
      </xdr:nvCxnSpPr>
      <xdr:spPr>
        <a:xfrm>
          <a:off x="1131234" y="43779141"/>
          <a:ext cx="531159" cy="0"/>
        </a:xfrm>
        <a:prstGeom prst="straightConnector1">
          <a:avLst/>
        </a:prstGeom>
        <a:ln>
          <a:headEnd type="arrow"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333375</xdr:colOff>
      <xdr:row>267</xdr:row>
      <xdr:rowOff>76200</xdr:rowOff>
    </xdr:from>
    <xdr:to>
      <xdr:col>4</xdr:col>
      <xdr:colOff>180975</xdr:colOff>
      <xdr:row>267</xdr:row>
      <xdr:rowOff>76200</xdr:rowOff>
    </xdr:to>
    <xdr:cxnSp macro="">
      <xdr:nvCxnSpPr>
        <xdr:cNvPr id="77" name="直線矢印コネクタ 76"/>
        <xdr:cNvCxnSpPr/>
      </xdr:nvCxnSpPr>
      <xdr:spPr>
        <a:xfrm>
          <a:off x="1700493" y="43779141"/>
          <a:ext cx="531158" cy="0"/>
        </a:xfrm>
        <a:prstGeom prst="straightConnector1">
          <a:avLst/>
        </a:prstGeom>
        <a:ln>
          <a:headEnd type="arrow"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419101</xdr:colOff>
      <xdr:row>267</xdr:row>
      <xdr:rowOff>104775</xdr:rowOff>
    </xdr:from>
    <xdr:to>
      <xdr:col>4</xdr:col>
      <xdr:colOff>342901</xdr:colOff>
      <xdr:row>269</xdr:row>
      <xdr:rowOff>76201</xdr:rowOff>
    </xdr:to>
    <xdr:sp macro="" textlink="">
      <xdr:nvSpPr>
        <xdr:cNvPr id="78" name="テキスト ボックス 77"/>
        <xdr:cNvSpPr txBox="1"/>
      </xdr:nvSpPr>
      <xdr:spPr>
        <a:xfrm>
          <a:off x="1786219" y="43807716"/>
          <a:ext cx="607358" cy="262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latin typeface="+mj-ea"/>
              <a:ea typeface="+mj-ea"/>
            </a:rPr>
            <a:t>σ</a:t>
          </a:r>
          <a:r>
            <a:rPr kumimoji="1" lang="ja-JP" altLang="en-US" sz="1100">
              <a:latin typeface="+mj-ea"/>
              <a:ea typeface="+mj-ea"/>
            </a:rPr>
            <a:t>√</a:t>
          </a:r>
          <a:r>
            <a:rPr kumimoji="1" lang="en-US" altLang="ja-JP" sz="1100">
              <a:latin typeface="+mj-ea"/>
              <a:ea typeface="+mj-ea"/>
            </a:rPr>
            <a:t>t</a:t>
          </a:r>
          <a:endParaRPr kumimoji="1" lang="ja-JP" altLang="en-US" sz="1100">
            <a:latin typeface="+mj-ea"/>
            <a:ea typeface="+mj-ea"/>
          </a:endParaRPr>
        </a:p>
      </xdr:txBody>
    </xdr:sp>
    <xdr:clientData/>
  </xdr:twoCellAnchor>
  <xdr:twoCellAnchor>
    <xdr:from>
      <xdr:col>2</xdr:col>
      <xdr:colOff>542926</xdr:colOff>
      <xdr:row>267</xdr:row>
      <xdr:rowOff>95250</xdr:rowOff>
    </xdr:from>
    <xdr:to>
      <xdr:col>3</xdr:col>
      <xdr:colOff>466726</xdr:colOff>
      <xdr:row>269</xdr:row>
      <xdr:rowOff>66676</xdr:rowOff>
    </xdr:to>
    <xdr:sp macro="" textlink="">
      <xdr:nvSpPr>
        <xdr:cNvPr id="79" name="テキスト ボックス 78"/>
        <xdr:cNvSpPr txBox="1"/>
      </xdr:nvSpPr>
      <xdr:spPr>
        <a:xfrm>
          <a:off x="1226485" y="43798191"/>
          <a:ext cx="607359" cy="262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chemeClr val="dk1"/>
              </a:solidFill>
              <a:effectLst/>
              <a:latin typeface="+mn-lt"/>
              <a:ea typeface="+mn-ea"/>
              <a:cs typeface="+mn-cs"/>
            </a:rPr>
            <a:t>σ</a:t>
          </a:r>
          <a:r>
            <a:rPr kumimoji="1" lang="ja-JP" altLang="en-US" sz="1100">
              <a:latin typeface="+mj-ea"/>
              <a:ea typeface="+mj-ea"/>
            </a:rPr>
            <a:t>√</a:t>
          </a:r>
          <a:r>
            <a:rPr kumimoji="1" lang="en-US" altLang="ja-JP" sz="1100">
              <a:latin typeface="+mj-ea"/>
              <a:ea typeface="+mj-ea"/>
            </a:rPr>
            <a:t>t</a:t>
          </a:r>
          <a:endParaRPr kumimoji="1" lang="ja-JP" altLang="en-US" sz="1100">
            <a:latin typeface="+mj-ea"/>
            <a:ea typeface="+mj-ea"/>
          </a:endParaRPr>
        </a:p>
      </xdr:txBody>
    </xdr:sp>
    <xdr:clientData/>
  </xdr:twoCellAnchor>
  <xdr:twoCellAnchor>
    <xdr:from>
      <xdr:col>8</xdr:col>
      <xdr:colOff>381001</xdr:colOff>
      <xdr:row>256</xdr:row>
      <xdr:rowOff>44263</xdr:rowOff>
    </xdr:from>
    <xdr:to>
      <xdr:col>11</xdr:col>
      <xdr:colOff>100853</xdr:colOff>
      <xdr:row>260</xdr:row>
      <xdr:rowOff>56030</xdr:rowOff>
    </xdr:to>
    <xdr:sp macro="" textlink="">
      <xdr:nvSpPr>
        <xdr:cNvPr id="80" name="テキスト ボックス 79"/>
        <xdr:cNvSpPr txBox="1"/>
      </xdr:nvSpPr>
      <xdr:spPr>
        <a:xfrm>
          <a:off x="5849472" y="42043910"/>
          <a:ext cx="1770528" cy="6617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baseline="0">
              <a:latin typeface="+mj-ea"/>
              <a:ea typeface="+mj-ea"/>
            </a:rPr>
            <a:t> +</a:t>
          </a:r>
          <a:r>
            <a:rPr kumimoji="1" lang="ja-JP" altLang="en-US" sz="2400" baseline="0">
              <a:latin typeface="+mj-ea"/>
              <a:ea typeface="+mj-ea"/>
            </a:rPr>
            <a:t> </a:t>
          </a:r>
          <a:r>
            <a:rPr kumimoji="1" lang="el-GR" altLang="ja-JP" sz="2400" baseline="0">
              <a:latin typeface="+mj-ea"/>
              <a:ea typeface="+mj-ea"/>
            </a:rPr>
            <a:t>ν</a:t>
          </a:r>
          <a:r>
            <a:rPr kumimoji="1" lang="en-US" altLang="ja-JP" sz="2400" baseline="0">
              <a:latin typeface="+mj-ea"/>
              <a:ea typeface="+mj-ea"/>
            </a:rPr>
            <a:t>t</a:t>
          </a:r>
        </a:p>
      </xdr:txBody>
    </xdr:sp>
    <xdr:clientData/>
  </xdr:twoCellAnchor>
  <xdr:twoCellAnchor>
    <xdr:from>
      <xdr:col>2</xdr:col>
      <xdr:colOff>285750</xdr:colOff>
      <xdr:row>259</xdr:row>
      <xdr:rowOff>133350</xdr:rowOff>
    </xdr:from>
    <xdr:to>
      <xdr:col>2</xdr:col>
      <xdr:colOff>304800</xdr:colOff>
      <xdr:row>273</xdr:row>
      <xdr:rowOff>38100</xdr:rowOff>
    </xdr:to>
    <xdr:cxnSp macro="">
      <xdr:nvCxnSpPr>
        <xdr:cNvPr id="64" name="直線矢印コネクタ 63"/>
        <xdr:cNvCxnSpPr/>
      </xdr:nvCxnSpPr>
      <xdr:spPr>
        <a:xfrm>
          <a:off x="1652868" y="45349085"/>
          <a:ext cx="19050" cy="2011456"/>
        </a:xfrm>
        <a:prstGeom prst="straightConnector1">
          <a:avLst/>
        </a:prstGeom>
        <a:ln w="19050">
          <a:solidFill>
            <a:schemeClr val="bg1"/>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281267</xdr:colOff>
      <xdr:row>241</xdr:row>
      <xdr:rowOff>117662</xdr:rowOff>
    </xdr:from>
    <xdr:to>
      <xdr:col>2</xdr:col>
      <xdr:colOff>300317</xdr:colOff>
      <xdr:row>255</xdr:row>
      <xdr:rowOff>22412</xdr:rowOff>
    </xdr:to>
    <xdr:cxnSp macro="">
      <xdr:nvCxnSpPr>
        <xdr:cNvPr id="81" name="直線矢印コネクタ 80"/>
        <xdr:cNvCxnSpPr/>
      </xdr:nvCxnSpPr>
      <xdr:spPr>
        <a:xfrm>
          <a:off x="1648385" y="42587956"/>
          <a:ext cx="19050" cy="2011456"/>
        </a:xfrm>
        <a:prstGeom prst="straightConnector1">
          <a:avLst/>
        </a:prstGeom>
        <a:ln w="28575">
          <a:solidFill>
            <a:schemeClr val="tx1"/>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444873</xdr:colOff>
      <xdr:row>260</xdr:row>
      <xdr:rowOff>79563</xdr:rowOff>
    </xdr:from>
    <xdr:to>
      <xdr:col>1</xdr:col>
      <xdr:colOff>463923</xdr:colOff>
      <xdr:row>274</xdr:row>
      <xdr:rowOff>17930</xdr:rowOff>
    </xdr:to>
    <xdr:cxnSp macro="">
      <xdr:nvCxnSpPr>
        <xdr:cNvPr id="82" name="直線矢印コネクタ 81"/>
        <xdr:cNvCxnSpPr/>
      </xdr:nvCxnSpPr>
      <xdr:spPr>
        <a:xfrm>
          <a:off x="1128432" y="45474592"/>
          <a:ext cx="19050" cy="2011456"/>
        </a:xfrm>
        <a:prstGeom prst="straightConnector1">
          <a:avLst/>
        </a:prstGeom>
        <a:ln w="28575">
          <a:solidFill>
            <a:schemeClr val="tx1"/>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174811</xdr:colOff>
      <xdr:row>254</xdr:row>
      <xdr:rowOff>17929</xdr:rowOff>
    </xdr:from>
    <xdr:to>
      <xdr:col>8</xdr:col>
      <xdr:colOff>286870</xdr:colOff>
      <xdr:row>264</xdr:row>
      <xdr:rowOff>6724</xdr:rowOff>
    </xdr:to>
    <xdr:sp macro="" textlink="">
      <xdr:nvSpPr>
        <xdr:cNvPr id="83" name="左カーブ矢印 82"/>
        <xdr:cNvSpPr/>
      </xdr:nvSpPr>
      <xdr:spPr>
        <a:xfrm>
          <a:off x="4959723" y="44449253"/>
          <a:ext cx="795618" cy="1568824"/>
        </a:xfrm>
        <a:prstGeom prst="curvedLeftArrow">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xdr:col>
      <xdr:colOff>71437</xdr:colOff>
      <xdr:row>375</xdr:row>
      <xdr:rowOff>338139</xdr:rowOff>
    </xdr:from>
    <xdr:to>
      <xdr:col>2</xdr:col>
      <xdr:colOff>619124</xdr:colOff>
      <xdr:row>377</xdr:row>
      <xdr:rowOff>57153</xdr:rowOff>
    </xdr:to>
    <xdr:sp macro="" textlink="">
      <xdr:nvSpPr>
        <xdr:cNvPr id="5" name="右中かっこ 4"/>
        <xdr:cNvSpPr/>
      </xdr:nvSpPr>
      <xdr:spPr>
        <a:xfrm rot="5400000">
          <a:off x="1262061" y="58640665"/>
          <a:ext cx="223839" cy="1233487"/>
        </a:xfrm>
        <a:prstGeom prst="rightBrace">
          <a:avLst/>
        </a:prstGeom>
      </xdr:spPr>
      <xdr:style>
        <a:lnRef idx="2">
          <a:schemeClr val="dk1"/>
        </a:lnRef>
        <a:fillRef idx="0">
          <a:schemeClr val="dk1"/>
        </a:fillRef>
        <a:effectRef idx="1">
          <a:schemeClr val="dk1"/>
        </a:effectRef>
        <a:fontRef idx="minor">
          <a:schemeClr val="tx1"/>
        </a:fontRef>
      </xdr:style>
      <xdr:txBody>
        <a:bodyPr vertOverflow="clip" horzOverflow="clip" rtlCol="0" anchor="t"/>
        <a:lstStyle/>
        <a:p>
          <a:pPr algn="l"/>
          <a:endParaRPr kumimoji="1" lang="ja-JP" altLang="en-US" sz="1100">
            <a:solidFill>
              <a:schemeClr val="tx1">
                <a:lumMod val="95000"/>
                <a:lumOff val="5000"/>
              </a:schemeClr>
            </a:solidFill>
          </a:endParaRPr>
        </a:p>
      </xdr:txBody>
    </xdr:sp>
    <xdr:clientData/>
  </xdr:twoCellAnchor>
  <xdr:twoCellAnchor>
    <xdr:from>
      <xdr:col>3</xdr:col>
      <xdr:colOff>623887</xdr:colOff>
      <xdr:row>375</xdr:row>
      <xdr:rowOff>357189</xdr:rowOff>
    </xdr:from>
    <xdr:to>
      <xdr:col>5</xdr:col>
      <xdr:colOff>485774</xdr:colOff>
      <xdr:row>377</xdr:row>
      <xdr:rowOff>76203</xdr:rowOff>
    </xdr:to>
    <xdr:sp macro="" textlink="">
      <xdr:nvSpPr>
        <xdr:cNvPr id="84" name="右中かっこ 83"/>
        <xdr:cNvSpPr/>
      </xdr:nvSpPr>
      <xdr:spPr>
        <a:xfrm rot="5400000">
          <a:off x="3186111" y="58659715"/>
          <a:ext cx="223839" cy="1233487"/>
        </a:xfrm>
        <a:prstGeom prst="rightBrace">
          <a:avLst/>
        </a:prstGeom>
      </xdr:spPr>
      <xdr:style>
        <a:lnRef idx="2">
          <a:schemeClr val="dk1"/>
        </a:lnRef>
        <a:fillRef idx="0">
          <a:schemeClr val="dk1"/>
        </a:fillRef>
        <a:effectRef idx="1">
          <a:schemeClr val="dk1"/>
        </a:effectRef>
        <a:fontRef idx="minor">
          <a:schemeClr val="tx1"/>
        </a:fontRef>
      </xdr:style>
      <xdr:txBody>
        <a:bodyPr vertOverflow="clip" horzOverflow="clip" rtlCol="0" anchor="t"/>
        <a:lstStyle/>
        <a:p>
          <a:pPr algn="l"/>
          <a:endParaRPr kumimoji="1" lang="ja-JP" altLang="en-US" sz="1100">
            <a:solidFill>
              <a:schemeClr val="tx1">
                <a:lumMod val="95000"/>
                <a:lumOff val="5000"/>
              </a:schemeClr>
            </a:solidFill>
          </a:endParaRPr>
        </a:p>
      </xdr:txBody>
    </xdr:sp>
    <xdr:clientData/>
  </xdr:twoCellAnchor>
  <xdr:oneCellAnchor>
    <xdr:from>
      <xdr:col>1</xdr:col>
      <xdr:colOff>304800</xdr:colOff>
      <xdr:row>378</xdr:row>
      <xdr:rowOff>28575</xdr:rowOff>
    </xdr:from>
    <xdr:ext cx="886012" cy="325730"/>
    <xdr:sp macro="" textlink="">
      <xdr:nvSpPr>
        <xdr:cNvPr id="9" name="テキスト ボックス 8"/>
        <xdr:cNvSpPr txBox="1"/>
      </xdr:nvSpPr>
      <xdr:spPr>
        <a:xfrm>
          <a:off x="990600" y="59483625"/>
          <a:ext cx="886012"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a:t>ドリフト項</a:t>
          </a:r>
        </a:p>
      </xdr:txBody>
    </xdr:sp>
    <xdr:clientData/>
  </xdr:oneCellAnchor>
  <xdr:oneCellAnchor>
    <xdr:from>
      <xdr:col>4</xdr:col>
      <xdr:colOff>190500</xdr:colOff>
      <xdr:row>378</xdr:row>
      <xdr:rowOff>47625</xdr:rowOff>
    </xdr:from>
    <xdr:ext cx="723275" cy="325730"/>
    <xdr:sp macro="" textlink="">
      <xdr:nvSpPr>
        <xdr:cNvPr id="85" name="テキスト ボックス 84"/>
        <xdr:cNvSpPr txBox="1"/>
      </xdr:nvSpPr>
      <xdr:spPr>
        <a:xfrm>
          <a:off x="2933700" y="59502675"/>
          <a:ext cx="723275"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a:t>拡散項</a:t>
          </a:r>
        </a:p>
      </xdr:txBody>
    </xdr:sp>
    <xdr:clientData/>
  </xdr:oneCellAnchor>
  <xdr:twoCellAnchor>
    <xdr:from>
      <xdr:col>0</xdr:col>
      <xdr:colOff>390525</xdr:colOff>
      <xdr:row>483</xdr:row>
      <xdr:rowOff>0</xdr:rowOff>
    </xdr:from>
    <xdr:to>
      <xdr:col>2</xdr:col>
      <xdr:colOff>152400</xdr:colOff>
      <xdr:row>487</xdr:row>
      <xdr:rowOff>66675</xdr:rowOff>
    </xdr:to>
    <xdr:cxnSp macro="">
      <xdr:nvCxnSpPr>
        <xdr:cNvPr id="23" name="直線矢印コネクタ 22"/>
        <xdr:cNvCxnSpPr/>
      </xdr:nvCxnSpPr>
      <xdr:spPr>
        <a:xfrm flipV="1">
          <a:off x="390525" y="75190350"/>
          <a:ext cx="1133475" cy="6381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381000</xdr:colOff>
      <xdr:row>487</xdr:row>
      <xdr:rowOff>66675</xdr:rowOff>
    </xdr:from>
    <xdr:to>
      <xdr:col>2</xdr:col>
      <xdr:colOff>171450</xdr:colOff>
      <xdr:row>490</xdr:row>
      <xdr:rowOff>104775</xdr:rowOff>
    </xdr:to>
    <xdr:cxnSp macro="">
      <xdr:nvCxnSpPr>
        <xdr:cNvPr id="86" name="直線矢印コネクタ 85"/>
        <xdr:cNvCxnSpPr/>
      </xdr:nvCxnSpPr>
      <xdr:spPr>
        <a:xfrm>
          <a:off x="381000" y="75828525"/>
          <a:ext cx="1162050" cy="4667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0</xdr:col>
      <xdr:colOff>142876</xdr:colOff>
      <xdr:row>486</xdr:row>
      <xdr:rowOff>104775</xdr:rowOff>
    </xdr:from>
    <xdr:ext cx="476250" cy="264560"/>
    <xdr:sp macro="" textlink="">
      <xdr:nvSpPr>
        <xdr:cNvPr id="88" name="テキスト ボックス 87"/>
        <xdr:cNvSpPr txBox="1"/>
      </xdr:nvSpPr>
      <xdr:spPr>
        <a:xfrm>
          <a:off x="142876" y="75723750"/>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S</a:t>
          </a:r>
          <a:endParaRPr kumimoji="1" lang="ja-JP" altLang="en-US" sz="1100"/>
        </a:p>
      </xdr:txBody>
    </xdr:sp>
    <xdr:clientData/>
  </xdr:oneCellAnchor>
  <xdr:twoCellAnchor>
    <xdr:from>
      <xdr:col>3</xdr:col>
      <xdr:colOff>142875</xdr:colOff>
      <xdr:row>485</xdr:row>
      <xdr:rowOff>85725</xdr:rowOff>
    </xdr:from>
    <xdr:to>
      <xdr:col>5</xdr:col>
      <xdr:colOff>514350</xdr:colOff>
      <xdr:row>487</xdr:row>
      <xdr:rowOff>114300</xdr:rowOff>
    </xdr:to>
    <xdr:sp macro="" textlink="">
      <xdr:nvSpPr>
        <xdr:cNvPr id="89" name="右矢印 88"/>
        <xdr:cNvSpPr/>
      </xdr:nvSpPr>
      <xdr:spPr>
        <a:xfrm>
          <a:off x="2200275" y="75571350"/>
          <a:ext cx="1743075" cy="314325"/>
        </a:xfrm>
        <a:prstGeom prst="rightArrow">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200026</xdr:colOff>
      <xdr:row>482</xdr:row>
      <xdr:rowOff>9525</xdr:rowOff>
    </xdr:from>
    <xdr:ext cx="476250" cy="264560"/>
    <xdr:sp macro="" textlink="">
      <xdr:nvSpPr>
        <xdr:cNvPr id="90" name="テキスト ボックス 89"/>
        <xdr:cNvSpPr txBox="1"/>
      </xdr:nvSpPr>
      <xdr:spPr>
        <a:xfrm>
          <a:off x="1571626" y="75057000"/>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uS</a:t>
          </a:r>
          <a:endParaRPr kumimoji="1" lang="ja-JP" altLang="en-US" sz="1100"/>
        </a:p>
      </xdr:txBody>
    </xdr:sp>
    <xdr:clientData/>
  </xdr:oneCellAnchor>
  <xdr:oneCellAnchor>
    <xdr:from>
      <xdr:col>2</xdr:col>
      <xdr:colOff>200026</xdr:colOff>
      <xdr:row>489</xdr:row>
      <xdr:rowOff>104775</xdr:rowOff>
    </xdr:from>
    <xdr:ext cx="476250" cy="264560"/>
    <xdr:sp macro="" textlink="">
      <xdr:nvSpPr>
        <xdr:cNvPr id="91" name="テキスト ボックス 90"/>
        <xdr:cNvSpPr txBox="1"/>
      </xdr:nvSpPr>
      <xdr:spPr>
        <a:xfrm>
          <a:off x="1571626" y="7615237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dS</a:t>
          </a:r>
          <a:endParaRPr kumimoji="1" lang="ja-JP" altLang="en-US" sz="1100"/>
        </a:p>
      </xdr:txBody>
    </xdr:sp>
    <xdr:clientData/>
  </xdr:oneCellAnchor>
  <xdr:oneCellAnchor>
    <xdr:from>
      <xdr:col>1</xdr:col>
      <xdr:colOff>95251</xdr:colOff>
      <xdr:row>482</xdr:row>
      <xdr:rowOff>114300</xdr:rowOff>
    </xdr:from>
    <xdr:ext cx="476250" cy="264560"/>
    <xdr:sp macro="" textlink="">
      <xdr:nvSpPr>
        <xdr:cNvPr id="92" name="テキスト ボックス 91"/>
        <xdr:cNvSpPr txBox="1"/>
      </xdr:nvSpPr>
      <xdr:spPr>
        <a:xfrm>
          <a:off x="781051" y="7516177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1/2</a:t>
          </a:r>
          <a:endParaRPr kumimoji="1" lang="ja-JP" altLang="en-US" sz="1100"/>
        </a:p>
      </xdr:txBody>
    </xdr:sp>
    <xdr:clientData/>
  </xdr:oneCellAnchor>
  <xdr:oneCellAnchor>
    <xdr:from>
      <xdr:col>1</xdr:col>
      <xdr:colOff>47626</xdr:colOff>
      <xdr:row>489</xdr:row>
      <xdr:rowOff>38100</xdr:rowOff>
    </xdr:from>
    <xdr:ext cx="476250" cy="264560"/>
    <xdr:sp macro="" textlink="">
      <xdr:nvSpPr>
        <xdr:cNvPr id="93" name="テキスト ボックス 92"/>
        <xdr:cNvSpPr txBox="1"/>
      </xdr:nvSpPr>
      <xdr:spPr>
        <a:xfrm>
          <a:off x="733426" y="76085700"/>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1/2</a:t>
          </a:r>
          <a:endParaRPr kumimoji="1" lang="ja-JP" altLang="en-US" sz="1100"/>
        </a:p>
      </xdr:txBody>
    </xdr:sp>
    <xdr:clientData/>
  </xdr:oneCellAnchor>
  <xdr:twoCellAnchor>
    <xdr:from>
      <xdr:col>0</xdr:col>
      <xdr:colOff>390525</xdr:colOff>
      <xdr:row>493</xdr:row>
      <xdr:rowOff>114300</xdr:rowOff>
    </xdr:from>
    <xdr:to>
      <xdr:col>2</xdr:col>
      <xdr:colOff>247650</xdr:colOff>
      <xdr:row>493</xdr:row>
      <xdr:rowOff>114300</xdr:rowOff>
    </xdr:to>
    <xdr:cxnSp macro="">
      <xdr:nvCxnSpPr>
        <xdr:cNvPr id="95" name="直線矢印コネクタ 94"/>
        <xdr:cNvCxnSpPr/>
      </xdr:nvCxnSpPr>
      <xdr:spPr>
        <a:xfrm>
          <a:off x="390525" y="76733400"/>
          <a:ext cx="1228725" cy="0"/>
        </a:xfrm>
        <a:prstGeom prst="straightConnector1">
          <a:avLst/>
        </a:prstGeom>
        <a:ln>
          <a:prstDash val="dash"/>
          <a:headEnd type="arrow"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238126</xdr:colOff>
      <xdr:row>493</xdr:row>
      <xdr:rowOff>133350</xdr:rowOff>
    </xdr:from>
    <xdr:ext cx="476250" cy="264560"/>
    <xdr:sp macro="" textlink="">
      <xdr:nvSpPr>
        <xdr:cNvPr id="96" name="テキスト ボックス 95"/>
        <xdr:cNvSpPr txBox="1"/>
      </xdr:nvSpPr>
      <xdr:spPr>
        <a:xfrm>
          <a:off x="923926" y="76752450"/>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dt</a:t>
          </a:r>
          <a:endParaRPr kumimoji="1" lang="ja-JP" altLang="en-US" sz="1100"/>
        </a:p>
      </xdr:txBody>
    </xdr:sp>
    <xdr:clientData/>
  </xdr:oneCellAnchor>
  <xdr:twoCellAnchor>
    <xdr:from>
      <xdr:col>6</xdr:col>
      <xdr:colOff>285750</xdr:colOff>
      <xdr:row>485</xdr:row>
      <xdr:rowOff>28575</xdr:rowOff>
    </xdr:from>
    <xdr:to>
      <xdr:col>7</xdr:col>
      <xdr:colOff>295275</xdr:colOff>
      <xdr:row>488</xdr:row>
      <xdr:rowOff>0</xdr:rowOff>
    </xdr:to>
    <xdr:cxnSp macro="">
      <xdr:nvCxnSpPr>
        <xdr:cNvPr id="97" name="直線矢印コネクタ 96"/>
        <xdr:cNvCxnSpPr/>
      </xdr:nvCxnSpPr>
      <xdr:spPr>
        <a:xfrm flipV="1">
          <a:off x="285750" y="18611850"/>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295275</xdr:colOff>
      <xdr:row>488</xdr:row>
      <xdr:rowOff>0</xdr:rowOff>
    </xdr:from>
    <xdr:to>
      <xdr:col>7</xdr:col>
      <xdr:colOff>304800</xdr:colOff>
      <xdr:row>490</xdr:row>
      <xdr:rowOff>114300</xdr:rowOff>
    </xdr:to>
    <xdr:cxnSp macro="">
      <xdr:nvCxnSpPr>
        <xdr:cNvPr id="98" name="直線矢印コネクタ 97"/>
        <xdr:cNvCxnSpPr/>
      </xdr:nvCxnSpPr>
      <xdr:spPr>
        <a:xfrm>
          <a:off x="295275" y="19011900"/>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438150</xdr:colOff>
      <xdr:row>485</xdr:row>
      <xdr:rowOff>19050</xdr:rowOff>
    </xdr:from>
    <xdr:to>
      <xdr:col>9</xdr:col>
      <xdr:colOff>447675</xdr:colOff>
      <xdr:row>487</xdr:row>
      <xdr:rowOff>133350</xdr:rowOff>
    </xdr:to>
    <xdr:cxnSp macro="">
      <xdr:nvCxnSpPr>
        <xdr:cNvPr id="99" name="直線矢印コネクタ 98"/>
        <xdr:cNvCxnSpPr/>
      </xdr:nvCxnSpPr>
      <xdr:spPr>
        <a:xfrm flipV="1">
          <a:off x="1809750" y="18602325"/>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447675</xdr:colOff>
      <xdr:row>487</xdr:row>
      <xdr:rowOff>133350</xdr:rowOff>
    </xdr:from>
    <xdr:to>
      <xdr:col>9</xdr:col>
      <xdr:colOff>457200</xdr:colOff>
      <xdr:row>490</xdr:row>
      <xdr:rowOff>104775</xdr:rowOff>
    </xdr:to>
    <xdr:cxnSp macro="">
      <xdr:nvCxnSpPr>
        <xdr:cNvPr id="100" name="直線矢印コネクタ 99"/>
        <xdr:cNvCxnSpPr/>
      </xdr:nvCxnSpPr>
      <xdr:spPr>
        <a:xfrm>
          <a:off x="1819275" y="19002375"/>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504825</xdr:colOff>
      <xdr:row>484</xdr:row>
      <xdr:rowOff>123825</xdr:rowOff>
    </xdr:from>
    <xdr:to>
      <xdr:col>12</xdr:col>
      <xdr:colOff>514350</xdr:colOff>
      <xdr:row>487</xdr:row>
      <xdr:rowOff>95250</xdr:rowOff>
    </xdr:to>
    <xdr:cxnSp macro="">
      <xdr:nvCxnSpPr>
        <xdr:cNvPr id="101" name="直線矢印コネクタ 100"/>
        <xdr:cNvCxnSpPr/>
      </xdr:nvCxnSpPr>
      <xdr:spPr>
        <a:xfrm flipV="1">
          <a:off x="3933825" y="18564225"/>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514350</xdr:colOff>
      <xdr:row>487</xdr:row>
      <xdr:rowOff>95250</xdr:rowOff>
    </xdr:from>
    <xdr:to>
      <xdr:col>12</xdr:col>
      <xdr:colOff>523875</xdr:colOff>
      <xdr:row>490</xdr:row>
      <xdr:rowOff>66675</xdr:rowOff>
    </xdr:to>
    <xdr:cxnSp macro="">
      <xdr:nvCxnSpPr>
        <xdr:cNvPr id="102" name="直線矢印コネクタ 101"/>
        <xdr:cNvCxnSpPr/>
      </xdr:nvCxnSpPr>
      <xdr:spPr>
        <a:xfrm>
          <a:off x="3943350" y="18964275"/>
          <a:ext cx="695325"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304800</xdr:colOff>
      <xdr:row>484</xdr:row>
      <xdr:rowOff>0</xdr:rowOff>
    </xdr:from>
    <xdr:to>
      <xdr:col>8</xdr:col>
      <xdr:colOff>342900</xdr:colOff>
      <xdr:row>486</xdr:row>
      <xdr:rowOff>9525</xdr:rowOff>
    </xdr:to>
    <xdr:sp macro="" textlink="">
      <xdr:nvSpPr>
        <xdr:cNvPr id="103" name="テキスト ボックス 102"/>
        <xdr:cNvSpPr txBox="1"/>
      </xdr:nvSpPr>
      <xdr:spPr>
        <a:xfrm>
          <a:off x="990600" y="18440400"/>
          <a:ext cx="723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u×S</a:t>
          </a:r>
          <a:endParaRPr kumimoji="1" lang="ja-JP" altLang="en-US" sz="1100"/>
        </a:p>
      </xdr:txBody>
    </xdr:sp>
    <xdr:clientData/>
  </xdr:twoCellAnchor>
  <xdr:twoCellAnchor>
    <xdr:from>
      <xdr:col>7</xdr:col>
      <xdr:colOff>295275</xdr:colOff>
      <xdr:row>489</xdr:row>
      <xdr:rowOff>95250</xdr:rowOff>
    </xdr:from>
    <xdr:to>
      <xdr:col>8</xdr:col>
      <xdr:colOff>333375</xdr:colOff>
      <xdr:row>491</xdr:row>
      <xdr:rowOff>104775</xdr:rowOff>
    </xdr:to>
    <xdr:sp macro="" textlink="">
      <xdr:nvSpPr>
        <xdr:cNvPr id="104" name="テキスト ボックス 103"/>
        <xdr:cNvSpPr txBox="1"/>
      </xdr:nvSpPr>
      <xdr:spPr>
        <a:xfrm>
          <a:off x="981075" y="19250025"/>
          <a:ext cx="723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d×S</a:t>
          </a:r>
          <a:endParaRPr kumimoji="1" lang="ja-JP" altLang="en-US" sz="1100"/>
        </a:p>
      </xdr:txBody>
    </xdr:sp>
    <xdr:clientData/>
  </xdr:twoCellAnchor>
  <xdr:twoCellAnchor>
    <xdr:from>
      <xdr:col>6</xdr:col>
      <xdr:colOff>0</xdr:colOff>
      <xdr:row>488</xdr:row>
      <xdr:rowOff>28575</xdr:rowOff>
    </xdr:from>
    <xdr:to>
      <xdr:col>7</xdr:col>
      <xdr:colOff>38100</xdr:colOff>
      <xdr:row>490</xdr:row>
      <xdr:rowOff>38100</xdr:rowOff>
    </xdr:to>
    <xdr:sp macro="" textlink="">
      <xdr:nvSpPr>
        <xdr:cNvPr id="105" name="テキスト ボックス 104"/>
        <xdr:cNvSpPr txBox="1"/>
      </xdr:nvSpPr>
      <xdr:spPr>
        <a:xfrm>
          <a:off x="0" y="19040475"/>
          <a:ext cx="723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S</a:t>
          </a:r>
          <a:endParaRPr kumimoji="1" lang="ja-JP" altLang="en-US" sz="1100"/>
        </a:p>
      </xdr:txBody>
    </xdr:sp>
    <xdr:clientData/>
  </xdr:twoCellAnchor>
  <xdr:twoCellAnchor>
    <xdr:from>
      <xdr:col>8</xdr:col>
      <xdr:colOff>314325</xdr:colOff>
      <xdr:row>487</xdr:row>
      <xdr:rowOff>104775</xdr:rowOff>
    </xdr:from>
    <xdr:to>
      <xdr:col>9</xdr:col>
      <xdr:colOff>352425</xdr:colOff>
      <xdr:row>489</xdr:row>
      <xdr:rowOff>114300</xdr:rowOff>
    </xdr:to>
    <xdr:sp macro="" textlink="">
      <xdr:nvSpPr>
        <xdr:cNvPr id="106" name="テキスト ボックス 105"/>
        <xdr:cNvSpPr txBox="1"/>
      </xdr:nvSpPr>
      <xdr:spPr>
        <a:xfrm>
          <a:off x="1685925" y="18973800"/>
          <a:ext cx="7239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endParaRPr kumimoji="1" lang="ja-JP" altLang="en-US" sz="1100"/>
        </a:p>
      </xdr:txBody>
    </xdr:sp>
    <xdr:clientData/>
  </xdr:twoCellAnchor>
  <xdr:twoCellAnchor>
    <xdr:from>
      <xdr:col>9</xdr:col>
      <xdr:colOff>457198</xdr:colOff>
      <xdr:row>484</xdr:row>
      <xdr:rowOff>28575</xdr:rowOff>
    </xdr:from>
    <xdr:to>
      <xdr:col>11</xdr:col>
      <xdr:colOff>533400</xdr:colOff>
      <xdr:row>486</xdr:row>
      <xdr:rowOff>38100</xdr:rowOff>
    </xdr:to>
    <xdr:sp macro="" textlink="">
      <xdr:nvSpPr>
        <xdr:cNvPr id="107" name="テキスト ボックス 106"/>
        <xdr:cNvSpPr txBox="1"/>
      </xdr:nvSpPr>
      <xdr:spPr>
        <a:xfrm>
          <a:off x="2514598" y="18468975"/>
          <a:ext cx="144780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R ( = 1 +</a:t>
          </a:r>
          <a:r>
            <a:rPr kumimoji="1" lang="en-US" altLang="ja-JP" sz="1100" baseline="0"/>
            <a:t> r )</a:t>
          </a:r>
          <a:endParaRPr kumimoji="1" lang="ja-JP" altLang="en-US" sz="1100"/>
        </a:p>
      </xdr:txBody>
    </xdr:sp>
    <xdr:clientData/>
  </xdr:twoCellAnchor>
  <xdr:twoCellAnchor>
    <xdr:from>
      <xdr:col>9</xdr:col>
      <xdr:colOff>419098</xdr:colOff>
      <xdr:row>489</xdr:row>
      <xdr:rowOff>123825</xdr:rowOff>
    </xdr:from>
    <xdr:to>
      <xdr:col>11</xdr:col>
      <xdr:colOff>495300</xdr:colOff>
      <xdr:row>491</xdr:row>
      <xdr:rowOff>133350</xdr:rowOff>
    </xdr:to>
    <xdr:sp macro="" textlink="">
      <xdr:nvSpPr>
        <xdr:cNvPr id="108" name="テキスト ボックス 107"/>
        <xdr:cNvSpPr txBox="1"/>
      </xdr:nvSpPr>
      <xdr:spPr>
        <a:xfrm>
          <a:off x="2476498" y="19278600"/>
          <a:ext cx="144780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chemeClr val="dk1"/>
              </a:solidFill>
              <a:effectLst/>
              <a:latin typeface="+mn-lt"/>
              <a:ea typeface="+mn-ea"/>
              <a:cs typeface="+mn-cs"/>
            </a:rPr>
            <a:t>R ( = 1 +</a:t>
          </a:r>
          <a:r>
            <a:rPr kumimoji="1" lang="en-US" altLang="ja-JP" sz="1100" baseline="0">
              <a:solidFill>
                <a:schemeClr val="dk1"/>
              </a:solidFill>
              <a:effectLst/>
              <a:latin typeface="+mn-lt"/>
              <a:ea typeface="+mn-ea"/>
              <a:cs typeface="+mn-cs"/>
            </a:rPr>
            <a:t> r )</a:t>
          </a:r>
          <a:endParaRPr kumimoji="1" lang="ja-JP" altLang="en-US" sz="1100"/>
        </a:p>
      </xdr:txBody>
    </xdr:sp>
    <xdr:clientData/>
  </xdr:twoCellAnchor>
  <xdr:twoCellAnchor>
    <xdr:from>
      <xdr:col>12</xdr:col>
      <xdr:colOff>552448</xdr:colOff>
      <xdr:row>484</xdr:row>
      <xdr:rowOff>9525</xdr:rowOff>
    </xdr:from>
    <xdr:to>
      <xdr:col>14</xdr:col>
      <xdr:colOff>628650</xdr:colOff>
      <xdr:row>486</xdr:row>
      <xdr:rowOff>19050</xdr:rowOff>
    </xdr:to>
    <xdr:sp macro="" textlink="">
      <xdr:nvSpPr>
        <xdr:cNvPr id="109" name="テキスト ボックス 108"/>
        <xdr:cNvSpPr txBox="1"/>
      </xdr:nvSpPr>
      <xdr:spPr>
        <a:xfrm>
          <a:off x="4667248" y="18449925"/>
          <a:ext cx="144780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aseline="0"/>
            <a:t>Cu </a:t>
          </a:r>
          <a:endParaRPr kumimoji="1" lang="ja-JP" altLang="en-US" sz="1100"/>
        </a:p>
      </xdr:txBody>
    </xdr:sp>
    <xdr:clientData/>
  </xdr:twoCellAnchor>
  <xdr:twoCellAnchor>
    <xdr:from>
      <xdr:col>12</xdr:col>
      <xdr:colOff>571498</xdr:colOff>
      <xdr:row>489</xdr:row>
      <xdr:rowOff>66675</xdr:rowOff>
    </xdr:from>
    <xdr:to>
      <xdr:col>14</xdr:col>
      <xdr:colOff>647700</xdr:colOff>
      <xdr:row>491</xdr:row>
      <xdr:rowOff>76200</xdr:rowOff>
    </xdr:to>
    <xdr:sp macro="" textlink="">
      <xdr:nvSpPr>
        <xdr:cNvPr id="110" name="テキスト ボックス 109"/>
        <xdr:cNvSpPr txBox="1"/>
      </xdr:nvSpPr>
      <xdr:spPr>
        <a:xfrm>
          <a:off x="4686298" y="19221450"/>
          <a:ext cx="144780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Cd</a:t>
          </a:r>
          <a:endParaRPr kumimoji="1" lang="ja-JP" altLang="en-US" sz="1100"/>
        </a:p>
      </xdr:txBody>
    </xdr:sp>
    <xdr:clientData/>
  </xdr:twoCellAnchor>
  <xdr:oneCellAnchor>
    <xdr:from>
      <xdr:col>15</xdr:col>
      <xdr:colOff>19050</xdr:colOff>
      <xdr:row>493</xdr:row>
      <xdr:rowOff>38100</xdr:rowOff>
    </xdr:from>
    <xdr:ext cx="184731" cy="264560"/>
    <xdr:sp macro="" textlink="">
      <xdr:nvSpPr>
        <xdr:cNvPr id="111" name="テキスト ボックス 110"/>
        <xdr:cNvSpPr txBox="1"/>
      </xdr:nvSpPr>
      <xdr:spPr>
        <a:xfrm>
          <a:off x="6191250" y="197643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twoCellAnchor>
    <xdr:from>
      <xdr:col>8</xdr:col>
      <xdr:colOff>409574</xdr:colOff>
      <xdr:row>508</xdr:row>
      <xdr:rowOff>133352</xdr:rowOff>
    </xdr:from>
    <xdr:to>
      <xdr:col>9</xdr:col>
      <xdr:colOff>257174</xdr:colOff>
      <xdr:row>514</xdr:row>
      <xdr:rowOff>19052</xdr:rowOff>
    </xdr:to>
    <xdr:sp macro="" textlink="">
      <xdr:nvSpPr>
        <xdr:cNvPr id="112" name="右矢印 111"/>
        <xdr:cNvSpPr/>
      </xdr:nvSpPr>
      <xdr:spPr>
        <a:xfrm rot="5400000">
          <a:off x="5791199" y="79181327"/>
          <a:ext cx="742950" cy="533400"/>
        </a:xfrm>
        <a:prstGeom prst="rightArrow">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390525</xdr:colOff>
      <xdr:row>547</xdr:row>
      <xdr:rowOff>0</xdr:rowOff>
    </xdr:from>
    <xdr:to>
      <xdr:col>6</xdr:col>
      <xdr:colOff>152400</xdr:colOff>
      <xdr:row>551</xdr:row>
      <xdr:rowOff>66675</xdr:rowOff>
    </xdr:to>
    <xdr:cxnSp macro="">
      <xdr:nvCxnSpPr>
        <xdr:cNvPr id="113" name="直線矢印コネクタ 112"/>
        <xdr:cNvCxnSpPr/>
      </xdr:nvCxnSpPr>
      <xdr:spPr>
        <a:xfrm flipV="1">
          <a:off x="390525" y="75199875"/>
          <a:ext cx="1133475" cy="6381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381000</xdr:colOff>
      <xdr:row>551</xdr:row>
      <xdr:rowOff>66675</xdr:rowOff>
    </xdr:from>
    <xdr:to>
      <xdr:col>6</xdr:col>
      <xdr:colOff>171450</xdr:colOff>
      <xdr:row>554</xdr:row>
      <xdr:rowOff>104775</xdr:rowOff>
    </xdr:to>
    <xdr:cxnSp macro="">
      <xdr:nvCxnSpPr>
        <xdr:cNvPr id="114" name="直線矢印コネクタ 113"/>
        <xdr:cNvCxnSpPr/>
      </xdr:nvCxnSpPr>
      <xdr:spPr>
        <a:xfrm>
          <a:off x="381000" y="75838050"/>
          <a:ext cx="1162050" cy="4667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4</xdr:col>
      <xdr:colOff>142876</xdr:colOff>
      <xdr:row>550</xdr:row>
      <xdr:rowOff>104775</xdr:rowOff>
    </xdr:from>
    <xdr:ext cx="476250" cy="264560"/>
    <xdr:sp macro="" textlink="">
      <xdr:nvSpPr>
        <xdr:cNvPr id="115" name="テキスト ボックス 114"/>
        <xdr:cNvSpPr txBox="1"/>
      </xdr:nvSpPr>
      <xdr:spPr>
        <a:xfrm>
          <a:off x="142876" y="7573327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S</a:t>
          </a:r>
          <a:endParaRPr kumimoji="1" lang="ja-JP" altLang="en-US" sz="1100"/>
        </a:p>
      </xdr:txBody>
    </xdr:sp>
    <xdr:clientData/>
  </xdr:oneCellAnchor>
  <xdr:oneCellAnchor>
    <xdr:from>
      <xdr:col>6</xdr:col>
      <xdr:colOff>200026</xdr:colOff>
      <xdr:row>546</xdr:row>
      <xdr:rowOff>9525</xdr:rowOff>
    </xdr:from>
    <xdr:ext cx="476250" cy="264560"/>
    <xdr:sp macro="" textlink="">
      <xdr:nvSpPr>
        <xdr:cNvPr id="117" name="テキスト ボックス 116"/>
        <xdr:cNvSpPr txBox="1"/>
      </xdr:nvSpPr>
      <xdr:spPr>
        <a:xfrm>
          <a:off x="1571626" y="7506652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uS</a:t>
          </a:r>
          <a:endParaRPr kumimoji="1" lang="ja-JP" altLang="en-US" sz="1100"/>
        </a:p>
      </xdr:txBody>
    </xdr:sp>
    <xdr:clientData/>
  </xdr:oneCellAnchor>
  <xdr:oneCellAnchor>
    <xdr:from>
      <xdr:col>6</xdr:col>
      <xdr:colOff>200026</xdr:colOff>
      <xdr:row>553</xdr:row>
      <xdr:rowOff>104775</xdr:rowOff>
    </xdr:from>
    <xdr:ext cx="476250" cy="264560"/>
    <xdr:sp macro="" textlink="">
      <xdr:nvSpPr>
        <xdr:cNvPr id="118" name="テキスト ボックス 117"/>
        <xdr:cNvSpPr txBox="1"/>
      </xdr:nvSpPr>
      <xdr:spPr>
        <a:xfrm>
          <a:off x="1571626" y="76161900"/>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dS</a:t>
          </a:r>
          <a:endParaRPr kumimoji="1" lang="ja-JP" altLang="en-US" sz="1100"/>
        </a:p>
      </xdr:txBody>
    </xdr:sp>
    <xdr:clientData/>
  </xdr:oneCellAnchor>
  <xdr:oneCellAnchor>
    <xdr:from>
      <xdr:col>5</xdr:col>
      <xdr:colOff>95251</xdr:colOff>
      <xdr:row>546</xdr:row>
      <xdr:rowOff>114300</xdr:rowOff>
    </xdr:from>
    <xdr:ext cx="476250" cy="264560"/>
    <xdr:sp macro="" textlink="">
      <xdr:nvSpPr>
        <xdr:cNvPr id="119" name="テキスト ボックス 118"/>
        <xdr:cNvSpPr txBox="1"/>
      </xdr:nvSpPr>
      <xdr:spPr>
        <a:xfrm>
          <a:off x="781051" y="75171300"/>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1/2</a:t>
          </a:r>
          <a:endParaRPr kumimoji="1" lang="ja-JP" altLang="en-US" sz="1100"/>
        </a:p>
      </xdr:txBody>
    </xdr:sp>
    <xdr:clientData/>
  </xdr:oneCellAnchor>
  <xdr:oneCellAnchor>
    <xdr:from>
      <xdr:col>5</xdr:col>
      <xdr:colOff>47626</xdr:colOff>
      <xdr:row>553</xdr:row>
      <xdr:rowOff>38100</xdr:rowOff>
    </xdr:from>
    <xdr:ext cx="476250" cy="264560"/>
    <xdr:sp macro="" textlink="">
      <xdr:nvSpPr>
        <xdr:cNvPr id="120" name="テキスト ボックス 119"/>
        <xdr:cNvSpPr txBox="1"/>
      </xdr:nvSpPr>
      <xdr:spPr>
        <a:xfrm>
          <a:off x="733426" y="7609522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1/2</a:t>
          </a:r>
          <a:endParaRPr kumimoji="1" lang="ja-JP" altLang="en-US" sz="1100"/>
        </a:p>
      </xdr:txBody>
    </xdr:sp>
    <xdr:clientData/>
  </xdr:oneCellAnchor>
  <xdr:twoCellAnchor>
    <xdr:from>
      <xdr:col>4</xdr:col>
      <xdr:colOff>390525</xdr:colOff>
      <xdr:row>557</xdr:row>
      <xdr:rowOff>114300</xdr:rowOff>
    </xdr:from>
    <xdr:to>
      <xdr:col>6</xdr:col>
      <xdr:colOff>247650</xdr:colOff>
      <xdr:row>557</xdr:row>
      <xdr:rowOff>114300</xdr:rowOff>
    </xdr:to>
    <xdr:cxnSp macro="">
      <xdr:nvCxnSpPr>
        <xdr:cNvPr id="121" name="直線矢印コネクタ 120"/>
        <xdr:cNvCxnSpPr/>
      </xdr:nvCxnSpPr>
      <xdr:spPr>
        <a:xfrm>
          <a:off x="390525" y="76742925"/>
          <a:ext cx="1228725" cy="0"/>
        </a:xfrm>
        <a:prstGeom prst="straightConnector1">
          <a:avLst/>
        </a:prstGeom>
        <a:ln>
          <a:prstDash val="dash"/>
          <a:headEnd type="arrow"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238126</xdr:colOff>
      <xdr:row>557</xdr:row>
      <xdr:rowOff>133350</xdr:rowOff>
    </xdr:from>
    <xdr:ext cx="476250" cy="264560"/>
    <xdr:sp macro="" textlink="">
      <xdr:nvSpPr>
        <xdr:cNvPr id="122" name="テキスト ボックス 121"/>
        <xdr:cNvSpPr txBox="1"/>
      </xdr:nvSpPr>
      <xdr:spPr>
        <a:xfrm>
          <a:off x="923926" y="7676197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dt</a:t>
          </a:r>
          <a:endParaRPr kumimoji="1" lang="ja-JP" altLang="en-US" sz="1100"/>
        </a:p>
      </xdr:txBody>
    </xdr:sp>
    <xdr:clientData/>
  </xdr:oneCellAnchor>
  <xdr:twoCellAnchor>
    <xdr:from>
      <xdr:col>1</xdr:col>
      <xdr:colOff>390525</xdr:colOff>
      <xdr:row>589</xdr:row>
      <xdr:rowOff>0</xdr:rowOff>
    </xdr:from>
    <xdr:to>
      <xdr:col>3</xdr:col>
      <xdr:colOff>152400</xdr:colOff>
      <xdr:row>593</xdr:row>
      <xdr:rowOff>66675</xdr:rowOff>
    </xdr:to>
    <xdr:cxnSp macro="">
      <xdr:nvCxnSpPr>
        <xdr:cNvPr id="123" name="直線矢印コネクタ 122"/>
        <xdr:cNvCxnSpPr/>
      </xdr:nvCxnSpPr>
      <xdr:spPr>
        <a:xfrm flipV="1">
          <a:off x="3133725" y="84896325"/>
          <a:ext cx="1133475" cy="6381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381000</xdr:colOff>
      <xdr:row>593</xdr:row>
      <xdr:rowOff>66675</xdr:rowOff>
    </xdr:from>
    <xdr:to>
      <xdr:col>3</xdr:col>
      <xdr:colOff>171450</xdr:colOff>
      <xdr:row>596</xdr:row>
      <xdr:rowOff>104775</xdr:rowOff>
    </xdr:to>
    <xdr:cxnSp macro="">
      <xdr:nvCxnSpPr>
        <xdr:cNvPr id="124" name="直線矢印コネクタ 123"/>
        <xdr:cNvCxnSpPr/>
      </xdr:nvCxnSpPr>
      <xdr:spPr>
        <a:xfrm>
          <a:off x="3124200" y="85534500"/>
          <a:ext cx="1162050" cy="4667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xdr:col>
      <xdr:colOff>142876</xdr:colOff>
      <xdr:row>592</xdr:row>
      <xdr:rowOff>104775</xdr:rowOff>
    </xdr:from>
    <xdr:ext cx="476250" cy="264560"/>
    <xdr:sp macro="" textlink="">
      <xdr:nvSpPr>
        <xdr:cNvPr id="125" name="テキスト ボックス 124"/>
        <xdr:cNvSpPr txBox="1"/>
      </xdr:nvSpPr>
      <xdr:spPr>
        <a:xfrm>
          <a:off x="2886076" y="8542972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S</a:t>
          </a:r>
          <a:endParaRPr kumimoji="1" lang="ja-JP" altLang="en-US" sz="1100"/>
        </a:p>
      </xdr:txBody>
    </xdr:sp>
    <xdr:clientData/>
  </xdr:oneCellAnchor>
  <xdr:oneCellAnchor>
    <xdr:from>
      <xdr:col>3</xdr:col>
      <xdr:colOff>200026</xdr:colOff>
      <xdr:row>588</xdr:row>
      <xdr:rowOff>9525</xdr:rowOff>
    </xdr:from>
    <xdr:ext cx="476250" cy="264560"/>
    <xdr:sp macro="" textlink="">
      <xdr:nvSpPr>
        <xdr:cNvPr id="126" name="テキスト ボックス 125"/>
        <xdr:cNvSpPr txBox="1"/>
      </xdr:nvSpPr>
      <xdr:spPr>
        <a:xfrm>
          <a:off x="4314826" y="8476297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uS</a:t>
          </a:r>
          <a:endParaRPr kumimoji="1" lang="ja-JP" altLang="en-US" sz="1100"/>
        </a:p>
      </xdr:txBody>
    </xdr:sp>
    <xdr:clientData/>
  </xdr:oneCellAnchor>
  <xdr:oneCellAnchor>
    <xdr:from>
      <xdr:col>3</xdr:col>
      <xdr:colOff>200026</xdr:colOff>
      <xdr:row>595</xdr:row>
      <xdr:rowOff>104775</xdr:rowOff>
    </xdr:from>
    <xdr:ext cx="476250" cy="264560"/>
    <xdr:sp macro="" textlink="">
      <xdr:nvSpPr>
        <xdr:cNvPr id="127" name="テキスト ボックス 126"/>
        <xdr:cNvSpPr txBox="1"/>
      </xdr:nvSpPr>
      <xdr:spPr>
        <a:xfrm>
          <a:off x="4314826" y="85858350"/>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dS</a:t>
          </a:r>
          <a:endParaRPr kumimoji="1" lang="ja-JP" altLang="en-US" sz="1100"/>
        </a:p>
      </xdr:txBody>
    </xdr:sp>
    <xdr:clientData/>
  </xdr:oneCellAnchor>
  <xdr:oneCellAnchor>
    <xdr:from>
      <xdr:col>2</xdr:col>
      <xdr:colOff>95251</xdr:colOff>
      <xdr:row>588</xdr:row>
      <xdr:rowOff>114300</xdr:rowOff>
    </xdr:from>
    <xdr:ext cx="476250" cy="264560"/>
    <xdr:sp macro="" textlink="">
      <xdr:nvSpPr>
        <xdr:cNvPr id="128" name="テキスト ボックス 127"/>
        <xdr:cNvSpPr txBox="1"/>
      </xdr:nvSpPr>
      <xdr:spPr>
        <a:xfrm>
          <a:off x="3524251" y="84867750"/>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1/2</a:t>
          </a:r>
          <a:endParaRPr kumimoji="1" lang="ja-JP" altLang="en-US" sz="1100"/>
        </a:p>
      </xdr:txBody>
    </xdr:sp>
    <xdr:clientData/>
  </xdr:oneCellAnchor>
  <xdr:oneCellAnchor>
    <xdr:from>
      <xdr:col>2</xdr:col>
      <xdr:colOff>47626</xdr:colOff>
      <xdr:row>595</xdr:row>
      <xdr:rowOff>38100</xdr:rowOff>
    </xdr:from>
    <xdr:ext cx="476250" cy="264560"/>
    <xdr:sp macro="" textlink="">
      <xdr:nvSpPr>
        <xdr:cNvPr id="129" name="テキスト ボックス 128"/>
        <xdr:cNvSpPr txBox="1"/>
      </xdr:nvSpPr>
      <xdr:spPr>
        <a:xfrm>
          <a:off x="3476626" y="8579167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1/2</a:t>
          </a:r>
          <a:endParaRPr kumimoji="1" lang="ja-JP" altLang="en-US" sz="1100"/>
        </a:p>
      </xdr:txBody>
    </xdr:sp>
    <xdr:clientData/>
  </xdr:oneCellAnchor>
  <xdr:twoCellAnchor>
    <xdr:from>
      <xdr:col>1</xdr:col>
      <xdr:colOff>390525</xdr:colOff>
      <xdr:row>599</xdr:row>
      <xdr:rowOff>114300</xdr:rowOff>
    </xdr:from>
    <xdr:to>
      <xdr:col>3</xdr:col>
      <xdr:colOff>247650</xdr:colOff>
      <xdr:row>599</xdr:row>
      <xdr:rowOff>114300</xdr:rowOff>
    </xdr:to>
    <xdr:cxnSp macro="">
      <xdr:nvCxnSpPr>
        <xdr:cNvPr id="130" name="直線矢印コネクタ 129"/>
        <xdr:cNvCxnSpPr/>
      </xdr:nvCxnSpPr>
      <xdr:spPr>
        <a:xfrm>
          <a:off x="3133725" y="86439375"/>
          <a:ext cx="1228725" cy="0"/>
        </a:xfrm>
        <a:prstGeom prst="straightConnector1">
          <a:avLst/>
        </a:prstGeom>
        <a:ln>
          <a:prstDash val="dash"/>
          <a:headEnd type="arrow"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238126</xdr:colOff>
      <xdr:row>599</xdr:row>
      <xdr:rowOff>133350</xdr:rowOff>
    </xdr:from>
    <xdr:ext cx="476250" cy="264560"/>
    <xdr:sp macro="" textlink="">
      <xdr:nvSpPr>
        <xdr:cNvPr id="131" name="テキスト ボックス 130"/>
        <xdr:cNvSpPr txBox="1"/>
      </xdr:nvSpPr>
      <xdr:spPr>
        <a:xfrm>
          <a:off x="3667126" y="8645842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dt</a:t>
          </a:r>
          <a:endParaRPr kumimoji="1" lang="ja-JP" altLang="en-US" sz="1100"/>
        </a:p>
      </xdr:txBody>
    </xdr:sp>
    <xdr:clientData/>
  </xdr:oneCellAnchor>
  <xdr:twoCellAnchor>
    <xdr:from>
      <xdr:col>3</xdr:col>
      <xdr:colOff>9525</xdr:colOff>
      <xdr:row>311</xdr:row>
      <xdr:rowOff>114300</xdr:rowOff>
    </xdr:from>
    <xdr:to>
      <xdr:col>3</xdr:col>
      <xdr:colOff>361950</xdr:colOff>
      <xdr:row>316</xdr:row>
      <xdr:rowOff>104775</xdr:rowOff>
    </xdr:to>
    <xdr:sp macro="" textlink="">
      <xdr:nvSpPr>
        <xdr:cNvPr id="132" name="下矢印 131"/>
        <xdr:cNvSpPr/>
      </xdr:nvSpPr>
      <xdr:spPr>
        <a:xfrm>
          <a:off x="2066925" y="53844825"/>
          <a:ext cx="352425" cy="704850"/>
        </a:xfrm>
        <a:prstGeom prst="downArrow">
          <a:avLst/>
        </a:prstGeom>
      </xdr:spPr>
      <xdr:style>
        <a:lnRef idx="2">
          <a:schemeClr val="dk1"/>
        </a:lnRef>
        <a:fillRef idx="1">
          <a:schemeClr val="lt1"/>
        </a:fillRef>
        <a:effectRef idx="0">
          <a:schemeClr val="dk1"/>
        </a:effectRef>
        <a:fontRef idx="minor">
          <a:schemeClr val="dk1"/>
        </a:fontRef>
      </xdr:style>
      <xdr:txBody>
        <a:bodyPr vertOverflow="clip" rtlCol="0" anchor="ctr"/>
        <a:lstStyle/>
        <a:p>
          <a:pPr algn="ctr"/>
          <a:endParaRPr kumimoji="1" lang="ja-JP" altLang="en-US" sz="1100"/>
        </a:p>
      </xdr:txBody>
    </xdr:sp>
    <xdr:clientData/>
  </xdr:twoCellAnchor>
  <xdr:twoCellAnchor>
    <xdr:from>
      <xdr:col>5</xdr:col>
      <xdr:colOff>133350</xdr:colOff>
      <xdr:row>331</xdr:row>
      <xdr:rowOff>57150</xdr:rowOff>
    </xdr:from>
    <xdr:to>
      <xdr:col>5</xdr:col>
      <xdr:colOff>133350</xdr:colOff>
      <xdr:row>334</xdr:row>
      <xdr:rowOff>66675</xdr:rowOff>
    </xdr:to>
    <xdr:cxnSp macro="">
      <xdr:nvCxnSpPr>
        <xdr:cNvPr id="134" name="直線矢印コネクタ 133"/>
        <xdr:cNvCxnSpPr/>
      </xdr:nvCxnSpPr>
      <xdr:spPr>
        <a:xfrm>
          <a:off x="3562350" y="56807100"/>
          <a:ext cx="0" cy="43815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447675</xdr:colOff>
      <xdr:row>345</xdr:row>
      <xdr:rowOff>104775</xdr:rowOff>
    </xdr:from>
    <xdr:to>
      <xdr:col>1</xdr:col>
      <xdr:colOff>571500</xdr:colOff>
      <xdr:row>347</xdr:row>
      <xdr:rowOff>114300</xdr:rowOff>
    </xdr:to>
    <xdr:sp macro="" textlink="">
      <xdr:nvSpPr>
        <xdr:cNvPr id="136" name="下矢印 135"/>
        <xdr:cNvSpPr/>
      </xdr:nvSpPr>
      <xdr:spPr>
        <a:xfrm>
          <a:off x="1133475" y="58854975"/>
          <a:ext cx="123825" cy="295275"/>
        </a:xfrm>
        <a:prstGeom prst="downArrow">
          <a:avLst/>
        </a:prstGeom>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endParaRPr kumimoji="1" lang="ja-JP" altLang="en-US" sz="1100"/>
        </a:p>
      </xdr:txBody>
    </xdr:sp>
    <xdr:clientData/>
  </xdr:twoCellAnchor>
  <xdr:twoCellAnchor>
    <xdr:from>
      <xdr:col>0</xdr:col>
      <xdr:colOff>95249</xdr:colOff>
      <xdr:row>345</xdr:row>
      <xdr:rowOff>66676</xdr:rowOff>
    </xdr:from>
    <xdr:to>
      <xdr:col>1</xdr:col>
      <xdr:colOff>257174</xdr:colOff>
      <xdr:row>346</xdr:row>
      <xdr:rowOff>133351</xdr:rowOff>
    </xdr:to>
    <xdr:sp macro="" textlink="">
      <xdr:nvSpPr>
        <xdr:cNvPr id="137" name="右中かっこ 136"/>
        <xdr:cNvSpPr/>
      </xdr:nvSpPr>
      <xdr:spPr>
        <a:xfrm rot="5400000">
          <a:off x="414337" y="58497788"/>
          <a:ext cx="209550" cy="847725"/>
        </a:xfrm>
        <a:prstGeom prst="rightBrace">
          <a:avLst/>
        </a:prstGeom>
      </xdr:spPr>
      <xdr:style>
        <a:lnRef idx="1">
          <a:schemeClr val="dk1"/>
        </a:lnRef>
        <a:fillRef idx="0">
          <a:schemeClr val="dk1"/>
        </a:fillRef>
        <a:effectRef idx="0">
          <a:schemeClr val="dk1"/>
        </a:effectRef>
        <a:fontRef idx="minor">
          <a:schemeClr val="tx1"/>
        </a:fontRef>
      </xdr:style>
      <xdr:txBody>
        <a:bodyPr vertOverflow="clip" rtlCol="0" anchor="ctr"/>
        <a:lstStyle/>
        <a:p>
          <a:pPr algn="ctr"/>
          <a:endParaRPr kumimoji="1" lang="ja-JP" altLang="en-US" sz="1100"/>
        </a:p>
      </xdr:txBody>
    </xdr:sp>
    <xdr:clientData/>
  </xdr:twoCellAnchor>
  <xdr:twoCellAnchor>
    <xdr:from>
      <xdr:col>2</xdr:col>
      <xdr:colOff>409574</xdr:colOff>
      <xdr:row>345</xdr:row>
      <xdr:rowOff>47627</xdr:rowOff>
    </xdr:from>
    <xdr:to>
      <xdr:col>3</xdr:col>
      <xdr:colOff>571499</xdr:colOff>
      <xdr:row>346</xdr:row>
      <xdr:rowOff>114302</xdr:rowOff>
    </xdr:to>
    <xdr:sp macro="" textlink="">
      <xdr:nvSpPr>
        <xdr:cNvPr id="138" name="右中かっこ 137"/>
        <xdr:cNvSpPr/>
      </xdr:nvSpPr>
      <xdr:spPr>
        <a:xfrm rot="5400000">
          <a:off x="2100262" y="58478739"/>
          <a:ext cx="209550" cy="847725"/>
        </a:xfrm>
        <a:prstGeom prst="rightBrace">
          <a:avLst/>
        </a:prstGeom>
      </xdr:spPr>
      <xdr:style>
        <a:lnRef idx="1">
          <a:schemeClr val="dk1"/>
        </a:lnRef>
        <a:fillRef idx="0">
          <a:schemeClr val="dk1"/>
        </a:fillRef>
        <a:effectRef idx="0">
          <a:schemeClr val="dk1"/>
        </a:effectRef>
        <a:fontRef idx="minor">
          <a:schemeClr val="tx1"/>
        </a:fontRef>
      </xdr:style>
      <xdr:txBody>
        <a:bodyPr vertOverflow="clip" rtlCol="0" anchor="ctr"/>
        <a:lstStyle/>
        <a:p>
          <a:pPr algn="ctr"/>
          <a:endParaRPr kumimoji="1" lang="ja-JP" alt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390525</xdr:colOff>
      <xdr:row>22</xdr:row>
      <xdr:rowOff>0</xdr:rowOff>
    </xdr:from>
    <xdr:to>
      <xdr:col>3</xdr:col>
      <xdr:colOff>152400</xdr:colOff>
      <xdr:row>26</xdr:row>
      <xdr:rowOff>66675</xdr:rowOff>
    </xdr:to>
    <xdr:cxnSp macro="">
      <xdr:nvCxnSpPr>
        <xdr:cNvPr id="2" name="直線矢印コネクタ 1"/>
        <xdr:cNvCxnSpPr/>
      </xdr:nvCxnSpPr>
      <xdr:spPr>
        <a:xfrm flipV="1">
          <a:off x="1076325" y="91163775"/>
          <a:ext cx="1133475" cy="6381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381000</xdr:colOff>
      <xdr:row>26</xdr:row>
      <xdr:rowOff>66675</xdr:rowOff>
    </xdr:from>
    <xdr:to>
      <xdr:col>3</xdr:col>
      <xdr:colOff>171450</xdr:colOff>
      <xdr:row>29</xdr:row>
      <xdr:rowOff>104775</xdr:rowOff>
    </xdr:to>
    <xdr:cxnSp macro="">
      <xdr:nvCxnSpPr>
        <xdr:cNvPr id="3" name="直線矢印コネクタ 2"/>
        <xdr:cNvCxnSpPr/>
      </xdr:nvCxnSpPr>
      <xdr:spPr>
        <a:xfrm>
          <a:off x="1066800" y="91801950"/>
          <a:ext cx="1162050" cy="4667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xdr:col>
      <xdr:colOff>142876</xdr:colOff>
      <xdr:row>25</xdr:row>
      <xdr:rowOff>104775</xdr:rowOff>
    </xdr:from>
    <xdr:ext cx="476250" cy="264560"/>
    <xdr:sp macro="" textlink="">
      <xdr:nvSpPr>
        <xdr:cNvPr id="4" name="テキスト ボックス 3"/>
        <xdr:cNvSpPr txBox="1"/>
      </xdr:nvSpPr>
      <xdr:spPr>
        <a:xfrm>
          <a:off x="828676" y="9169717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S</a:t>
          </a:r>
          <a:endParaRPr kumimoji="1" lang="ja-JP" altLang="en-US" sz="1100"/>
        </a:p>
      </xdr:txBody>
    </xdr:sp>
    <xdr:clientData/>
  </xdr:oneCellAnchor>
  <xdr:oneCellAnchor>
    <xdr:from>
      <xdr:col>3</xdr:col>
      <xdr:colOff>200026</xdr:colOff>
      <xdr:row>21</xdr:row>
      <xdr:rowOff>9525</xdr:rowOff>
    </xdr:from>
    <xdr:ext cx="476250" cy="264560"/>
    <xdr:sp macro="" textlink="">
      <xdr:nvSpPr>
        <xdr:cNvPr id="5" name="テキスト ボックス 4"/>
        <xdr:cNvSpPr txBox="1"/>
      </xdr:nvSpPr>
      <xdr:spPr>
        <a:xfrm>
          <a:off x="2257426" y="9103042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uS</a:t>
          </a:r>
          <a:endParaRPr kumimoji="1" lang="ja-JP" altLang="en-US" sz="1100"/>
        </a:p>
      </xdr:txBody>
    </xdr:sp>
    <xdr:clientData/>
  </xdr:oneCellAnchor>
  <xdr:oneCellAnchor>
    <xdr:from>
      <xdr:col>3</xdr:col>
      <xdr:colOff>200026</xdr:colOff>
      <xdr:row>28</xdr:row>
      <xdr:rowOff>104775</xdr:rowOff>
    </xdr:from>
    <xdr:ext cx="476250" cy="264560"/>
    <xdr:sp macro="" textlink="">
      <xdr:nvSpPr>
        <xdr:cNvPr id="6" name="テキスト ボックス 5"/>
        <xdr:cNvSpPr txBox="1"/>
      </xdr:nvSpPr>
      <xdr:spPr>
        <a:xfrm>
          <a:off x="2257426" y="92125800"/>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dS</a:t>
          </a:r>
          <a:endParaRPr kumimoji="1" lang="ja-JP" altLang="en-US" sz="1100"/>
        </a:p>
      </xdr:txBody>
    </xdr:sp>
    <xdr:clientData/>
  </xdr:oneCellAnchor>
  <xdr:oneCellAnchor>
    <xdr:from>
      <xdr:col>2</xdr:col>
      <xdr:colOff>95251</xdr:colOff>
      <xdr:row>21</xdr:row>
      <xdr:rowOff>114300</xdr:rowOff>
    </xdr:from>
    <xdr:ext cx="476250" cy="264560"/>
    <xdr:sp macro="" textlink="">
      <xdr:nvSpPr>
        <xdr:cNvPr id="7" name="テキスト ボックス 6"/>
        <xdr:cNvSpPr txBox="1"/>
      </xdr:nvSpPr>
      <xdr:spPr>
        <a:xfrm>
          <a:off x="1466851" y="91135200"/>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1/2</a:t>
          </a:r>
          <a:endParaRPr kumimoji="1" lang="ja-JP" altLang="en-US" sz="1100"/>
        </a:p>
      </xdr:txBody>
    </xdr:sp>
    <xdr:clientData/>
  </xdr:oneCellAnchor>
  <xdr:oneCellAnchor>
    <xdr:from>
      <xdr:col>2</xdr:col>
      <xdr:colOff>47626</xdr:colOff>
      <xdr:row>28</xdr:row>
      <xdr:rowOff>38100</xdr:rowOff>
    </xdr:from>
    <xdr:ext cx="476250" cy="264560"/>
    <xdr:sp macro="" textlink="">
      <xdr:nvSpPr>
        <xdr:cNvPr id="8" name="テキスト ボックス 7"/>
        <xdr:cNvSpPr txBox="1"/>
      </xdr:nvSpPr>
      <xdr:spPr>
        <a:xfrm>
          <a:off x="1419226" y="9205912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1/2</a:t>
          </a:r>
          <a:endParaRPr kumimoji="1" lang="ja-JP" altLang="en-US" sz="1100"/>
        </a:p>
      </xdr:txBody>
    </xdr:sp>
    <xdr:clientData/>
  </xdr:oneCellAnchor>
  <xdr:twoCellAnchor>
    <xdr:from>
      <xdr:col>1</xdr:col>
      <xdr:colOff>390525</xdr:colOff>
      <xdr:row>32</xdr:row>
      <xdr:rowOff>114300</xdr:rowOff>
    </xdr:from>
    <xdr:to>
      <xdr:col>3</xdr:col>
      <xdr:colOff>247650</xdr:colOff>
      <xdr:row>32</xdr:row>
      <xdr:rowOff>114300</xdr:rowOff>
    </xdr:to>
    <xdr:cxnSp macro="">
      <xdr:nvCxnSpPr>
        <xdr:cNvPr id="9" name="直線矢印コネクタ 8"/>
        <xdr:cNvCxnSpPr/>
      </xdr:nvCxnSpPr>
      <xdr:spPr>
        <a:xfrm>
          <a:off x="1076325" y="92706825"/>
          <a:ext cx="1228725" cy="0"/>
        </a:xfrm>
        <a:prstGeom prst="straightConnector1">
          <a:avLst/>
        </a:prstGeom>
        <a:ln>
          <a:prstDash val="dash"/>
          <a:headEnd type="arrow"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238126</xdr:colOff>
      <xdr:row>32</xdr:row>
      <xdr:rowOff>133350</xdr:rowOff>
    </xdr:from>
    <xdr:ext cx="476250" cy="264560"/>
    <xdr:sp macro="" textlink="">
      <xdr:nvSpPr>
        <xdr:cNvPr id="10" name="テキスト ボックス 9"/>
        <xdr:cNvSpPr txBox="1"/>
      </xdr:nvSpPr>
      <xdr:spPr>
        <a:xfrm>
          <a:off x="1609726" y="9272587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dt</a:t>
          </a:r>
          <a:endParaRPr kumimoji="1" lang="ja-JP" altLang="en-US" sz="1100"/>
        </a:p>
      </xdr:txBody>
    </xdr:sp>
    <xdr:clientData/>
  </xdr:oneCellAnchor>
  <xdr:twoCellAnchor>
    <xdr:from>
      <xdr:col>0</xdr:col>
      <xdr:colOff>190500</xdr:colOff>
      <xdr:row>60</xdr:row>
      <xdr:rowOff>28574</xdr:rowOff>
    </xdr:from>
    <xdr:to>
      <xdr:col>1</xdr:col>
      <xdr:colOff>257175</xdr:colOff>
      <xdr:row>62</xdr:row>
      <xdr:rowOff>38099</xdr:rowOff>
    </xdr:to>
    <xdr:sp macro="" textlink="">
      <xdr:nvSpPr>
        <xdr:cNvPr id="11" name="正方形/長方形 10"/>
        <xdr:cNvSpPr/>
      </xdr:nvSpPr>
      <xdr:spPr>
        <a:xfrm>
          <a:off x="190500" y="9563099"/>
          <a:ext cx="752475" cy="295275"/>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kumimoji="1" lang="ja-JP" altLang="en-US" sz="1100"/>
            <a:t>８０</a:t>
          </a:r>
          <a:r>
            <a:rPr kumimoji="1" lang="en-US" altLang="ja-JP" sz="1100">
              <a:solidFill>
                <a:schemeClr val="dk1"/>
              </a:solidFill>
              <a:latin typeface="+mn-lt"/>
              <a:ea typeface="+mn-ea"/>
              <a:cs typeface="+mn-cs"/>
            </a:rPr>
            <a:t>(15)</a:t>
          </a:r>
          <a:endParaRPr kumimoji="1" lang="ja-JP" altLang="en-US" sz="1100"/>
        </a:p>
      </xdr:txBody>
    </xdr:sp>
    <xdr:clientData/>
  </xdr:twoCellAnchor>
  <xdr:twoCellAnchor>
    <xdr:from>
      <xdr:col>1</xdr:col>
      <xdr:colOff>447675</xdr:colOff>
      <xdr:row>58</xdr:row>
      <xdr:rowOff>19049</xdr:rowOff>
    </xdr:from>
    <xdr:to>
      <xdr:col>2</xdr:col>
      <xdr:colOff>514350</xdr:colOff>
      <xdr:row>60</xdr:row>
      <xdr:rowOff>28574</xdr:rowOff>
    </xdr:to>
    <xdr:sp macro="" textlink="">
      <xdr:nvSpPr>
        <xdr:cNvPr id="12" name="正方形/長方形 11"/>
        <xdr:cNvSpPr/>
      </xdr:nvSpPr>
      <xdr:spPr>
        <a:xfrm>
          <a:off x="1133475" y="9267824"/>
          <a:ext cx="752475" cy="295275"/>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kumimoji="1" lang="ja-JP" altLang="en-US" sz="1100"/>
            <a:t>８８ </a:t>
          </a:r>
          <a:r>
            <a:rPr kumimoji="1" lang="en-US" altLang="ja-JP" sz="1100"/>
            <a:t>(7)</a:t>
          </a:r>
          <a:endParaRPr kumimoji="1" lang="ja-JP" altLang="en-US" sz="1100"/>
        </a:p>
      </xdr:txBody>
    </xdr:sp>
    <xdr:clientData/>
  </xdr:twoCellAnchor>
  <xdr:twoCellAnchor>
    <xdr:from>
      <xdr:col>1</xdr:col>
      <xdr:colOff>447675</xdr:colOff>
      <xdr:row>61</xdr:row>
      <xdr:rowOff>114299</xdr:rowOff>
    </xdr:from>
    <xdr:to>
      <xdr:col>2</xdr:col>
      <xdr:colOff>514350</xdr:colOff>
      <xdr:row>63</xdr:row>
      <xdr:rowOff>123824</xdr:rowOff>
    </xdr:to>
    <xdr:sp macro="" textlink="">
      <xdr:nvSpPr>
        <xdr:cNvPr id="13" name="正方形/長方形 12"/>
        <xdr:cNvSpPr/>
      </xdr:nvSpPr>
      <xdr:spPr>
        <a:xfrm>
          <a:off x="1133475" y="9791699"/>
          <a:ext cx="752475" cy="295275"/>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kumimoji="1" lang="ja-JP" altLang="en-US" sz="1100"/>
            <a:t>７２</a:t>
          </a:r>
          <a:r>
            <a:rPr kumimoji="1" lang="en-US" altLang="ja-JP" sz="1100"/>
            <a:t>(23)</a:t>
          </a:r>
          <a:endParaRPr kumimoji="1" lang="ja-JP" altLang="en-US" sz="1100"/>
        </a:p>
      </xdr:txBody>
    </xdr:sp>
    <xdr:clientData/>
  </xdr:twoCellAnchor>
  <xdr:twoCellAnchor>
    <xdr:from>
      <xdr:col>3</xdr:col>
      <xdr:colOff>85725</xdr:colOff>
      <xdr:row>55</xdr:row>
      <xdr:rowOff>133349</xdr:rowOff>
    </xdr:from>
    <xdr:to>
      <xdr:col>4</xdr:col>
      <xdr:colOff>342900</xdr:colOff>
      <xdr:row>57</xdr:row>
      <xdr:rowOff>142874</xdr:rowOff>
    </xdr:to>
    <xdr:sp macro="" textlink="">
      <xdr:nvSpPr>
        <xdr:cNvPr id="14" name="正方形/長方形 13"/>
        <xdr:cNvSpPr/>
      </xdr:nvSpPr>
      <xdr:spPr>
        <a:xfrm>
          <a:off x="2143125" y="8953499"/>
          <a:ext cx="942975" cy="295275"/>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kumimoji="1" lang="ja-JP" altLang="en-US" sz="1100"/>
            <a:t>９６．８</a:t>
          </a:r>
          <a:r>
            <a:rPr kumimoji="1" lang="en-US" altLang="ja-JP" sz="1100">
              <a:solidFill>
                <a:schemeClr val="dk1"/>
              </a:solidFill>
              <a:latin typeface="+mn-lt"/>
              <a:ea typeface="+mn-ea"/>
              <a:cs typeface="+mn-cs"/>
            </a:rPr>
            <a:t>(-1.8)</a:t>
          </a:r>
          <a:endParaRPr kumimoji="1" lang="ja-JP" altLang="en-US" sz="1100"/>
        </a:p>
      </xdr:txBody>
    </xdr:sp>
    <xdr:clientData/>
  </xdr:twoCellAnchor>
  <xdr:twoCellAnchor>
    <xdr:from>
      <xdr:col>3</xdr:col>
      <xdr:colOff>76200</xdr:colOff>
      <xdr:row>59</xdr:row>
      <xdr:rowOff>104774</xdr:rowOff>
    </xdr:from>
    <xdr:to>
      <xdr:col>4</xdr:col>
      <xdr:colOff>314325</xdr:colOff>
      <xdr:row>61</xdr:row>
      <xdr:rowOff>114299</xdr:rowOff>
    </xdr:to>
    <xdr:sp macro="" textlink="">
      <xdr:nvSpPr>
        <xdr:cNvPr id="15" name="正方形/長方形 14"/>
        <xdr:cNvSpPr/>
      </xdr:nvSpPr>
      <xdr:spPr>
        <a:xfrm>
          <a:off x="2133600" y="9496424"/>
          <a:ext cx="923925" cy="295275"/>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kumimoji="1" lang="ja-JP" altLang="en-US" sz="1100"/>
            <a:t>７９．２</a:t>
          </a:r>
          <a:r>
            <a:rPr kumimoji="1" lang="en-US" altLang="ja-JP" sz="1100"/>
            <a:t>(15.8)</a:t>
          </a:r>
          <a:endParaRPr kumimoji="1" lang="ja-JP" altLang="en-US" sz="1100"/>
        </a:p>
      </xdr:txBody>
    </xdr:sp>
    <xdr:clientData/>
  </xdr:twoCellAnchor>
  <xdr:twoCellAnchor>
    <xdr:from>
      <xdr:col>3</xdr:col>
      <xdr:colOff>85725</xdr:colOff>
      <xdr:row>63</xdr:row>
      <xdr:rowOff>114299</xdr:rowOff>
    </xdr:from>
    <xdr:to>
      <xdr:col>4</xdr:col>
      <xdr:colOff>314325</xdr:colOff>
      <xdr:row>65</xdr:row>
      <xdr:rowOff>123824</xdr:rowOff>
    </xdr:to>
    <xdr:sp macro="" textlink="">
      <xdr:nvSpPr>
        <xdr:cNvPr id="16" name="正方形/長方形 15"/>
        <xdr:cNvSpPr/>
      </xdr:nvSpPr>
      <xdr:spPr>
        <a:xfrm>
          <a:off x="2143125" y="10077449"/>
          <a:ext cx="914400" cy="295275"/>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kumimoji="1" lang="ja-JP" altLang="en-US" sz="1100"/>
            <a:t>６４．８</a:t>
          </a:r>
          <a:r>
            <a:rPr kumimoji="1" lang="en-US" altLang="ja-JP" sz="1100"/>
            <a:t>(30.2)</a:t>
          </a:r>
          <a:endParaRPr kumimoji="1" lang="ja-JP" altLang="en-US" sz="1100"/>
        </a:p>
      </xdr:txBody>
    </xdr:sp>
    <xdr:clientData/>
  </xdr:twoCellAnchor>
  <xdr:twoCellAnchor>
    <xdr:from>
      <xdr:col>5</xdr:col>
      <xdr:colOff>533400</xdr:colOff>
      <xdr:row>60</xdr:row>
      <xdr:rowOff>9524</xdr:rowOff>
    </xdr:from>
    <xdr:to>
      <xdr:col>6</xdr:col>
      <xdr:colOff>600075</xdr:colOff>
      <xdr:row>62</xdr:row>
      <xdr:rowOff>19049</xdr:rowOff>
    </xdr:to>
    <xdr:sp macro="" textlink="">
      <xdr:nvSpPr>
        <xdr:cNvPr id="17" name="正方形/長方形 16"/>
        <xdr:cNvSpPr/>
      </xdr:nvSpPr>
      <xdr:spPr>
        <a:xfrm>
          <a:off x="3962400" y="9544049"/>
          <a:ext cx="752475" cy="295275"/>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rtlCol="0" anchor="ctr"/>
        <a:lstStyle/>
        <a:p>
          <a:pPr algn="ctr"/>
          <a:r>
            <a:rPr kumimoji="1" lang="en-US" altLang="ja-JP" sz="1100"/>
            <a:t>14.997</a:t>
          </a:r>
          <a:endParaRPr kumimoji="1" lang="ja-JP" altLang="en-US" sz="1100"/>
        </a:p>
      </xdr:txBody>
    </xdr:sp>
    <xdr:clientData/>
  </xdr:twoCellAnchor>
  <xdr:twoCellAnchor>
    <xdr:from>
      <xdr:col>7</xdr:col>
      <xdr:colOff>95250</xdr:colOff>
      <xdr:row>57</xdr:row>
      <xdr:rowOff>104774</xdr:rowOff>
    </xdr:from>
    <xdr:to>
      <xdr:col>8</xdr:col>
      <xdr:colOff>161925</xdr:colOff>
      <xdr:row>59</xdr:row>
      <xdr:rowOff>114299</xdr:rowOff>
    </xdr:to>
    <xdr:sp macro="" textlink="">
      <xdr:nvSpPr>
        <xdr:cNvPr id="18" name="正方形/長方形 17"/>
        <xdr:cNvSpPr/>
      </xdr:nvSpPr>
      <xdr:spPr>
        <a:xfrm>
          <a:off x="4895850" y="9210674"/>
          <a:ext cx="752475" cy="295275"/>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rtlCol="0" anchor="ctr"/>
        <a:lstStyle/>
        <a:p>
          <a:pPr algn="ctr"/>
          <a:r>
            <a:rPr kumimoji="1" lang="en-US" altLang="ja-JP" sz="1100"/>
            <a:t>7.683</a:t>
          </a:r>
          <a:endParaRPr kumimoji="1" lang="ja-JP" altLang="en-US" sz="1100"/>
        </a:p>
      </xdr:txBody>
    </xdr:sp>
    <xdr:clientData/>
  </xdr:twoCellAnchor>
  <xdr:twoCellAnchor>
    <xdr:from>
      <xdr:col>7</xdr:col>
      <xdr:colOff>95250</xdr:colOff>
      <xdr:row>61</xdr:row>
      <xdr:rowOff>85724</xdr:rowOff>
    </xdr:from>
    <xdr:to>
      <xdr:col>8</xdr:col>
      <xdr:colOff>161925</xdr:colOff>
      <xdr:row>63</xdr:row>
      <xdr:rowOff>95249</xdr:rowOff>
    </xdr:to>
    <xdr:sp macro="" textlink="">
      <xdr:nvSpPr>
        <xdr:cNvPr id="19" name="正方形/長方形 18"/>
        <xdr:cNvSpPr/>
      </xdr:nvSpPr>
      <xdr:spPr>
        <a:xfrm>
          <a:off x="4895850" y="9763124"/>
          <a:ext cx="752475" cy="295275"/>
        </a:xfrm>
        <a:prstGeom prst="rect">
          <a:avLst/>
        </a:prstGeom>
        <a:ln w="28575">
          <a:solidFill>
            <a:srgbClr val="FF0000"/>
          </a:solidFill>
        </a:ln>
      </xdr:spPr>
      <xdr:style>
        <a:lnRef idx="1">
          <a:schemeClr val="accent2"/>
        </a:lnRef>
        <a:fillRef idx="2">
          <a:schemeClr val="accent2"/>
        </a:fillRef>
        <a:effectRef idx="1">
          <a:schemeClr val="accent2"/>
        </a:effectRef>
        <a:fontRef idx="minor">
          <a:schemeClr val="dk1"/>
        </a:fontRef>
      </xdr:style>
      <xdr:txBody>
        <a:bodyPr vertOverflow="clip" rtlCol="0" anchor="ctr"/>
        <a:lstStyle/>
        <a:p>
          <a:pPr algn="ctr"/>
          <a:r>
            <a:rPr kumimoji="1" lang="en-US" altLang="ja-JP" sz="1100"/>
            <a:t>22.763</a:t>
          </a:r>
          <a:endParaRPr kumimoji="1" lang="ja-JP" altLang="en-US" sz="1100"/>
        </a:p>
      </xdr:txBody>
    </xdr:sp>
    <xdr:clientData/>
  </xdr:twoCellAnchor>
  <xdr:twoCellAnchor>
    <xdr:from>
      <xdr:col>8</xdr:col>
      <xdr:colOff>409575</xdr:colOff>
      <xdr:row>55</xdr:row>
      <xdr:rowOff>76199</xdr:rowOff>
    </xdr:from>
    <xdr:to>
      <xdr:col>9</xdr:col>
      <xdr:colOff>476250</xdr:colOff>
      <xdr:row>57</xdr:row>
      <xdr:rowOff>85724</xdr:rowOff>
    </xdr:to>
    <xdr:sp macro="" textlink="">
      <xdr:nvSpPr>
        <xdr:cNvPr id="20" name="正方形/長方形 19"/>
        <xdr:cNvSpPr/>
      </xdr:nvSpPr>
      <xdr:spPr>
        <a:xfrm>
          <a:off x="5895975" y="8896349"/>
          <a:ext cx="752475" cy="295275"/>
        </a:xfrm>
        <a:prstGeom prst="rect">
          <a:avLst/>
        </a:prstGeom>
        <a:ln w="28575">
          <a:solidFill>
            <a:srgbClr val="FF0000"/>
          </a:solidFill>
        </a:ln>
      </xdr:spPr>
      <xdr:style>
        <a:lnRef idx="1">
          <a:schemeClr val="accent2"/>
        </a:lnRef>
        <a:fillRef idx="2">
          <a:schemeClr val="accent2"/>
        </a:fillRef>
        <a:effectRef idx="1">
          <a:schemeClr val="accent2"/>
        </a:effectRef>
        <a:fontRef idx="minor">
          <a:schemeClr val="dk1"/>
        </a:fontRef>
      </xdr:style>
      <xdr:txBody>
        <a:bodyPr vertOverflow="clip" rtlCol="0" anchor="ctr"/>
        <a:lstStyle/>
        <a:p>
          <a:pPr algn="ctr"/>
          <a:r>
            <a:rPr kumimoji="1" lang="en-US" altLang="ja-JP" sz="1100"/>
            <a:t>0</a:t>
          </a:r>
          <a:endParaRPr kumimoji="1" lang="ja-JP" altLang="en-US" sz="1100"/>
        </a:p>
      </xdr:txBody>
    </xdr:sp>
    <xdr:clientData/>
  </xdr:twoCellAnchor>
  <xdr:twoCellAnchor>
    <xdr:from>
      <xdr:col>8</xdr:col>
      <xdr:colOff>409575</xdr:colOff>
      <xdr:row>59</xdr:row>
      <xdr:rowOff>76199</xdr:rowOff>
    </xdr:from>
    <xdr:to>
      <xdr:col>9</xdr:col>
      <xdr:colOff>476250</xdr:colOff>
      <xdr:row>61</xdr:row>
      <xdr:rowOff>85724</xdr:rowOff>
    </xdr:to>
    <xdr:sp macro="" textlink="">
      <xdr:nvSpPr>
        <xdr:cNvPr id="21" name="正方形/長方形 20"/>
        <xdr:cNvSpPr/>
      </xdr:nvSpPr>
      <xdr:spPr>
        <a:xfrm>
          <a:off x="5895975" y="9467849"/>
          <a:ext cx="752475" cy="295275"/>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rtlCol="0" anchor="ctr"/>
        <a:lstStyle/>
        <a:p>
          <a:pPr algn="ctr"/>
          <a:r>
            <a:rPr kumimoji="1" lang="en-US" altLang="ja-JP" sz="1100"/>
            <a:t>15.8</a:t>
          </a:r>
          <a:endParaRPr kumimoji="1" lang="ja-JP" altLang="en-US" sz="1100"/>
        </a:p>
      </xdr:txBody>
    </xdr:sp>
    <xdr:clientData/>
  </xdr:twoCellAnchor>
  <xdr:twoCellAnchor>
    <xdr:from>
      <xdr:col>8</xdr:col>
      <xdr:colOff>438150</xdr:colOff>
      <xdr:row>63</xdr:row>
      <xdr:rowOff>76199</xdr:rowOff>
    </xdr:from>
    <xdr:to>
      <xdr:col>9</xdr:col>
      <xdr:colOff>504825</xdr:colOff>
      <xdr:row>65</xdr:row>
      <xdr:rowOff>85724</xdr:rowOff>
    </xdr:to>
    <xdr:sp macro="" textlink="">
      <xdr:nvSpPr>
        <xdr:cNvPr id="22" name="正方形/長方形 21"/>
        <xdr:cNvSpPr/>
      </xdr:nvSpPr>
      <xdr:spPr>
        <a:xfrm>
          <a:off x="5924550" y="10039349"/>
          <a:ext cx="752475" cy="295275"/>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rtlCol="0" anchor="ctr"/>
        <a:lstStyle/>
        <a:p>
          <a:pPr algn="ctr"/>
          <a:r>
            <a:rPr kumimoji="1" lang="en-US" altLang="ja-JP" sz="1100"/>
            <a:t>30.2</a:t>
          </a:r>
          <a:endParaRPr kumimoji="1" lang="ja-JP" altLang="en-US" sz="1100"/>
        </a:p>
      </xdr:txBody>
    </xdr:sp>
    <xdr:clientData/>
  </xdr:twoCellAnchor>
  <xdr:twoCellAnchor>
    <xdr:from>
      <xdr:col>7</xdr:col>
      <xdr:colOff>495300</xdr:colOff>
      <xdr:row>64</xdr:row>
      <xdr:rowOff>57150</xdr:rowOff>
    </xdr:from>
    <xdr:to>
      <xdr:col>7</xdr:col>
      <xdr:colOff>495300</xdr:colOff>
      <xdr:row>66</xdr:row>
      <xdr:rowOff>123825</xdr:rowOff>
    </xdr:to>
    <xdr:cxnSp macro="">
      <xdr:nvCxnSpPr>
        <xdr:cNvPr id="24" name="直線矢印コネクタ 23"/>
        <xdr:cNvCxnSpPr/>
      </xdr:nvCxnSpPr>
      <xdr:spPr>
        <a:xfrm flipV="1">
          <a:off x="5295900" y="10163175"/>
          <a:ext cx="0" cy="3524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390525</xdr:colOff>
      <xdr:row>84</xdr:row>
      <xdr:rowOff>0</xdr:rowOff>
    </xdr:from>
    <xdr:to>
      <xdr:col>3</xdr:col>
      <xdr:colOff>152400</xdr:colOff>
      <xdr:row>88</xdr:row>
      <xdr:rowOff>66675</xdr:rowOff>
    </xdr:to>
    <xdr:cxnSp macro="">
      <xdr:nvCxnSpPr>
        <xdr:cNvPr id="25" name="直線矢印コネクタ 24"/>
        <xdr:cNvCxnSpPr/>
      </xdr:nvCxnSpPr>
      <xdr:spPr>
        <a:xfrm flipV="1">
          <a:off x="1076325" y="4029075"/>
          <a:ext cx="1133475" cy="6381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381000</xdr:colOff>
      <xdr:row>88</xdr:row>
      <xdr:rowOff>66675</xdr:rowOff>
    </xdr:from>
    <xdr:to>
      <xdr:col>3</xdr:col>
      <xdr:colOff>171450</xdr:colOff>
      <xdr:row>91</xdr:row>
      <xdr:rowOff>104775</xdr:rowOff>
    </xdr:to>
    <xdr:cxnSp macro="">
      <xdr:nvCxnSpPr>
        <xdr:cNvPr id="26" name="直線矢印コネクタ 25"/>
        <xdr:cNvCxnSpPr/>
      </xdr:nvCxnSpPr>
      <xdr:spPr>
        <a:xfrm>
          <a:off x="1066800" y="4667250"/>
          <a:ext cx="1162050" cy="4667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xdr:col>
      <xdr:colOff>142876</xdr:colOff>
      <xdr:row>87</xdr:row>
      <xdr:rowOff>104775</xdr:rowOff>
    </xdr:from>
    <xdr:ext cx="476250" cy="264560"/>
    <xdr:sp macro="" textlink="">
      <xdr:nvSpPr>
        <xdr:cNvPr id="27" name="テキスト ボックス 26"/>
        <xdr:cNvSpPr txBox="1"/>
      </xdr:nvSpPr>
      <xdr:spPr>
        <a:xfrm>
          <a:off x="828676" y="456247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S</a:t>
          </a:r>
          <a:endParaRPr kumimoji="1" lang="ja-JP" altLang="en-US" sz="1100"/>
        </a:p>
      </xdr:txBody>
    </xdr:sp>
    <xdr:clientData/>
  </xdr:oneCellAnchor>
  <xdr:oneCellAnchor>
    <xdr:from>
      <xdr:col>3</xdr:col>
      <xdr:colOff>200026</xdr:colOff>
      <xdr:row>83</xdr:row>
      <xdr:rowOff>9525</xdr:rowOff>
    </xdr:from>
    <xdr:ext cx="476250" cy="264560"/>
    <xdr:sp macro="" textlink="">
      <xdr:nvSpPr>
        <xdr:cNvPr id="28" name="テキスト ボックス 27"/>
        <xdr:cNvSpPr txBox="1"/>
      </xdr:nvSpPr>
      <xdr:spPr>
        <a:xfrm>
          <a:off x="2257426" y="389572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uS</a:t>
          </a:r>
          <a:endParaRPr kumimoji="1" lang="ja-JP" altLang="en-US" sz="1100"/>
        </a:p>
      </xdr:txBody>
    </xdr:sp>
    <xdr:clientData/>
  </xdr:oneCellAnchor>
  <xdr:oneCellAnchor>
    <xdr:from>
      <xdr:col>3</xdr:col>
      <xdr:colOff>200026</xdr:colOff>
      <xdr:row>90</xdr:row>
      <xdr:rowOff>104775</xdr:rowOff>
    </xdr:from>
    <xdr:ext cx="476250" cy="264560"/>
    <xdr:sp macro="" textlink="">
      <xdr:nvSpPr>
        <xdr:cNvPr id="29" name="テキスト ボックス 28"/>
        <xdr:cNvSpPr txBox="1"/>
      </xdr:nvSpPr>
      <xdr:spPr>
        <a:xfrm>
          <a:off x="2257426" y="4991100"/>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dS</a:t>
          </a:r>
          <a:endParaRPr kumimoji="1" lang="ja-JP" altLang="en-US" sz="1100"/>
        </a:p>
      </xdr:txBody>
    </xdr:sp>
    <xdr:clientData/>
  </xdr:oneCellAnchor>
  <xdr:oneCellAnchor>
    <xdr:from>
      <xdr:col>2</xdr:col>
      <xdr:colOff>95251</xdr:colOff>
      <xdr:row>83</xdr:row>
      <xdr:rowOff>114300</xdr:rowOff>
    </xdr:from>
    <xdr:ext cx="476250" cy="264560"/>
    <xdr:sp macro="" textlink="">
      <xdr:nvSpPr>
        <xdr:cNvPr id="30" name="テキスト ボックス 29"/>
        <xdr:cNvSpPr txBox="1"/>
      </xdr:nvSpPr>
      <xdr:spPr>
        <a:xfrm>
          <a:off x="1466851" y="12934950"/>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p</a:t>
          </a:r>
          <a:endParaRPr kumimoji="1" lang="ja-JP" altLang="en-US" sz="1100"/>
        </a:p>
      </xdr:txBody>
    </xdr:sp>
    <xdr:clientData/>
  </xdr:oneCellAnchor>
  <xdr:oneCellAnchor>
    <xdr:from>
      <xdr:col>2</xdr:col>
      <xdr:colOff>47626</xdr:colOff>
      <xdr:row>90</xdr:row>
      <xdr:rowOff>38100</xdr:rowOff>
    </xdr:from>
    <xdr:ext cx="476250" cy="264560"/>
    <xdr:sp macro="" textlink="">
      <xdr:nvSpPr>
        <xdr:cNvPr id="31" name="テキスト ボックス 30"/>
        <xdr:cNvSpPr txBox="1"/>
      </xdr:nvSpPr>
      <xdr:spPr>
        <a:xfrm>
          <a:off x="1419226" y="492442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1-p</a:t>
          </a:r>
          <a:endParaRPr kumimoji="1" lang="ja-JP" altLang="en-US" sz="1100"/>
        </a:p>
      </xdr:txBody>
    </xdr:sp>
    <xdr:clientData/>
  </xdr:oneCellAnchor>
  <xdr:twoCellAnchor>
    <xdr:from>
      <xdr:col>1</xdr:col>
      <xdr:colOff>390525</xdr:colOff>
      <xdr:row>94</xdr:row>
      <xdr:rowOff>114300</xdr:rowOff>
    </xdr:from>
    <xdr:to>
      <xdr:col>3</xdr:col>
      <xdr:colOff>247650</xdr:colOff>
      <xdr:row>94</xdr:row>
      <xdr:rowOff>114300</xdr:rowOff>
    </xdr:to>
    <xdr:cxnSp macro="">
      <xdr:nvCxnSpPr>
        <xdr:cNvPr id="32" name="直線矢印コネクタ 31"/>
        <xdr:cNvCxnSpPr/>
      </xdr:nvCxnSpPr>
      <xdr:spPr>
        <a:xfrm>
          <a:off x="1076325" y="5572125"/>
          <a:ext cx="1228725" cy="0"/>
        </a:xfrm>
        <a:prstGeom prst="straightConnector1">
          <a:avLst/>
        </a:prstGeom>
        <a:ln>
          <a:prstDash val="dash"/>
          <a:headEnd type="arrow"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238126</xdr:colOff>
      <xdr:row>94</xdr:row>
      <xdr:rowOff>133350</xdr:rowOff>
    </xdr:from>
    <xdr:ext cx="476250" cy="264560"/>
    <xdr:sp macro="" textlink="">
      <xdr:nvSpPr>
        <xdr:cNvPr id="33" name="テキスト ボックス 32"/>
        <xdr:cNvSpPr txBox="1"/>
      </xdr:nvSpPr>
      <xdr:spPr>
        <a:xfrm>
          <a:off x="1609726" y="559117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dt</a:t>
          </a:r>
          <a:endParaRPr kumimoji="1" lang="ja-JP" altLang="en-US" sz="1100"/>
        </a:p>
      </xdr:txBody>
    </xdr:sp>
    <xdr:clientData/>
  </xdr:oneCellAnchor>
  <xdr:oneCellAnchor>
    <xdr:from>
      <xdr:col>1</xdr:col>
      <xdr:colOff>208685</xdr:colOff>
      <xdr:row>103</xdr:row>
      <xdr:rowOff>131617</xdr:rowOff>
    </xdr:from>
    <xdr:ext cx="476250" cy="264560"/>
    <xdr:sp macro="" textlink="">
      <xdr:nvSpPr>
        <xdr:cNvPr id="34" name="テキスト ボックス 33"/>
        <xdr:cNvSpPr txBox="1"/>
      </xdr:nvSpPr>
      <xdr:spPr>
        <a:xfrm>
          <a:off x="901412" y="15614072"/>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C</a:t>
          </a:r>
          <a:endParaRPr kumimoji="1" lang="ja-JP" altLang="en-US" sz="1100"/>
        </a:p>
      </xdr:txBody>
    </xdr:sp>
    <xdr:clientData/>
  </xdr:oneCellAnchor>
  <xdr:twoCellAnchor>
    <xdr:from>
      <xdr:col>1</xdr:col>
      <xdr:colOff>559454</xdr:colOff>
      <xdr:row>103</xdr:row>
      <xdr:rowOff>28575</xdr:rowOff>
    </xdr:from>
    <xdr:to>
      <xdr:col>2</xdr:col>
      <xdr:colOff>466725</xdr:colOff>
      <xdr:row>104</xdr:row>
      <xdr:rowOff>64434</xdr:rowOff>
    </xdr:to>
    <xdr:cxnSp macro="">
      <xdr:nvCxnSpPr>
        <xdr:cNvPr id="35" name="直線矢印コネクタ 34"/>
        <xdr:cNvCxnSpPr/>
      </xdr:nvCxnSpPr>
      <xdr:spPr>
        <a:xfrm flipV="1">
          <a:off x="1245254" y="15897225"/>
          <a:ext cx="593071" cy="20730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549929</xdr:colOff>
      <xdr:row>104</xdr:row>
      <xdr:rowOff>64433</xdr:rowOff>
    </xdr:from>
    <xdr:to>
      <xdr:col>2</xdr:col>
      <xdr:colOff>466725</xdr:colOff>
      <xdr:row>105</xdr:row>
      <xdr:rowOff>114300</xdr:rowOff>
    </xdr:to>
    <xdr:cxnSp macro="">
      <xdr:nvCxnSpPr>
        <xdr:cNvPr id="36" name="直線矢印コネクタ 35"/>
        <xdr:cNvCxnSpPr/>
      </xdr:nvCxnSpPr>
      <xdr:spPr>
        <a:xfrm>
          <a:off x="1235729" y="16104533"/>
          <a:ext cx="602596" cy="22131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590550</xdr:colOff>
      <xdr:row>102</xdr:row>
      <xdr:rowOff>47625</xdr:rowOff>
    </xdr:from>
    <xdr:ext cx="476250" cy="264560"/>
    <xdr:sp macro="" textlink="">
      <xdr:nvSpPr>
        <xdr:cNvPr id="39" name="テキスト ボックス 38"/>
        <xdr:cNvSpPr txBox="1"/>
      </xdr:nvSpPr>
      <xdr:spPr>
        <a:xfrm>
          <a:off x="1962150" y="15773400"/>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Cu</a:t>
          </a:r>
          <a:endParaRPr kumimoji="1" lang="ja-JP" altLang="en-US" sz="1100"/>
        </a:p>
      </xdr:txBody>
    </xdr:sp>
    <xdr:clientData/>
  </xdr:oneCellAnchor>
  <xdr:oneCellAnchor>
    <xdr:from>
      <xdr:col>2</xdr:col>
      <xdr:colOff>638175</xdr:colOff>
      <xdr:row>104</xdr:row>
      <xdr:rowOff>161925</xdr:rowOff>
    </xdr:from>
    <xdr:ext cx="476250" cy="264560"/>
    <xdr:sp macro="" textlink="">
      <xdr:nvSpPr>
        <xdr:cNvPr id="40" name="テキスト ボックス 39"/>
        <xdr:cNvSpPr txBox="1"/>
      </xdr:nvSpPr>
      <xdr:spPr>
        <a:xfrm>
          <a:off x="2009775" y="1620202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Cd</a:t>
          </a:r>
          <a:endParaRPr kumimoji="1" lang="ja-JP" altLang="en-US" sz="1100"/>
        </a:p>
      </xdr:txBody>
    </xdr:sp>
    <xdr:clientData/>
  </xdr:oneCellAnchor>
  <xdr:twoCellAnchor>
    <xdr:from>
      <xdr:col>3</xdr:col>
      <xdr:colOff>238125</xdr:colOff>
      <xdr:row>101</xdr:row>
      <xdr:rowOff>104775</xdr:rowOff>
    </xdr:from>
    <xdr:to>
      <xdr:col>4</xdr:col>
      <xdr:colOff>145396</xdr:colOff>
      <xdr:row>103</xdr:row>
      <xdr:rowOff>26334</xdr:rowOff>
    </xdr:to>
    <xdr:cxnSp macro="">
      <xdr:nvCxnSpPr>
        <xdr:cNvPr id="41" name="直線矢印コネクタ 40"/>
        <xdr:cNvCxnSpPr/>
      </xdr:nvCxnSpPr>
      <xdr:spPr>
        <a:xfrm flipV="1">
          <a:off x="2295525" y="15687675"/>
          <a:ext cx="593071" cy="20730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276225</xdr:colOff>
      <xdr:row>104</xdr:row>
      <xdr:rowOff>104775</xdr:rowOff>
    </xdr:from>
    <xdr:to>
      <xdr:col>4</xdr:col>
      <xdr:colOff>104775</xdr:colOff>
      <xdr:row>105</xdr:row>
      <xdr:rowOff>64435</xdr:rowOff>
    </xdr:to>
    <xdr:cxnSp macro="">
      <xdr:nvCxnSpPr>
        <xdr:cNvPr id="42" name="直線矢印コネクタ 41"/>
        <xdr:cNvCxnSpPr/>
      </xdr:nvCxnSpPr>
      <xdr:spPr>
        <a:xfrm flipV="1">
          <a:off x="2333625" y="16144875"/>
          <a:ext cx="514350" cy="13111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266700</xdr:colOff>
      <xdr:row>105</xdr:row>
      <xdr:rowOff>64435</xdr:rowOff>
    </xdr:from>
    <xdr:to>
      <xdr:col>4</xdr:col>
      <xdr:colOff>114300</xdr:colOff>
      <xdr:row>107</xdr:row>
      <xdr:rowOff>38100</xdr:rowOff>
    </xdr:to>
    <xdr:cxnSp macro="">
      <xdr:nvCxnSpPr>
        <xdr:cNvPr id="43" name="直線矢印コネクタ 42"/>
        <xdr:cNvCxnSpPr/>
      </xdr:nvCxnSpPr>
      <xdr:spPr>
        <a:xfrm>
          <a:off x="2324100" y="16275985"/>
          <a:ext cx="533400" cy="31656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257175</xdr:colOff>
      <xdr:row>103</xdr:row>
      <xdr:rowOff>24095</xdr:rowOff>
    </xdr:from>
    <xdr:to>
      <xdr:col>4</xdr:col>
      <xdr:colOff>161925</xdr:colOff>
      <xdr:row>103</xdr:row>
      <xdr:rowOff>95250</xdr:rowOff>
    </xdr:to>
    <xdr:cxnSp macro="">
      <xdr:nvCxnSpPr>
        <xdr:cNvPr id="47" name="直線矢印コネクタ 46"/>
        <xdr:cNvCxnSpPr/>
      </xdr:nvCxnSpPr>
      <xdr:spPr>
        <a:xfrm>
          <a:off x="2314575" y="15892745"/>
          <a:ext cx="590550" cy="7115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xdr:col>
      <xdr:colOff>542925</xdr:colOff>
      <xdr:row>102</xdr:row>
      <xdr:rowOff>38100</xdr:rowOff>
    </xdr:from>
    <xdr:ext cx="476250" cy="264560"/>
    <xdr:sp macro="" textlink="">
      <xdr:nvSpPr>
        <xdr:cNvPr id="51" name="テキスト ボックス 50"/>
        <xdr:cNvSpPr txBox="1"/>
      </xdr:nvSpPr>
      <xdr:spPr>
        <a:xfrm>
          <a:off x="1228725" y="1576387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p</a:t>
          </a:r>
          <a:endParaRPr kumimoji="1" lang="ja-JP" altLang="en-US" sz="1100"/>
        </a:p>
      </xdr:txBody>
    </xdr:sp>
    <xdr:clientData/>
  </xdr:oneCellAnchor>
  <xdr:oneCellAnchor>
    <xdr:from>
      <xdr:col>1</xdr:col>
      <xdr:colOff>504825</xdr:colOff>
      <xdr:row>104</xdr:row>
      <xdr:rowOff>123825</xdr:rowOff>
    </xdr:from>
    <xdr:ext cx="476250" cy="264560"/>
    <xdr:sp macro="" textlink="">
      <xdr:nvSpPr>
        <xdr:cNvPr id="52" name="テキスト ボックス 51"/>
        <xdr:cNvSpPr txBox="1"/>
      </xdr:nvSpPr>
      <xdr:spPr>
        <a:xfrm>
          <a:off x="1190625" y="1616392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1-p</a:t>
          </a:r>
          <a:endParaRPr kumimoji="1" lang="ja-JP" altLang="en-US" sz="1100"/>
        </a:p>
      </xdr:txBody>
    </xdr:sp>
    <xdr:clientData/>
  </xdr:oneCellAnchor>
  <xdr:oneCellAnchor>
    <xdr:from>
      <xdr:col>3</xdr:col>
      <xdr:colOff>266700</xdr:colOff>
      <xdr:row>100</xdr:row>
      <xdr:rowOff>104775</xdr:rowOff>
    </xdr:from>
    <xdr:ext cx="476250" cy="264560"/>
    <xdr:sp macro="" textlink="">
      <xdr:nvSpPr>
        <xdr:cNvPr id="53" name="テキスト ボックス 52"/>
        <xdr:cNvSpPr txBox="1"/>
      </xdr:nvSpPr>
      <xdr:spPr>
        <a:xfrm>
          <a:off x="2324100" y="15544800"/>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p</a:t>
          </a:r>
          <a:endParaRPr kumimoji="1" lang="ja-JP" altLang="en-US" sz="1100"/>
        </a:p>
      </xdr:txBody>
    </xdr:sp>
    <xdr:clientData/>
  </xdr:oneCellAnchor>
  <xdr:oneCellAnchor>
    <xdr:from>
      <xdr:col>3</xdr:col>
      <xdr:colOff>228600</xdr:colOff>
      <xdr:row>103</xdr:row>
      <xdr:rowOff>161925</xdr:rowOff>
    </xdr:from>
    <xdr:ext cx="476250" cy="264560"/>
    <xdr:sp macro="" textlink="">
      <xdr:nvSpPr>
        <xdr:cNvPr id="54" name="テキスト ボックス 53"/>
        <xdr:cNvSpPr txBox="1"/>
      </xdr:nvSpPr>
      <xdr:spPr>
        <a:xfrm>
          <a:off x="2286000" y="1603057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p</a:t>
          </a:r>
          <a:endParaRPr kumimoji="1" lang="ja-JP" altLang="en-US" sz="1100"/>
        </a:p>
      </xdr:txBody>
    </xdr:sp>
    <xdr:clientData/>
  </xdr:oneCellAnchor>
  <xdr:oneCellAnchor>
    <xdr:from>
      <xdr:col>3</xdr:col>
      <xdr:colOff>200025</xdr:colOff>
      <xdr:row>103</xdr:row>
      <xdr:rowOff>19050</xdr:rowOff>
    </xdr:from>
    <xdr:ext cx="476250" cy="264560"/>
    <xdr:sp macro="" textlink="">
      <xdr:nvSpPr>
        <xdr:cNvPr id="55" name="テキスト ボックス 54"/>
        <xdr:cNvSpPr txBox="1"/>
      </xdr:nvSpPr>
      <xdr:spPr>
        <a:xfrm>
          <a:off x="2257425" y="15887700"/>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1-p</a:t>
          </a:r>
          <a:endParaRPr kumimoji="1" lang="ja-JP" altLang="en-US" sz="1100"/>
        </a:p>
      </xdr:txBody>
    </xdr:sp>
    <xdr:clientData/>
  </xdr:oneCellAnchor>
  <xdr:oneCellAnchor>
    <xdr:from>
      <xdr:col>3</xdr:col>
      <xdr:colOff>276225</xdr:colOff>
      <xdr:row>105</xdr:row>
      <xdr:rowOff>152400</xdr:rowOff>
    </xdr:from>
    <xdr:ext cx="476250" cy="264560"/>
    <xdr:sp macro="" textlink="">
      <xdr:nvSpPr>
        <xdr:cNvPr id="56" name="テキスト ボックス 55"/>
        <xdr:cNvSpPr txBox="1"/>
      </xdr:nvSpPr>
      <xdr:spPr>
        <a:xfrm>
          <a:off x="2333625" y="16363950"/>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1-p</a:t>
          </a:r>
          <a:endParaRPr kumimoji="1" lang="ja-JP" altLang="en-US" sz="1100"/>
        </a:p>
      </xdr:txBody>
    </xdr:sp>
    <xdr:clientData/>
  </xdr:oneCellAnchor>
  <xdr:oneCellAnchor>
    <xdr:from>
      <xdr:col>4</xdr:col>
      <xdr:colOff>161925</xdr:colOff>
      <xdr:row>100</xdr:row>
      <xdr:rowOff>114300</xdr:rowOff>
    </xdr:from>
    <xdr:ext cx="476250" cy="264560"/>
    <xdr:sp macro="" textlink="">
      <xdr:nvSpPr>
        <xdr:cNvPr id="57" name="テキスト ボックス 56"/>
        <xdr:cNvSpPr txBox="1"/>
      </xdr:nvSpPr>
      <xdr:spPr>
        <a:xfrm>
          <a:off x="2905125" y="1555432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Cu^2</a:t>
          </a:r>
          <a:endParaRPr kumimoji="1" lang="ja-JP" altLang="en-US" sz="1100"/>
        </a:p>
      </xdr:txBody>
    </xdr:sp>
    <xdr:clientData/>
  </xdr:oneCellAnchor>
  <xdr:oneCellAnchor>
    <xdr:from>
      <xdr:col>4</xdr:col>
      <xdr:colOff>161925</xdr:colOff>
      <xdr:row>106</xdr:row>
      <xdr:rowOff>76200</xdr:rowOff>
    </xdr:from>
    <xdr:ext cx="476250" cy="264560"/>
    <xdr:sp macro="" textlink="">
      <xdr:nvSpPr>
        <xdr:cNvPr id="58" name="テキスト ボックス 57"/>
        <xdr:cNvSpPr txBox="1"/>
      </xdr:nvSpPr>
      <xdr:spPr>
        <a:xfrm>
          <a:off x="2905125" y="16459200"/>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Cd^2</a:t>
          </a:r>
          <a:endParaRPr kumimoji="1" lang="ja-JP" altLang="en-US" sz="1100"/>
        </a:p>
      </xdr:txBody>
    </xdr:sp>
    <xdr:clientData/>
  </xdr:oneCellAnchor>
  <xdr:oneCellAnchor>
    <xdr:from>
      <xdr:col>4</xdr:col>
      <xdr:colOff>171450</xdr:colOff>
      <xdr:row>103</xdr:row>
      <xdr:rowOff>0</xdr:rowOff>
    </xdr:from>
    <xdr:ext cx="476250" cy="264560"/>
    <xdr:sp macro="" textlink="">
      <xdr:nvSpPr>
        <xdr:cNvPr id="59" name="テキスト ボックス 58"/>
        <xdr:cNvSpPr txBox="1"/>
      </xdr:nvSpPr>
      <xdr:spPr>
        <a:xfrm>
          <a:off x="2914650" y="15868650"/>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Cud</a:t>
          </a:r>
          <a:endParaRPr kumimoji="1" lang="ja-JP" altLang="en-US" sz="1100"/>
        </a:p>
      </xdr:txBody>
    </xdr:sp>
    <xdr:clientData/>
  </xdr:oneCellAnchor>
  <xdr:oneCellAnchor>
    <xdr:from>
      <xdr:col>4</xdr:col>
      <xdr:colOff>180975</xdr:colOff>
      <xdr:row>104</xdr:row>
      <xdr:rowOff>9525</xdr:rowOff>
    </xdr:from>
    <xdr:ext cx="476250" cy="264560"/>
    <xdr:sp macro="" textlink="">
      <xdr:nvSpPr>
        <xdr:cNvPr id="61" name="テキスト ボックス 60"/>
        <xdr:cNvSpPr txBox="1"/>
      </xdr:nvSpPr>
      <xdr:spPr>
        <a:xfrm>
          <a:off x="2924175" y="1604962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Cdu</a:t>
          </a:r>
          <a:endParaRPr kumimoji="1" lang="ja-JP" altLang="en-US" sz="1100"/>
        </a:p>
      </xdr:txBody>
    </xdr:sp>
    <xdr:clientData/>
  </xdr:oneCellAnchor>
  <xdr:twoCellAnchor>
    <xdr:from>
      <xdr:col>8</xdr:col>
      <xdr:colOff>261937</xdr:colOff>
      <xdr:row>107</xdr:row>
      <xdr:rowOff>42864</xdr:rowOff>
    </xdr:from>
    <xdr:to>
      <xdr:col>10</xdr:col>
      <xdr:colOff>657224</xdr:colOff>
      <xdr:row>108</xdr:row>
      <xdr:rowOff>109539</xdr:rowOff>
    </xdr:to>
    <xdr:sp macro="" textlink="">
      <xdr:nvSpPr>
        <xdr:cNvPr id="62" name="右中かっこ 61"/>
        <xdr:cNvSpPr/>
      </xdr:nvSpPr>
      <xdr:spPr>
        <a:xfrm rot="5400000">
          <a:off x="6479381" y="15932945"/>
          <a:ext cx="304800" cy="1766887"/>
        </a:xfrm>
        <a:prstGeom prst="rightBrace">
          <a:avLst/>
        </a:prstGeom>
      </xdr:spPr>
      <xdr:style>
        <a:lnRef idx="1">
          <a:schemeClr val="dk1"/>
        </a:lnRef>
        <a:fillRef idx="0">
          <a:schemeClr val="dk1"/>
        </a:fillRef>
        <a:effectRef idx="0">
          <a:schemeClr val="dk1"/>
        </a:effectRef>
        <a:fontRef idx="minor">
          <a:schemeClr val="tx1"/>
        </a:fontRef>
      </xdr:style>
      <xdr:txBody>
        <a:bodyPr vertOverflow="clip" rtlCol="0" anchor="ctr"/>
        <a:lstStyle/>
        <a:p>
          <a:pPr algn="ctr"/>
          <a:endParaRPr kumimoji="1" lang="ja-JP" altLang="en-US" sz="1100"/>
        </a:p>
      </xdr:txBody>
    </xdr:sp>
    <xdr:clientData/>
  </xdr:twoCellAnchor>
  <xdr:twoCellAnchor>
    <xdr:from>
      <xdr:col>2</xdr:col>
      <xdr:colOff>333375</xdr:colOff>
      <xdr:row>140</xdr:row>
      <xdr:rowOff>123825</xdr:rowOff>
    </xdr:from>
    <xdr:to>
      <xdr:col>3</xdr:col>
      <xdr:colOff>57150</xdr:colOff>
      <xdr:row>145</xdr:row>
      <xdr:rowOff>19050</xdr:rowOff>
    </xdr:to>
    <xdr:sp macro="" textlink="">
      <xdr:nvSpPr>
        <xdr:cNvPr id="63" name="下矢印 62"/>
        <xdr:cNvSpPr/>
      </xdr:nvSpPr>
      <xdr:spPr>
        <a:xfrm>
          <a:off x="1704975" y="22755225"/>
          <a:ext cx="409575" cy="752475"/>
        </a:xfrm>
        <a:prstGeom prst="downArrow">
          <a:avLst/>
        </a:prstGeom>
      </xdr:spPr>
      <xdr:style>
        <a:lnRef idx="2">
          <a:schemeClr val="dk1"/>
        </a:lnRef>
        <a:fillRef idx="1">
          <a:schemeClr val="lt1"/>
        </a:fillRef>
        <a:effectRef idx="0">
          <a:schemeClr val="dk1"/>
        </a:effectRef>
        <a:fontRef idx="minor">
          <a:schemeClr val="dk1"/>
        </a:fontRef>
      </xdr:style>
      <xdr:txBody>
        <a:bodyPr vertOverflow="clip" rtlCol="0" anchor="ctr"/>
        <a:lstStyle/>
        <a:p>
          <a:pPr algn="ctr"/>
          <a:endParaRPr kumimoji="1" lang="ja-JP" altLang="en-US" sz="1100"/>
        </a:p>
      </xdr:txBody>
    </xdr:sp>
    <xdr:clientData/>
  </xdr:twoCellAnchor>
  <xdr:twoCellAnchor>
    <xdr:from>
      <xdr:col>1</xdr:col>
      <xdr:colOff>157162</xdr:colOff>
      <xdr:row>153</xdr:row>
      <xdr:rowOff>33339</xdr:rowOff>
    </xdr:from>
    <xdr:to>
      <xdr:col>2</xdr:col>
      <xdr:colOff>261937</xdr:colOff>
      <xdr:row>155</xdr:row>
      <xdr:rowOff>14289</xdr:rowOff>
    </xdr:to>
    <xdr:sp macro="" textlink="">
      <xdr:nvSpPr>
        <xdr:cNvPr id="65" name="右中かっこ 64"/>
        <xdr:cNvSpPr/>
      </xdr:nvSpPr>
      <xdr:spPr>
        <a:xfrm rot="5400000">
          <a:off x="1076325" y="25688926"/>
          <a:ext cx="323850" cy="790575"/>
        </a:xfrm>
        <a:prstGeom prst="rightBrace">
          <a:avLst/>
        </a:prstGeom>
      </xdr:spPr>
      <xdr:style>
        <a:lnRef idx="2">
          <a:schemeClr val="dk1"/>
        </a:lnRef>
        <a:fillRef idx="0">
          <a:schemeClr val="dk1"/>
        </a:fillRef>
        <a:effectRef idx="1">
          <a:schemeClr val="dk1"/>
        </a:effectRef>
        <a:fontRef idx="minor">
          <a:schemeClr val="tx1"/>
        </a:fontRef>
      </xdr:style>
      <xdr:txBody>
        <a:bodyPr vertOverflow="clip" rtlCol="0" anchor="ctr"/>
        <a:lstStyle/>
        <a:p>
          <a:pPr algn="ctr"/>
          <a:endParaRPr kumimoji="1" lang="ja-JP" altLang="en-US" sz="1100"/>
        </a:p>
      </xdr:txBody>
    </xdr:sp>
    <xdr:clientData/>
  </xdr:twoCellAnchor>
  <xdr:twoCellAnchor>
    <xdr:from>
      <xdr:col>2</xdr:col>
      <xdr:colOff>333375</xdr:colOff>
      <xdr:row>162</xdr:row>
      <xdr:rowOff>152400</xdr:rowOff>
    </xdr:from>
    <xdr:to>
      <xdr:col>3</xdr:col>
      <xdr:colOff>57150</xdr:colOff>
      <xdr:row>167</xdr:row>
      <xdr:rowOff>47625</xdr:rowOff>
    </xdr:to>
    <xdr:sp macro="" textlink="">
      <xdr:nvSpPr>
        <xdr:cNvPr id="66" name="下矢印 65"/>
        <xdr:cNvSpPr/>
      </xdr:nvSpPr>
      <xdr:spPr>
        <a:xfrm>
          <a:off x="1704975" y="27584400"/>
          <a:ext cx="409575" cy="752475"/>
        </a:xfrm>
        <a:prstGeom prst="downArrow">
          <a:avLst/>
        </a:prstGeom>
      </xdr:spPr>
      <xdr:style>
        <a:lnRef idx="2">
          <a:schemeClr val="dk1"/>
        </a:lnRef>
        <a:fillRef idx="1">
          <a:schemeClr val="lt1"/>
        </a:fillRef>
        <a:effectRef idx="0">
          <a:schemeClr val="dk1"/>
        </a:effectRef>
        <a:fontRef idx="minor">
          <a:schemeClr val="dk1"/>
        </a:fontRef>
      </xdr:style>
      <xdr:txBody>
        <a:bodyPr vertOverflow="clip" rtlCol="0" anchor="ctr"/>
        <a:lstStyle/>
        <a:p>
          <a:pPr algn="ctr"/>
          <a:endParaRPr kumimoji="1" lang="ja-JP" altLang="en-US" sz="1100"/>
        </a:p>
      </xdr:txBody>
    </xdr:sp>
    <xdr:clientData/>
  </xdr:twoCellAnchor>
  <xdr:twoCellAnchor>
    <xdr:from>
      <xdr:col>2</xdr:col>
      <xdr:colOff>333375</xdr:colOff>
      <xdr:row>182</xdr:row>
      <xdr:rowOff>57150</xdr:rowOff>
    </xdr:from>
    <xdr:to>
      <xdr:col>3</xdr:col>
      <xdr:colOff>57150</xdr:colOff>
      <xdr:row>186</xdr:row>
      <xdr:rowOff>123825</xdr:rowOff>
    </xdr:to>
    <xdr:sp macro="" textlink="">
      <xdr:nvSpPr>
        <xdr:cNvPr id="67" name="下矢印 66"/>
        <xdr:cNvSpPr/>
      </xdr:nvSpPr>
      <xdr:spPr>
        <a:xfrm>
          <a:off x="1704975" y="31013400"/>
          <a:ext cx="409575" cy="752475"/>
        </a:xfrm>
        <a:prstGeom prst="downArrow">
          <a:avLst/>
        </a:prstGeom>
      </xdr:spPr>
      <xdr:style>
        <a:lnRef idx="2">
          <a:schemeClr val="dk1"/>
        </a:lnRef>
        <a:fillRef idx="1">
          <a:schemeClr val="lt1"/>
        </a:fillRef>
        <a:effectRef idx="0">
          <a:schemeClr val="dk1"/>
        </a:effectRef>
        <a:fontRef idx="minor">
          <a:schemeClr val="dk1"/>
        </a:fontRef>
      </xdr:style>
      <xdr:txBody>
        <a:bodyPr vertOverflow="clip" rtlCol="0" anchor="ctr"/>
        <a:lstStyle/>
        <a:p>
          <a:pPr algn="ctr"/>
          <a:endParaRPr kumimoji="1" lang="ja-JP" altLang="en-US" sz="1100"/>
        </a:p>
      </xdr:txBody>
    </xdr:sp>
    <xdr:clientData/>
  </xdr:twoCellAnchor>
  <xdr:twoCellAnchor>
    <xdr:from>
      <xdr:col>7</xdr:col>
      <xdr:colOff>133350</xdr:colOff>
      <xdr:row>170</xdr:row>
      <xdr:rowOff>114300</xdr:rowOff>
    </xdr:from>
    <xdr:to>
      <xdr:col>7</xdr:col>
      <xdr:colOff>523875</xdr:colOff>
      <xdr:row>180</xdr:row>
      <xdr:rowOff>28575</xdr:rowOff>
    </xdr:to>
    <xdr:sp macro="" textlink="">
      <xdr:nvSpPr>
        <xdr:cNvPr id="68" name="右中かっこ 67"/>
        <xdr:cNvSpPr/>
      </xdr:nvSpPr>
      <xdr:spPr>
        <a:xfrm>
          <a:off x="4933950" y="28927425"/>
          <a:ext cx="390525" cy="1704975"/>
        </a:xfrm>
        <a:prstGeom prst="rightBrace">
          <a:avLst/>
        </a:prstGeom>
      </xdr:spPr>
      <xdr:style>
        <a:lnRef idx="2">
          <a:schemeClr val="dk1"/>
        </a:lnRef>
        <a:fillRef idx="0">
          <a:schemeClr val="dk1"/>
        </a:fillRef>
        <a:effectRef idx="1">
          <a:schemeClr val="dk1"/>
        </a:effectRef>
        <a:fontRef idx="minor">
          <a:schemeClr val="tx1"/>
        </a:fontRef>
      </xdr:style>
      <xdr:txBody>
        <a:bodyPr vertOverflow="clip" rtlCol="0" anchor="ctr"/>
        <a:lstStyle/>
        <a:p>
          <a:pPr algn="ctr"/>
          <a:endParaRPr kumimoji="1" lang="ja-JP" altLang="en-US" sz="1100"/>
        </a:p>
      </xdr:txBody>
    </xdr:sp>
    <xdr:clientData/>
  </xdr:twoCellAnchor>
  <xdr:twoCellAnchor>
    <xdr:from>
      <xdr:col>10</xdr:col>
      <xdr:colOff>66676</xdr:colOff>
      <xdr:row>188</xdr:row>
      <xdr:rowOff>114299</xdr:rowOff>
    </xdr:from>
    <xdr:to>
      <xdr:col>10</xdr:col>
      <xdr:colOff>590550</xdr:colOff>
      <xdr:row>204</xdr:row>
      <xdr:rowOff>76199</xdr:rowOff>
    </xdr:to>
    <xdr:sp macro="" textlink="">
      <xdr:nvSpPr>
        <xdr:cNvPr id="69" name="右中かっこ 68"/>
        <xdr:cNvSpPr/>
      </xdr:nvSpPr>
      <xdr:spPr>
        <a:xfrm>
          <a:off x="6924676" y="31080074"/>
          <a:ext cx="523874" cy="2752725"/>
        </a:xfrm>
        <a:prstGeom prst="rightBrace">
          <a:avLst>
            <a:gd name="adj1" fmla="val 8333"/>
            <a:gd name="adj2" fmla="val 50358"/>
          </a:avLst>
        </a:prstGeom>
      </xdr:spPr>
      <xdr:style>
        <a:lnRef idx="2">
          <a:schemeClr val="dk1"/>
        </a:lnRef>
        <a:fillRef idx="0">
          <a:schemeClr val="dk1"/>
        </a:fillRef>
        <a:effectRef idx="1">
          <a:schemeClr val="dk1"/>
        </a:effectRef>
        <a:fontRef idx="minor">
          <a:schemeClr val="tx1"/>
        </a:fontRef>
      </xdr:style>
      <xdr:txBody>
        <a:bodyPr vertOverflow="clip" rtlCol="0" anchor="ctr"/>
        <a:lstStyle/>
        <a:p>
          <a:pPr algn="ctr"/>
          <a:endParaRPr kumimoji="1" lang="ja-JP" altLang="en-US" sz="1100"/>
        </a:p>
      </xdr:txBody>
    </xdr:sp>
    <xdr:clientData/>
  </xdr:twoCellAnchor>
  <xdr:twoCellAnchor>
    <xdr:from>
      <xdr:col>1</xdr:col>
      <xdr:colOff>390525</xdr:colOff>
      <xdr:row>227</xdr:row>
      <xdr:rowOff>0</xdr:rowOff>
    </xdr:from>
    <xdr:to>
      <xdr:col>3</xdr:col>
      <xdr:colOff>152400</xdr:colOff>
      <xdr:row>231</xdr:row>
      <xdr:rowOff>66675</xdr:rowOff>
    </xdr:to>
    <xdr:cxnSp macro="">
      <xdr:nvCxnSpPr>
        <xdr:cNvPr id="70" name="直線矢印コネクタ 69"/>
        <xdr:cNvCxnSpPr/>
      </xdr:nvCxnSpPr>
      <xdr:spPr>
        <a:xfrm flipV="1">
          <a:off x="1076325" y="12963525"/>
          <a:ext cx="1133475" cy="6381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381000</xdr:colOff>
      <xdr:row>231</xdr:row>
      <xdr:rowOff>66675</xdr:rowOff>
    </xdr:from>
    <xdr:to>
      <xdr:col>3</xdr:col>
      <xdr:colOff>171450</xdr:colOff>
      <xdr:row>234</xdr:row>
      <xdr:rowOff>104775</xdr:rowOff>
    </xdr:to>
    <xdr:cxnSp macro="">
      <xdr:nvCxnSpPr>
        <xdr:cNvPr id="71" name="直線矢印コネクタ 70"/>
        <xdr:cNvCxnSpPr/>
      </xdr:nvCxnSpPr>
      <xdr:spPr>
        <a:xfrm>
          <a:off x="1066800" y="13601700"/>
          <a:ext cx="1162050" cy="6572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xdr:col>
      <xdr:colOff>142876</xdr:colOff>
      <xdr:row>230</xdr:row>
      <xdr:rowOff>104775</xdr:rowOff>
    </xdr:from>
    <xdr:ext cx="476250" cy="264560"/>
    <xdr:sp macro="" textlink="">
      <xdr:nvSpPr>
        <xdr:cNvPr id="72" name="テキスト ボックス 71"/>
        <xdr:cNvSpPr txBox="1"/>
      </xdr:nvSpPr>
      <xdr:spPr>
        <a:xfrm>
          <a:off x="828676" y="38366700"/>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0</a:t>
          </a:r>
          <a:endParaRPr kumimoji="1" lang="ja-JP" altLang="en-US" sz="1100"/>
        </a:p>
      </xdr:txBody>
    </xdr:sp>
    <xdr:clientData/>
  </xdr:oneCellAnchor>
  <xdr:oneCellAnchor>
    <xdr:from>
      <xdr:col>3</xdr:col>
      <xdr:colOff>200026</xdr:colOff>
      <xdr:row>226</xdr:row>
      <xdr:rowOff>9525</xdr:rowOff>
    </xdr:from>
    <xdr:ext cx="1171574" cy="436786"/>
    <xdr:sp macro="" textlink="">
      <xdr:nvSpPr>
        <xdr:cNvPr id="73" name="テキスト ボックス 72"/>
        <xdr:cNvSpPr txBox="1"/>
      </xdr:nvSpPr>
      <xdr:spPr>
        <a:xfrm>
          <a:off x="2257426" y="37585650"/>
          <a:ext cx="1171574" cy="43678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a:t>νdt</a:t>
          </a:r>
          <a:r>
            <a:rPr kumimoji="1" lang="en-US" altLang="ja-JP" sz="1100" baseline="0"/>
            <a:t> + σ</a:t>
          </a:r>
          <a:r>
            <a:rPr kumimoji="1" lang="ja-JP" altLang="en-US" sz="1100" baseline="0">
              <a:latin typeface="+mj-ea"/>
              <a:ea typeface="+mj-ea"/>
            </a:rPr>
            <a:t>√</a:t>
          </a:r>
          <a:r>
            <a:rPr kumimoji="1" lang="en-US" altLang="ja-JP" sz="1100" baseline="0"/>
            <a:t>dt</a:t>
          </a:r>
          <a:endParaRPr kumimoji="1" lang="ja-JP" altLang="en-US" sz="1100"/>
        </a:p>
      </xdr:txBody>
    </xdr:sp>
    <xdr:clientData/>
  </xdr:oneCellAnchor>
  <xdr:oneCellAnchor>
    <xdr:from>
      <xdr:col>2</xdr:col>
      <xdr:colOff>95251</xdr:colOff>
      <xdr:row>226</xdr:row>
      <xdr:rowOff>114300</xdr:rowOff>
    </xdr:from>
    <xdr:ext cx="476250" cy="264560"/>
    <xdr:sp macro="" textlink="">
      <xdr:nvSpPr>
        <xdr:cNvPr id="75" name="テキスト ボックス 74"/>
        <xdr:cNvSpPr txBox="1"/>
      </xdr:nvSpPr>
      <xdr:spPr>
        <a:xfrm>
          <a:off x="1466851" y="12934950"/>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p</a:t>
          </a:r>
          <a:endParaRPr kumimoji="1" lang="ja-JP" altLang="en-US" sz="1100"/>
        </a:p>
      </xdr:txBody>
    </xdr:sp>
    <xdr:clientData/>
  </xdr:oneCellAnchor>
  <xdr:oneCellAnchor>
    <xdr:from>
      <xdr:col>2</xdr:col>
      <xdr:colOff>47626</xdr:colOff>
      <xdr:row>233</xdr:row>
      <xdr:rowOff>38100</xdr:rowOff>
    </xdr:from>
    <xdr:ext cx="476250" cy="264560"/>
    <xdr:sp macro="" textlink="">
      <xdr:nvSpPr>
        <xdr:cNvPr id="76" name="テキスト ボックス 75"/>
        <xdr:cNvSpPr txBox="1"/>
      </xdr:nvSpPr>
      <xdr:spPr>
        <a:xfrm>
          <a:off x="1419226" y="1395412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1-p</a:t>
          </a:r>
          <a:endParaRPr kumimoji="1" lang="ja-JP" altLang="en-US" sz="1100"/>
        </a:p>
      </xdr:txBody>
    </xdr:sp>
    <xdr:clientData/>
  </xdr:oneCellAnchor>
  <xdr:twoCellAnchor>
    <xdr:from>
      <xdr:col>1</xdr:col>
      <xdr:colOff>390525</xdr:colOff>
      <xdr:row>237</xdr:row>
      <xdr:rowOff>114300</xdr:rowOff>
    </xdr:from>
    <xdr:to>
      <xdr:col>3</xdr:col>
      <xdr:colOff>247650</xdr:colOff>
      <xdr:row>237</xdr:row>
      <xdr:rowOff>114300</xdr:rowOff>
    </xdr:to>
    <xdr:cxnSp macro="">
      <xdr:nvCxnSpPr>
        <xdr:cNvPr id="77" name="直線矢印コネクタ 76"/>
        <xdr:cNvCxnSpPr/>
      </xdr:nvCxnSpPr>
      <xdr:spPr>
        <a:xfrm>
          <a:off x="1076325" y="14697075"/>
          <a:ext cx="1228725" cy="0"/>
        </a:xfrm>
        <a:prstGeom prst="straightConnector1">
          <a:avLst/>
        </a:prstGeom>
        <a:ln>
          <a:prstDash val="dash"/>
          <a:headEnd type="arrow"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238126</xdr:colOff>
      <xdr:row>237</xdr:row>
      <xdr:rowOff>133350</xdr:rowOff>
    </xdr:from>
    <xdr:ext cx="476250" cy="264560"/>
    <xdr:sp macro="" textlink="">
      <xdr:nvSpPr>
        <xdr:cNvPr id="78" name="テキスト ボックス 77"/>
        <xdr:cNvSpPr txBox="1"/>
      </xdr:nvSpPr>
      <xdr:spPr>
        <a:xfrm>
          <a:off x="1609726" y="1471612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dt</a:t>
          </a:r>
          <a:endParaRPr kumimoji="1" lang="ja-JP" altLang="en-US" sz="1100"/>
        </a:p>
      </xdr:txBody>
    </xdr:sp>
    <xdr:clientData/>
  </xdr:oneCellAnchor>
  <xdr:oneCellAnchor>
    <xdr:from>
      <xdr:col>3</xdr:col>
      <xdr:colOff>123825</xdr:colOff>
      <xdr:row>233</xdr:row>
      <xdr:rowOff>114300</xdr:rowOff>
    </xdr:from>
    <xdr:ext cx="1171574" cy="436786"/>
    <xdr:sp macro="" textlink="">
      <xdr:nvSpPr>
        <xdr:cNvPr id="79" name="テキスト ボックス 78"/>
        <xdr:cNvSpPr txBox="1"/>
      </xdr:nvSpPr>
      <xdr:spPr>
        <a:xfrm>
          <a:off x="2181225" y="38890575"/>
          <a:ext cx="1171574" cy="43678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a:t>νdt</a:t>
          </a:r>
          <a:r>
            <a:rPr kumimoji="1" lang="en-US" altLang="ja-JP" sz="1100" baseline="0"/>
            <a:t> - σ</a:t>
          </a:r>
          <a:r>
            <a:rPr kumimoji="1" lang="ja-JP" altLang="en-US" sz="1100" baseline="0">
              <a:latin typeface="+mj-ea"/>
              <a:ea typeface="+mj-ea"/>
            </a:rPr>
            <a:t>√</a:t>
          </a:r>
          <a:r>
            <a:rPr kumimoji="1" lang="en-US" altLang="ja-JP" sz="1100" baseline="0"/>
            <a:t>dt</a:t>
          </a:r>
          <a:endParaRPr kumimoji="1" lang="ja-JP" altLang="en-US" sz="1100"/>
        </a:p>
      </xdr:txBody>
    </xdr:sp>
    <xdr:clientData/>
  </xdr:oneCellAnchor>
  <xdr:twoCellAnchor>
    <xdr:from>
      <xdr:col>8</xdr:col>
      <xdr:colOff>476250</xdr:colOff>
      <xdr:row>242</xdr:row>
      <xdr:rowOff>0</xdr:rowOff>
    </xdr:from>
    <xdr:to>
      <xdr:col>9</xdr:col>
      <xdr:colOff>352425</xdr:colOff>
      <xdr:row>278</xdr:row>
      <xdr:rowOff>9525</xdr:rowOff>
    </xdr:to>
    <xdr:sp macro="" textlink="">
      <xdr:nvSpPr>
        <xdr:cNvPr id="23" name="右中かっこ 22"/>
        <xdr:cNvSpPr/>
      </xdr:nvSpPr>
      <xdr:spPr>
        <a:xfrm>
          <a:off x="5962650" y="40319325"/>
          <a:ext cx="561975" cy="6181725"/>
        </a:xfrm>
        <a:prstGeom prst="rightBrace">
          <a:avLst/>
        </a:prstGeom>
      </xdr:spPr>
      <xdr:style>
        <a:lnRef idx="2">
          <a:schemeClr val="dk1"/>
        </a:lnRef>
        <a:fillRef idx="0">
          <a:schemeClr val="dk1"/>
        </a:fillRef>
        <a:effectRef idx="1">
          <a:schemeClr val="dk1"/>
        </a:effectRef>
        <a:fontRef idx="minor">
          <a:schemeClr val="tx1"/>
        </a:fontRef>
      </xdr:style>
      <xdr:txBody>
        <a:bodyPr vertOverflow="clip" horzOverflow="clip" rtlCol="0" anchor="t"/>
        <a:lstStyle/>
        <a:p>
          <a:pPr algn="l"/>
          <a:endParaRPr kumimoji="1" lang="ja-JP" altLang="en-US" sz="1100"/>
        </a:p>
      </xdr:txBody>
    </xdr:sp>
    <xdr:clientData/>
  </xdr:twoCellAnchor>
  <xdr:oneCellAnchor>
    <xdr:from>
      <xdr:col>9</xdr:col>
      <xdr:colOff>428625</xdr:colOff>
      <xdr:row>259</xdr:row>
      <xdr:rowOff>47625</xdr:rowOff>
    </xdr:from>
    <xdr:ext cx="711477" cy="264560"/>
    <xdr:sp macro="" textlink="">
      <xdr:nvSpPr>
        <xdr:cNvPr id="37" name="テキスト ボックス 36"/>
        <xdr:cNvSpPr txBox="1"/>
      </xdr:nvSpPr>
      <xdr:spPr>
        <a:xfrm>
          <a:off x="6600825" y="43281600"/>
          <a:ext cx="7114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ln S(t)/S0</a:t>
          </a:r>
          <a:endParaRPr kumimoji="1" lang="ja-JP" altLang="en-US" sz="1100"/>
        </a:p>
      </xdr:txBody>
    </xdr:sp>
    <xdr:clientData/>
  </xdr:oneCellAnchor>
  <xdr:twoCellAnchor>
    <xdr:from>
      <xdr:col>0</xdr:col>
      <xdr:colOff>209549</xdr:colOff>
      <xdr:row>305</xdr:row>
      <xdr:rowOff>85725</xdr:rowOff>
    </xdr:from>
    <xdr:to>
      <xdr:col>1</xdr:col>
      <xdr:colOff>457200</xdr:colOff>
      <xdr:row>320</xdr:row>
      <xdr:rowOff>95251</xdr:rowOff>
    </xdr:to>
    <xdr:sp macro="" textlink="">
      <xdr:nvSpPr>
        <xdr:cNvPr id="38" name="正方形/長方形 37"/>
        <xdr:cNvSpPr/>
      </xdr:nvSpPr>
      <xdr:spPr>
        <a:xfrm>
          <a:off x="209549" y="51549300"/>
          <a:ext cx="933451" cy="258127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原資産価格の確率過程</a:t>
          </a:r>
        </a:p>
      </xdr:txBody>
    </xdr:sp>
    <xdr:clientData/>
  </xdr:twoCellAnchor>
  <xdr:twoCellAnchor>
    <xdr:from>
      <xdr:col>0</xdr:col>
      <xdr:colOff>238125</xdr:colOff>
      <xdr:row>321</xdr:row>
      <xdr:rowOff>133350</xdr:rowOff>
    </xdr:from>
    <xdr:to>
      <xdr:col>1</xdr:col>
      <xdr:colOff>466725</xdr:colOff>
      <xdr:row>330</xdr:row>
      <xdr:rowOff>152400</xdr:rowOff>
    </xdr:to>
    <xdr:sp macro="" textlink="">
      <xdr:nvSpPr>
        <xdr:cNvPr id="74" name="正方形/長方形 73"/>
        <xdr:cNvSpPr/>
      </xdr:nvSpPr>
      <xdr:spPr>
        <a:xfrm>
          <a:off x="238125" y="54340125"/>
          <a:ext cx="914400" cy="1562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デリバティブのプライシング</a:t>
          </a:r>
        </a:p>
      </xdr:txBody>
    </xdr:sp>
    <xdr:clientData/>
  </xdr:twoCellAnchor>
  <xdr:twoCellAnchor>
    <xdr:from>
      <xdr:col>2</xdr:col>
      <xdr:colOff>85725</xdr:colOff>
      <xdr:row>301</xdr:row>
      <xdr:rowOff>38100</xdr:rowOff>
    </xdr:from>
    <xdr:to>
      <xdr:col>4</xdr:col>
      <xdr:colOff>561975</xdr:colOff>
      <xdr:row>303</xdr:row>
      <xdr:rowOff>95250</xdr:rowOff>
    </xdr:to>
    <xdr:sp macro="" textlink="">
      <xdr:nvSpPr>
        <xdr:cNvPr id="80" name="正方形/長方形 79"/>
        <xdr:cNvSpPr/>
      </xdr:nvSpPr>
      <xdr:spPr>
        <a:xfrm>
          <a:off x="1457325" y="50815875"/>
          <a:ext cx="1847850" cy="4000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現実経済</a:t>
          </a:r>
        </a:p>
      </xdr:txBody>
    </xdr:sp>
    <xdr:clientData/>
  </xdr:twoCellAnchor>
  <xdr:twoCellAnchor>
    <xdr:from>
      <xdr:col>6</xdr:col>
      <xdr:colOff>485775</xdr:colOff>
      <xdr:row>301</xdr:row>
      <xdr:rowOff>0</xdr:rowOff>
    </xdr:from>
    <xdr:to>
      <xdr:col>9</xdr:col>
      <xdr:colOff>276225</xdr:colOff>
      <xdr:row>303</xdr:row>
      <xdr:rowOff>57150</xdr:rowOff>
    </xdr:to>
    <xdr:sp macro="" textlink="">
      <xdr:nvSpPr>
        <xdr:cNvPr id="81" name="正方形/長方形 80"/>
        <xdr:cNvSpPr/>
      </xdr:nvSpPr>
      <xdr:spPr>
        <a:xfrm>
          <a:off x="4600575" y="50777775"/>
          <a:ext cx="1847850" cy="4000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リスク中立経済</a:t>
          </a:r>
        </a:p>
      </xdr:txBody>
    </xdr:sp>
    <xdr:clientData/>
  </xdr:twoCellAnchor>
  <xdr:twoCellAnchor>
    <xdr:from>
      <xdr:col>5</xdr:col>
      <xdr:colOff>190500</xdr:colOff>
      <xdr:row>301</xdr:row>
      <xdr:rowOff>47625</xdr:rowOff>
    </xdr:from>
    <xdr:to>
      <xdr:col>6</xdr:col>
      <xdr:colOff>323850</xdr:colOff>
      <xdr:row>303</xdr:row>
      <xdr:rowOff>38100</xdr:rowOff>
    </xdr:to>
    <xdr:sp macro="" textlink="">
      <xdr:nvSpPr>
        <xdr:cNvPr id="44" name="右矢印 43"/>
        <xdr:cNvSpPr/>
      </xdr:nvSpPr>
      <xdr:spPr>
        <a:xfrm>
          <a:off x="3619500" y="50825400"/>
          <a:ext cx="819150" cy="333375"/>
        </a:xfrm>
        <a:prstGeom prst="rightArrow">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390525</xdr:colOff>
      <xdr:row>306</xdr:row>
      <xdr:rowOff>0</xdr:rowOff>
    </xdr:from>
    <xdr:to>
      <xdr:col>4</xdr:col>
      <xdr:colOff>152400</xdr:colOff>
      <xdr:row>310</xdr:row>
      <xdr:rowOff>66675</xdr:rowOff>
    </xdr:to>
    <xdr:cxnSp macro="">
      <xdr:nvCxnSpPr>
        <xdr:cNvPr id="82" name="直線矢印コネクタ 81"/>
        <xdr:cNvCxnSpPr/>
      </xdr:nvCxnSpPr>
      <xdr:spPr>
        <a:xfrm flipV="1">
          <a:off x="1076325" y="37747575"/>
          <a:ext cx="1133475" cy="7524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381000</xdr:colOff>
      <xdr:row>310</xdr:row>
      <xdr:rowOff>66675</xdr:rowOff>
    </xdr:from>
    <xdr:to>
      <xdr:col>4</xdr:col>
      <xdr:colOff>171450</xdr:colOff>
      <xdr:row>313</xdr:row>
      <xdr:rowOff>104775</xdr:rowOff>
    </xdr:to>
    <xdr:cxnSp macro="">
      <xdr:nvCxnSpPr>
        <xdr:cNvPr id="83" name="直線矢印コネクタ 82"/>
        <xdr:cNvCxnSpPr/>
      </xdr:nvCxnSpPr>
      <xdr:spPr>
        <a:xfrm>
          <a:off x="1066800" y="38500050"/>
          <a:ext cx="1162050" cy="5524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142876</xdr:colOff>
      <xdr:row>309</xdr:row>
      <xdr:rowOff>104775</xdr:rowOff>
    </xdr:from>
    <xdr:ext cx="476250" cy="264560"/>
    <xdr:sp macro="" textlink="">
      <xdr:nvSpPr>
        <xdr:cNvPr id="84" name="テキスト ボックス 83"/>
        <xdr:cNvSpPr txBox="1"/>
      </xdr:nvSpPr>
      <xdr:spPr>
        <a:xfrm>
          <a:off x="828676" y="38366700"/>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S</a:t>
          </a:r>
          <a:endParaRPr kumimoji="1" lang="ja-JP" altLang="en-US" sz="1100"/>
        </a:p>
      </xdr:txBody>
    </xdr:sp>
    <xdr:clientData/>
  </xdr:oneCellAnchor>
  <xdr:oneCellAnchor>
    <xdr:from>
      <xdr:col>4</xdr:col>
      <xdr:colOff>200026</xdr:colOff>
      <xdr:row>305</xdr:row>
      <xdr:rowOff>9525</xdr:rowOff>
    </xdr:from>
    <xdr:ext cx="1171574" cy="436786"/>
    <xdr:sp macro="" textlink="">
      <xdr:nvSpPr>
        <xdr:cNvPr id="85" name="テキスト ボックス 84"/>
        <xdr:cNvSpPr txBox="1"/>
      </xdr:nvSpPr>
      <xdr:spPr>
        <a:xfrm>
          <a:off x="2257426" y="37585650"/>
          <a:ext cx="1171574" cy="43678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a:t>us</a:t>
          </a:r>
          <a:endParaRPr kumimoji="1" lang="ja-JP" altLang="en-US" sz="1100"/>
        </a:p>
      </xdr:txBody>
    </xdr:sp>
    <xdr:clientData/>
  </xdr:oneCellAnchor>
  <xdr:oneCellAnchor>
    <xdr:from>
      <xdr:col>3</xdr:col>
      <xdr:colOff>95251</xdr:colOff>
      <xdr:row>305</xdr:row>
      <xdr:rowOff>114300</xdr:rowOff>
    </xdr:from>
    <xdr:ext cx="476250" cy="264560"/>
    <xdr:sp macro="" textlink="">
      <xdr:nvSpPr>
        <xdr:cNvPr id="86" name="テキスト ボックス 85"/>
        <xdr:cNvSpPr txBox="1"/>
      </xdr:nvSpPr>
      <xdr:spPr>
        <a:xfrm>
          <a:off x="1466851" y="3769042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0.5</a:t>
          </a:r>
          <a:endParaRPr kumimoji="1" lang="ja-JP" altLang="en-US" sz="1100"/>
        </a:p>
      </xdr:txBody>
    </xdr:sp>
    <xdr:clientData/>
  </xdr:oneCellAnchor>
  <xdr:oneCellAnchor>
    <xdr:from>
      <xdr:col>3</xdr:col>
      <xdr:colOff>47626</xdr:colOff>
      <xdr:row>312</xdr:row>
      <xdr:rowOff>38100</xdr:rowOff>
    </xdr:from>
    <xdr:ext cx="476250" cy="264560"/>
    <xdr:sp macro="" textlink="">
      <xdr:nvSpPr>
        <xdr:cNvPr id="87" name="テキスト ボックス 86"/>
        <xdr:cNvSpPr txBox="1"/>
      </xdr:nvSpPr>
      <xdr:spPr>
        <a:xfrm>
          <a:off x="1419226" y="3881437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0.5</a:t>
          </a:r>
          <a:endParaRPr kumimoji="1" lang="ja-JP" altLang="en-US" sz="1100"/>
        </a:p>
      </xdr:txBody>
    </xdr:sp>
    <xdr:clientData/>
  </xdr:oneCellAnchor>
  <xdr:twoCellAnchor>
    <xdr:from>
      <xdr:col>7</xdr:col>
      <xdr:colOff>390525</xdr:colOff>
      <xdr:row>306</xdr:row>
      <xdr:rowOff>0</xdr:rowOff>
    </xdr:from>
    <xdr:to>
      <xdr:col>9</xdr:col>
      <xdr:colOff>152400</xdr:colOff>
      <xdr:row>310</xdr:row>
      <xdr:rowOff>66675</xdr:rowOff>
    </xdr:to>
    <xdr:cxnSp macro="">
      <xdr:nvCxnSpPr>
        <xdr:cNvPr id="88" name="直線矢印コネクタ 87"/>
        <xdr:cNvCxnSpPr/>
      </xdr:nvCxnSpPr>
      <xdr:spPr>
        <a:xfrm flipV="1">
          <a:off x="1762125" y="51635025"/>
          <a:ext cx="1133475" cy="7524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381000</xdr:colOff>
      <xdr:row>310</xdr:row>
      <xdr:rowOff>66675</xdr:rowOff>
    </xdr:from>
    <xdr:to>
      <xdr:col>9</xdr:col>
      <xdr:colOff>171450</xdr:colOff>
      <xdr:row>313</xdr:row>
      <xdr:rowOff>104775</xdr:rowOff>
    </xdr:to>
    <xdr:cxnSp macro="">
      <xdr:nvCxnSpPr>
        <xdr:cNvPr id="89" name="直線矢印コネクタ 88"/>
        <xdr:cNvCxnSpPr/>
      </xdr:nvCxnSpPr>
      <xdr:spPr>
        <a:xfrm>
          <a:off x="1752600" y="52387500"/>
          <a:ext cx="1162050" cy="5524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7</xdr:col>
      <xdr:colOff>142876</xdr:colOff>
      <xdr:row>309</xdr:row>
      <xdr:rowOff>104775</xdr:rowOff>
    </xdr:from>
    <xdr:ext cx="476250" cy="264560"/>
    <xdr:sp macro="" textlink="">
      <xdr:nvSpPr>
        <xdr:cNvPr id="90" name="テキスト ボックス 89"/>
        <xdr:cNvSpPr txBox="1"/>
      </xdr:nvSpPr>
      <xdr:spPr>
        <a:xfrm>
          <a:off x="1514476" y="52254150"/>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0</a:t>
          </a:r>
          <a:endParaRPr kumimoji="1" lang="ja-JP" altLang="en-US" sz="1100"/>
        </a:p>
      </xdr:txBody>
    </xdr:sp>
    <xdr:clientData/>
  </xdr:oneCellAnchor>
  <xdr:oneCellAnchor>
    <xdr:from>
      <xdr:col>9</xdr:col>
      <xdr:colOff>200026</xdr:colOff>
      <xdr:row>305</xdr:row>
      <xdr:rowOff>9525</xdr:rowOff>
    </xdr:from>
    <xdr:ext cx="1171574" cy="436786"/>
    <xdr:sp macro="" textlink="">
      <xdr:nvSpPr>
        <xdr:cNvPr id="91" name="テキスト ボックス 90"/>
        <xdr:cNvSpPr txBox="1"/>
      </xdr:nvSpPr>
      <xdr:spPr>
        <a:xfrm>
          <a:off x="2943226" y="51473100"/>
          <a:ext cx="1171574" cy="43678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a:t>us</a:t>
          </a:r>
          <a:endParaRPr kumimoji="1" lang="ja-JP" altLang="en-US" sz="1100"/>
        </a:p>
      </xdr:txBody>
    </xdr:sp>
    <xdr:clientData/>
  </xdr:oneCellAnchor>
  <xdr:oneCellAnchor>
    <xdr:from>
      <xdr:col>8</xdr:col>
      <xdr:colOff>95251</xdr:colOff>
      <xdr:row>305</xdr:row>
      <xdr:rowOff>114300</xdr:rowOff>
    </xdr:from>
    <xdr:ext cx="476250" cy="264560"/>
    <xdr:sp macro="" textlink="">
      <xdr:nvSpPr>
        <xdr:cNvPr id="92" name="テキスト ボックス 91"/>
        <xdr:cNvSpPr txBox="1"/>
      </xdr:nvSpPr>
      <xdr:spPr>
        <a:xfrm>
          <a:off x="2152651" y="5157787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p</a:t>
          </a:r>
          <a:endParaRPr kumimoji="1" lang="ja-JP" altLang="en-US" sz="1100"/>
        </a:p>
      </xdr:txBody>
    </xdr:sp>
    <xdr:clientData/>
  </xdr:oneCellAnchor>
  <xdr:oneCellAnchor>
    <xdr:from>
      <xdr:col>8</xdr:col>
      <xdr:colOff>47626</xdr:colOff>
      <xdr:row>312</xdr:row>
      <xdr:rowOff>38100</xdr:rowOff>
    </xdr:from>
    <xdr:ext cx="476250" cy="264560"/>
    <xdr:sp macro="" textlink="">
      <xdr:nvSpPr>
        <xdr:cNvPr id="93" name="テキスト ボックス 92"/>
        <xdr:cNvSpPr txBox="1"/>
      </xdr:nvSpPr>
      <xdr:spPr>
        <a:xfrm>
          <a:off x="2105026" y="52701825"/>
          <a:ext cx="47625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1-p</a:t>
          </a:r>
          <a:endParaRPr kumimoji="1" lang="ja-JP" altLang="en-US" sz="1100"/>
        </a:p>
      </xdr:txBody>
    </xdr:sp>
    <xdr:clientData/>
  </xdr:oneCellAnchor>
  <xdr:oneCellAnchor>
    <xdr:from>
      <xdr:col>3</xdr:col>
      <xdr:colOff>352426</xdr:colOff>
      <xdr:row>226</xdr:row>
      <xdr:rowOff>161925</xdr:rowOff>
    </xdr:from>
    <xdr:ext cx="1171574" cy="436786"/>
    <xdr:sp macro="" textlink="">
      <xdr:nvSpPr>
        <xdr:cNvPr id="94" name="テキスト ボックス 93"/>
        <xdr:cNvSpPr txBox="1"/>
      </xdr:nvSpPr>
      <xdr:spPr>
        <a:xfrm>
          <a:off x="2409826" y="37738050"/>
          <a:ext cx="1171574" cy="43678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a:t>us</a:t>
          </a:r>
          <a:endParaRPr kumimoji="1" lang="ja-JP" altLang="en-US" sz="1100"/>
        </a:p>
      </xdr:txBody>
    </xdr:sp>
    <xdr:clientData/>
  </xdr:oneCellAnchor>
  <xdr:oneCellAnchor>
    <xdr:from>
      <xdr:col>4</xdr:col>
      <xdr:colOff>180975</xdr:colOff>
      <xdr:row>312</xdr:row>
      <xdr:rowOff>114300</xdr:rowOff>
    </xdr:from>
    <xdr:ext cx="1171574" cy="436786"/>
    <xdr:sp macro="" textlink="">
      <xdr:nvSpPr>
        <xdr:cNvPr id="95" name="テキスト ボックス 94"/>
        <xdr:cNvSpPr txBox="1"/>
      </xdr:nvSpPr>
      <xdr:spPr>
        <a:xfrm>
          <a:off x="2924175" y="52778025"/>
          <a:ext cx="1171574" cy="43678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a:t>ds</a:t>
          </a:r>
          <a:endParaRPr kumimoji="1" lang="ja-JP" altLang="en-US" sz="1100"/>
        </a:p>
      </xdr:txBody>
    </xdr:sp>
    <xdr:clientData/>
  </xdr:oneCellAnchor>
  <xdr:oneCellAnchor>
    <xdr:from>
      <xdr:col>9</xdr:col>
      <xdr:colOff>190500</xdr:colOff>
      <xdr:row>312</xdr:row>
      <xdr:rowOff>66675</xdr:rowOff>
    </xdr:from>
    <xdr:ext cx="1171574" cy="436786"/>
    <xdr:sp macro="" textlink="">
      <xdr:nvSpPr>
        <xdr:cNvPr id="96" name="テキスト ボックス 95"/>
        <xdr:cNvSpPr txBox="1"/>
      </xdr:nvSpPr>
      <xdr:spPr>
        <a:xfrm>
          <a:off x="6362700" y="52730400"/>
          <a:ext cx="1171574" cy="43678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a:t>ds</a:t>
          </a:r>
          <a:endParaRPr kumimoji="1" lang="ja-JP" altLang="en-US" sz="1100"/>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3</xdr:col>
      <xdr:colOff>504825</xdr:colOff>
      <xdr:row>32</xdr:row>
      <xdr:rowOff>123825</xdr:rowOff>
    </xdr:from>
    <xdr:to>
      <xdr:col>4</xdr:col>
      <xdr:colOff>323850</xdr:colOff>
      <xdr:row>37</xdr:row>
      <xdr:rowOff>95250</xdr:rowOff>
    </xdr:to>
    <xdr:sp macro="" textlink="">
      <xdr:nvSpPr>
        <xdr:cNvPr id="2" name="下矢印 1"/>
        <xdr:cNvSpPr/>
      </xdr:nvSpPr>
      <xdr:spPr>
        <a:xfrm>
          <a:off x="2562225" y="5267325"/>
          <a:ext cx="504825" cy="685800"/>
        </a:xfrm>
        <a:prstGeom prst="downArrow">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533400</xdr:colOff>
      <xdr:row>41</xdr:row>
      <xdr:rowOff>95250</xdr:rowOff>
    </xdr:from>
    <xdr:to>
      <xdr:col>4</xdr:col>
      <xdr:colOff>352425</xdr:colOff>
      <xdr:row>46</xdr:row>
      <xdr:rowOff>66675</xdr:rowOff>
    </xdr:to>
    <xdr:sp macro="" textlink="">
      <xdr:nvSpPr>
        <xdr:cNvPr id="3" name="下矢印 2"/>
        <xdr:cNvSpPr/>
      </xdr:nvSpPr>
      <xdr:spPr>
        <a:xfrm>
          <a:off x="2590800" y="6524625"/>
          <a:ext cx="504825" cy="685800"/>
        </a:xfrm>
        <a:prstGeom prst="downArrow">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14</xdr:col>
      <xdr:colOff>295275</xdr:colOff>
      <xdr:row>40</xdr:row>
      <xdr:rowOff>47625</xdr:rowOff>
    </xdr:from>
    <xdr:to>
      <xdr:col>15</xdr:col>
      <xdr:colOff>133350</xdr:colOff>
      <xdr:row>48</xdr:row>
      <xdr:rowOff>152400</xdr:rowOff>
    </xdr:to>
    <xdr:sp macro="" textlink="">
      <xdr:nvSpPr>
        <xdr:cNvPr id="4" name="左カーブ矢印 3"/>
        <xdr:cNvSpPr/>
      </xdr:nvSpPr>
      <xdr:spPr>
        <a:xfrm>
          <a:off x="9896475" y="6334125"/>
          <a:ext cx="523875" cy="1247775"/>
        </a:xfrm>
        <a:prstGeom prst="curvedLeftArrow">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xdr:col>
      <xdr:colOff>0</xdr:colOff>
      <xdr:row>56</xdr:row>
      <xdr:rowOff>257175</xdr:rowOff>
    </xdr:from>
    <xdr:to>
      <xdr:col>3</xdr:col>
      <xdr:colOff>523875</xdr:colOff>
      <xdr:row>64</xdr:row>
      <xdr:rowOff>38100</xdr:rowOff>
    </xdr:to>
    <xdr:sp macro="" textlink="">
      <xdr:nvSpPr>
        <xdr:cNvPr id="5" name="左カーブ矢印 4"/>
        <xdr:cNvSpPr/>
      </xdr:nvSpPr>
      <xdr:spPr>
        <a:xfrm>
          <a:off x="2057400" y="9467850"/>
          <a:ext cx="523875" cy="1247775"/>
        </a:xfrm>
        <a:prstGeom prst="curvedLeftArrow">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xdr:col>
      <xdr:colOff>95250</xdr:colOff>
      <xdr:row>97</xdr:row>
      <xdr:rowOff>66675</xdr:rowOff>
    </xdr:from>
    <xdr:to>
      <xdr:col>1</xdr:col>
      <xdr:colOff>95250</xdr:colOff>
      <xdr:row>108</xdr:row>
      <xdr:rowOff>47625</xdr:rowOff>
    </xdr:to>
    <xdr:cxnSp macro="">
      <xdr:nvCxnSpPr>
        <xdr:cNvPr id="7" name="直線矢印コネクタ 6"/>
        <xdr:cNvCxnSpPr/>
      </xdr:nvCxnSpPr>
      <xdr:spPr>
        <a:xfrm flipV="1">
          <a:off x="781050" y="16354425"/>
          <a:ext cx="0" cy="15525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95250</xdr:colOff>
      <xdr:row>108</xdr:row>
      <xdr:rowOff>47626</xdr:rowOff>
    </xdr:from>
    <xdr:to>
      <xdr:col>4</xdr:col>
      <xdr:colOff>342900</xdr:colOff>
      <xdr:row>108</xdr:row>
      <xdr:rowOff>57150</xdr:rowOff>
    </xdr:to>
    <xdr:cxnSp macro="">
      <xdr:nvCxnSpPr>
        <xdr:cNvPr id="8" name="直線矢印コネクタ 7"/>
        <xdr:cNvCxnSpPr/>
      </xdr:nvCxnSpPr>
      <xdr:spPr>
        <a:xfrm>
          <a:off x="781050" y="17907001"/>
          <a:ext cx="2305050" cy="952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114300</xdr:colOff>
      <xdr:row>108</xdr:row>
      <xdr:rowOff>28576</xdr:rowOff>
    </xdr:from>
    <xdr:to>
      <xdr:col>2</xdr:col>
      <xdr:colOff>400050</xdr:colOff>
      <xdr:row>108</xdr:row>
      <xdr:rowOff>28576</xdr:rowOff>
    </xdr:to>
    <xdr:cxnSp macro="">
      <xdr:nvCxnSpPr>
        <xdr:cNvPr id="12" name="直線矢印コネクタ 11"/>
        <xdr:cNvCxnSpPr/>
      </xdr:nvCxnSpPr>
      <xdr:spPr>
        <a:xfrm>
          <a:off x="800100" y="17887951"/>
          <a:ext cx="971550" cy="0"/>
        </a:xfrm>
        <a:prstGeom prst="straightConnector1">
          <a:avLst/>
        </a:prstGeom>
        <a:ln w="38100">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409575</xdr:colOff>
      <xdr:row>103</xdr:row>
      <xdr:rowOff>114300</xdr:rowOff>
    </xdr:from>
    <xdr:to>
      <xdr:col>4</xdr:col>
      <xdr:colOff>47625</xdr:colOff>
      <xdr:row>103</xdr:row>
      <xdr:rowOff>114301</xdr:rowOff>
    </xdr:to>
    <xdr:cxnSp macro="">
      <xdr:nvCxnSpPr>
        <xdr:cNvPr id="14" name="直線矢印コネクタ 13"/>
        <xdr:cNvCxnSpPr/>
      </xdr:nvCxnSpPr>
      <xdr:spPr>
        <a:xfrm flipV="1">
          <a:off x="1781175" y="17259300"/>
          <a:ext cx="1009650" cy="1"/>
        </a:xfrm>
        <a:prstGeom prst="straightConnector1">
          <a:avLst/>
        </a:prstGeom>
        <a:ln w="38100">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400050</xdr:colOff>
      <xdr:row>103</xdr:row>
      <xdr:rowOff>85726</xdr:rowOff>
    </xdr:from>
    <xdr:to>
      <xdr:col>2</xdr:col>
      <xdr:colOff>400050</xdr:colOff>
      <xdr:row>108</xdr:row>
      <xdr:rowOff>9525</xdr:rowOff>
    </xdr:to>
    <xdr:cxnSp macro="">
      <xdr:nvCxnSpPr>
        <xdr:cNvPr id="18" name="直線矢印コネクタ 17"/>
        <xdr:cNvCxnSpPr/>
      </xdr:nvCxnSpPr>
      <xdr:spPr>
        <a:xfrm flipV="1">
          <a:off x="1771650" y="17230726"/>
          <a:ext cx="0" cy="638174"/>
        </a:xfrm>
        <a:prstGeom prst="straightConnector1">
          <a:avLst/>
        </a:prstGeom>
        <a:ln>
          <a:prstDash val="dash"/>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276225</xdr:colOff>
      <xdr:row>108</xdr:row>
      <xdr:rowOff>95250</xdr:rowOff>
    </xdr:from>
    <xdr:ext cx="257956" cy="264560"/>
    <xdr:sp macro="" textlink="">
      <xdr:nvSpPr>
        <xdr:cNvPr id="20" name="テキスト ボックス 19"/>
        <xdr:cNvSpPr txBox="1"/>
      </xdr:nvSpPr>
      <xdr:spPr>
        <a:xfrm>
          <a:off x="1647825" y="17954625"/>
          <a:ext cx="25795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K</a:t>
          </a:r>
          <a:endParaRPr kumimoji="1" lang="ja-JP" altLang="en-US" sz="1100"/>
        </a:p>
      </xdr:txBody>
    </xdr:sp>
    <xdr:clientData/>
  </xdr:oneCellAnchor>
  <xdr:oneCellAnchor>
    <xdr:from>
      <xdr:col>4</xdr:col>
      <xdr:colOff>342900</xdr:colOff>
      <xdr:row>107</xdr:row>
      <xdr:rowOff>76200</xdr:rowOff>
    </xdr:from>
    <xdr:ext cx="319768" cy="264560"/>
    <xdr:sp macro="" textlink="">
      <xdr:nvSpPr>
        <xdr:cNvPr id="21" name="テキスト ボックス 20"/>
        <xdr:cNvSpPr txBox="1"/>
      </xdr:nvSpPr>
      <xdr:spPr>
        <a:xfrm>
          <a:off x="3086100" y="17792700"/>
          <a:ext cx="3197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S</a:t>
          </a:r>
          <a:r>
            <a:rPr kumimoji="1" lang="ja-JP" altLang="en-US" sz="1100"/>
            <a:t>*</a:t>
          </a:r>
        </a:p>
      </xdr:txBody>
    </xdr:sp>
    <xdr:clientData/>
  </xdr:oneCellAnchor>
  <xdr:oneCellAnchor>
    <xdr:from>
      <xdr:col>0</xdr:col>
      <xdr:colOff>609600</xdr:colOff>
      <xdr:row>95</xdr:row>
      <xdr:rowOff>123825</xdr:rowOff>
    </xdr:from>
    <xdr:ext cx="334963" cy="264560"/>
    <xdr:sp macro="" textlink="">
      <xdr:nvSpPr>
        <xdr:cNvPr id="22" name="テキスト ボックス 21"/>
        <xdr:cNvSpPr txBox="1"/>
      </xdr:nvSpPr>
      <xdr:spPr>
        <a:xfrm>
          <a:off x="609600" y="16125825"/>
          <a:ext cx="33496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V</a:t>
          </a:r>
          <a:r>
            <a:rPr kumimoji="1" lang="ja-JP" altLang="en-US" sz="1100"/>
            <a:t>*</a:t>
          </a:r>
        </a:p>
      </xdr:txBody>
    </xdr:sp>
    <xdr:clientData/>
  </xdr:oneCellAnchor>
  <xdr:twoCellAnchor>
    <xdr:from>
      <xdr:col>1</xdr:col>
      <xdr:colOff>133350</xdr:colOff>
      <xdr:row>103</xdr:row>
      <xdr:rowOff>114301</xdr:rowOff>
    </xdr:from>
    <xdr:to>
      <xdr:col>2</xdr:col>
      <xdr:colOff>390525</xdr:colOff>
      <xdr:row>103</xdr:row>
      <xdr:rowOff>123825</xdr:rowOff>
    </xdr:to>
    <xdr:cxnSp macro="">
      <xdr:nvCxnSpPr>
        <xdr:cNvPr id="23" name="直線矢印コネクタ 22"/>
        <xdr:cNvCxnSpPr/>
      </xdr:nvCxnSpPr>
      <xdr:spPr>
        <a:xfrm flipV="1">
          <a:off x="819150" y="17259301"/>
          <a:ext cx="942975" cy="9524"/>
        </a:xfrm>
        <a:prstGeom prst="straightConnector1">
          <a:avLst/>
        </a:prstGeom>
        <a:ln>
          <a:prstDash val="dash"/>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400050</xdr:colOff>
      <xdr:row>101</xdr:row>
      <xdr:rowOff>38100</xdr:rowOff>
    </xdr:from>
    <xdr:to>
      <xdr:col>5</xdr:col>
      <xdr:colOff>514350</xdr:colOff>
      <xdr:row>104</xdr:row>
      <xdr:rowOff>95250</xdr:rowOff>
    </xdr:to>
    <xdr:sp macro="" textlink="">
      <xdr:nvSpPr>
        <xdr:cNvPr id="27" name="左中かっこ 26"/>
        <xdr:cNvSpPr/>
      </xdr:nvSpPr>
      <xdr:spPr>
        <a:xfrm>
          <a:off x="3829050" y="16897350"/>
          <a:ext cx="114300" cy="485775"/>
        </a:xfrm>
        <a:prstGeom prst="lef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oneCellAnchor>
    <xdr:from>
      <xdr:col>11</xdr:col>
      <xdr:colOff>0</xdr:colOff>
      <xdr:row>131</xdr:row>
      <xdr:rowOff>106456</xdr:rowOff>
    </xdr:from>
    <xdr:ext cx="3200400" cy="1333500"/>
    <xdr:pic>
      <xdr:nvPicPr>
        <xdr:cNvPr id="16" name="図 15" descr="https://encrypted-tbn3.gstatic.com/images?q=tbn:ANd9GcRr7E2y7DdjbpHXJlXXcoUxhFfncWS1eLvn2ACUoH4jn7NhT4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43800" y="21251956"/>
          <a:ext cx="3200400" cy="1333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13</xdr:col>
      <xdr:colOff>220755</xdr:colOff>
      <xdr:row>128</xdr:row>
      <xdr:rowOff>0</xdr:rowOff>
    </xdr:from>
    <xdr:to>
      <xdr:col>13</xdr:col>
      <xdr:colOff>239805</xdr:colOff>
      <xdr:row>141</xdr:row>
      <xdr:rowOff>123825</xdr:rowOff>
    </xdr:to>
    <xdr:cxnSp macro="">
      <xdr:nvCxnSpPr>
        <xdr:cNvPr id="17" name="直線矢印コネクタ 16"/>
        <xdr:cNvCxnSpPr/>
      </xdr:nvCxnSpPr>
      <xdr:spPr>
        <a:xfrm>
          <a:off x="9136155" y="20716875"/>
          <a:ext cx="19050" cy="1981200"/>
        </a:xfrm>
        <a:prstGeom prst="straightConnector1">
          <a:avLst/>
        </a:prstGeom>
        <a:ln w="28575">
          <a:solidFill>
            <a:schemeClr val="tx1"/>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257175</xdr:colOff>
      <xdr:row>135</xdr:row>
      <xdr:rowOff>104775</xdr:rowOff>
    </xdr:from>
    <xdr:to>
      <xdr:col>14</xdr:col>
      <xdr:colOff>257175</xdr:colOff>
      <xdr:row>140</xdr:row>
      <xdr:rowOff>133350</xdr:rowOff>
    </xdr:to>
    <xdr:cxnSp macro="">
      <xdr:nvCxnSpPr>
        <xdr:cNvPr id="9" name="直線コネクタ 8"/>
        <xdr:cNvCxnSpPr/>
      </xdr:nvCxnSpPr>
      <xdr:spPr>
        <a:xfrm>
          <a:off x="9858375" y="21821775"/>
          <a:ext cx="0" cy="7429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276225</xdr:colOff>
      <xdr:row>136</xdr:row>
      <xdr:rowOff>133350</xdr:rowOff>
    </xdr:from>
    <xdr:to>
      <xdr:col>15</xdr:col>
      <xdr:colOff>381000</xdr:colOff>
      <xdr:row>140</xdr:row>
      <xdr:rowOff>28575</xdr:rowOff>
    </xdr:to>
    <xdr:sp macro="" textlink="">
      <xdr:nvSpPr>
        <xdr:cNvPr id="10" name="円/楕円 9"/>
        <xdr:cNvSpPr/>
      </xdr:nvSpPr>
      <xdr:spPr>
        <a:xfrm>
          <a:off x="9877425" y="21993225"/>
          <a:ext cx="790575" cy="46672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95250</xdr:colOff>
      <xdr:row>144</xdr:row>
      <xdr:rowOff>66675</xdr:rowOff>
    </xdr:from>
    <xdr:to>
      <xdr:col>1</xdr:col>
      <xdr:colOff>95250</xdr:colOff>
      <xdr:row>155</xdr:row>
      <xdr:rowOff>47625</xdr:rowOff>
    </xdr:to>
    <xdr:cxnSp macro="">
      <xdr:nvCxnSpPr>
        <xdr:cNvPr id="24" name="直線矢印コネクタ 23"/>
        <xdr:cNvCxnSpPr/>
      </xdr:nvCxnSpPr>
      <xdr:spPr>
        <a:xfrm flipV="1">
          <a:off x="781050" y="16354425"/>
          <a:ext cx="0" cy="15525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95250</xdr:colOff>
      <xdr:row>155</xdr:row>
      <xdr:rowOff>47626</xdr:rowOff>
    </xdr:from>
    <xdr:to>
      <xdr:col>4</xdr:col>
      <xdr:colOff>342900</xdr:colOff>
      <xdr:row>155</xdr:row>
      <xdr:rowOff>57150</xdr:rowOff>
    </xdr:to>
    <xdr:cxnSp macro="">
      <xdr:nvCxnSpPr>
        <xdr:cNvPr id="25" name="直線矢印コネクタ 24"/>
        <xdr:cNvCxnSpPr/>
      </xdr:nvCxnSpPr>
      <xdr:spPr>
        <a:xfrm>
          <a:off x="781050" y="17907001"/>
          <a:ext cx="2305050" cy="952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114300</xdr:colOff>
      <xdr:row>155</xdr:row>
      <xdr:rowOff>28576</xdr:rowOff>
    </xdr:from>
    <xdr:to>
      <xdr:col>2</xdr:col>
      <xdr:colOff>400050</xdr:colOff>
      <xdr:row>155</xdr:row>
      <xdr:rowOff>28576</xdr:rowOff>
    </xdr:to>
    <xdr:cxnSp macro="">
      <xdr:nvCxnSpPr>
        <xdr:cNvPr id="26" name="直線矢印コネクタ 25"/>
        <xdr:cNvCxnSpPr/>
      </xdr:nvCxnSpPr>
      <xdr:spPr>
        <a:xfrm>
          <a:off x="800100" y="17887951"/>
          <a:ext cx="971550" cy="0"/>
        </a:xfrm>
        <a:prstGeom prst="straightConnector1">
          <a:avLst/>
        </a:prstGeom>
        <a:ln w="38100">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400050</xdr:colOff>
      <xdr:row>145</xdr:row>
      <xdr:rowOff>9525</xdr:rowOff>
    </xdr:from>
    <xdr:to>
      <xdr:col>3</xdr:col>
      <xdr:colOff>533400</xdr:colOff>
      <xdr:row>149</xdr:row>
      <xdr:rowOff>66677</xdr:rowOff>
    </xdr:to>
    <xdr:cxnSp macro="">
      <xdr:nvCxnSpPr>
        <xdr:cNvPr id="28" name="直線矢印コネクタ 27"/>
        <xdr:cNvCxnSpPr/>
      </xdr:nvCxnSpPr>
      <xdr:spPr>
        <a:xfrm flipV="1">
          <a:off x="1771650" y="23155275"/>
          <a:ext cx="819150" cy="628652"/>
        </a:xfrm>
        <a:prstGeom prst="straightConnector1">
          <a:avLst/>
        </a:prstGeom>
        <a:ln w="38100">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381000</xdr:colOff>
      <xdr:row>149</xdr:row>
      <xdr:rowOff>95250</xdr:rowOff>
    </xdr:from>
    <xdr:to>
      <xdr:col>2</xdr:col>
      <xdr:colOff>400050</xdr:colOff>
      <xdr:row>155</xdr:row>
      <xdr:rowOff>9525</xdr:rowOff>
    </xdr:to>
    <xdr:cxnSp macro="">
      <xdr:nvCxnSpPr>
        <xdr:cNvPr id="29" name="直線矢印コネクタ 28"/>
        <xdr:cNvCxnSpPr/>
      </xdr:nvCxnSpPr>
      <xdr:spPr>
        <a:xfrm flipH="1" flipV="1">
          <a:off x="1752600" y="23812500"/>
          <a:ext cx="19050" cy="771525"/>
        </a:xfrm>
        <a:prstGeom prst="straightConnector1">
          <a:avLst/>
        </a:prstGeom>
        <a:ln>
          <a:prstDash val="dash"/>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276225</xdr:colOff>
      <xdr:row>155</xdr:row>
      <xdr:rowOff>95250</xdr:rowOff>
    </xdr:from>
    <xdr:ext cx="257956" cy="264560"/>
    <xdr:sp macro="" textlink="">
      <xdr:nvSpPr>
        <xdr:cNvPr id="30" name="テキスト ボックス 29"/>
        <xdr:cNvSpPr txBox="1"/>
      </xdr:nvSpPr>
      <xdr:spPr>
        <a:xfrm>
          <a:off x="1647825" y="17954625"/>
          <a:ext cx="25795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K</a:t>
          </a:r>
          <a:endParaRPr kumimoji="1" lang="ja-JP" altLang="en-US" sz="1100"/>
        </a:p>
      </xdr:txBody>
    </xdr:sp>
    <xdr:clientData/>
  </xdr:oneCellAnchor>
  <xdr:oneCellAnchor>
    <xdr:from>
      <xdr:col>4</xdr:col>
      <xdr:colOff>342900</xdr:colOff>
      <xdr:row>154</xdr:row>
      <xdr:rowOff>76200</xdr:rowOff>
    </xdr:from>
    <xdr:ext cx="319768" cy="264560"/>
    <xdr:sp macro="" textlink="">
      <xdr:nvSpPr>
        <xdr:cNvPr id="31" name="テキスト ボックス 30"/>
        <xdr:cNvSpPr txBox="1"/>
      </xdr:nvSpPr>
      <xdr:spPr>
        <a:xfrm>
          <a:off x="3086100" y="17792700"/>
          <a:ext cx="3197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S</a:t>
          </a:r>
          <a:r>
            <a:rPr kumimoji="1" lang="ja-JP" altLang="en-US" sz="1100"/>
            <a:t>*</a:t>
          </a:r>
        </a:p>
      </xdr:txBody>
    </xdr:sp>
    <xdr:clientData/>
  </xdr:oneCellAnchor>
  <xdr:oneCellAnchor>
    <xdr:from>
      <xdr:col>0</xdr:col>
      <xdr:colOff>609600</xdr:colOff>
      <xdr:row>142</xdr:row>
      <xdr:rowOff>123825</xdr:rowOff>
    </xdr:from>
    <xdr:ext cx="334963" cy="264560"/>
    <xdr:sp macro="" textlink="">
      <xdr:nvSpPr>
        <xdr:cNvPr id="32" name="テキスト ボックス 31"/>
        <xdr:cNvSpPr txBox="1"/>
      </xdr:nvSpPr>
      <xdr:spPr>
        <a:xfrm>
          <a:off x="609600" y="16125825"/>
          <a:ext cx="33496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V</a:t>
          </a:r>
          <a:r>
            <a:rPr kumimoji="1" lang="ja-JP" altLang="en-US" sz="1100"/>
            <a:t>*</a:t>
          </a:r>
        </a:p>
      </xdr:txBody>
    </xdr:sp>
    <xdr:clientData/>
  </xdr:oneCellAnchor>
  <xdr:twoCellAnchor>
    <xdr:from>
      <xdr:col>1</xdr:col>
      <xdr:colOff>142875</xdr:colOff>
      <xdr:row>149</xdr:row>
      <xdr:rowOff>76201</xdr:rowOff>
    </xdr:from>
    <xdr:to>
      <xdr:col>2</xdr:col>
      <xdr:colOff>400050</xdr:colOff>
      <xdr:row>149</xdr:row>
      <xdr:rowOff>85725</xdr:rowOff>
    </xdr:to>
    <xdr:cxnSp macro="">
      <xdr:nvCxnSpPr>
        <xdr:cNvPr id="33" name="直線矢印コネクタ 32"/>
        <xdr:cNvCxnSpPr/>
      </xdr:nvCxnSpPr>
      <xdr:spPr>
        <a:xfrm flipV="1">
          <a:off x="828675" y="23793451"/>
          <a:ext cx="942975" cy="9524"/>
        </a:xfrm>
        <a:prstGeom prst="straightConnector1">
          <a:avLst/>
        </a:prstGeom>
        <a:ln>
          <a:prstDash val="dash"/>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400050</xdr:colOff>
      <xdr:row>148</xdr:row>
      <xdr:rowOff>38100</xdr:rowOff>
    </xdr:from>
    <xdr:to>
      <xdr:col>5</xdr:col>
      <xdr:colOff>514350</xdr:colOff>
      <xdr:row>151</xdr:row>
      <xdr:rowOff>95250</xdr:rowOff>
    </xdr:to>
    <xdr:sp macro="" textlink="">
      <xdr:nvSpPr>
        <xdr:cNvPr id="34" name="左中かっこ 33"/>
        <xdr:cNvSpPr/>
      </xdr:nvSpPr>
      <xdr:spPr>
        <a:xfrm>
          <a:off x="3829050" y="16897350"/>
          <a:ext cx="114300" cy="485775"/>
        </a:xfrm>
        <a:prstGeom prst="lef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xdr:col>
      <xdr:colOff>114300</xdr:colOff>
      <xdr:row>149</xdr:row>
      <xdr:rowOff>123825</xdr:rowOff>
    </xdr:from>
    <xdr:to>
      <xdr:col>2</xdr:col>
      <xdr:colOff>352425</xdr:colOff>
      <xdr:row>154</xdr:row>
      <xdr:rowOff>123827</xdr:rowOff>
    </xdr:to>
    <xdr:cxnSp macro="">
      <xdr:nvCxnSpPr>
        <xdr:cNvPr id="35" name="直線矢印コネクタ 34"/>
        <xdr:cNvCxnSpPr/>
      </xdr:nvCxnSpPr>
      <xdr:spPr>
        <a:xfrm flipV="1">
          <a:off x="800100" y="23841075"/>
          <a:ext cx="923925" cy="714377"/>
        </a:xfrm>
        <a:prstGeom prst="straightConnector1">
          <a:avLst/>
        </a:prstGeom>
        <a:ln>
          <a:prstDash val="dash"/>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657225</xdr:colOff>
      <xdr:row>163</xdr:row>
      <xdr:rowOff>76200</xdr:rowOff>
    </xdr:from>
    <xdr:to>
      <xdr:col>3</xdr:col>
      <xdr:colOff>552450</xdr:colOff>
      <xdr:row>168</xdr:row>
      <xdr:rowOff>76200</xdr:rowOff>
    </xdr:to>
    <xdr:sp macro="" textlink="">
      <xdr:nvSpPr>
        <xdr:cNvPr id="15" name="正方形/長方形 14"/>
        <xdr:cNvSpPr/>
      </xdr:nvSpPr>
      <xdr:spPr>
        <a:xfrm>
          <a:off x="657225" y="25793700"/>
          <a:ext cx="1952625" cy="714375"/>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kumimoji="1" lang="ja-JP" altLang="en-US" sz="1100"/>
            <a:t>アセットデジタルオプション</a:t>
          </a:r>
        </a:p>
      </xdr:txBody>
    </xdr:sp>
    <xdr:clientData/>
  </xdr:twoCellAnchor>
  <xdr:twoCellAnchor>
    <xdr:from>
      <xdr:col>4</xdr:col>
      <xdr:colOff>600075</xdr:colOff>
      <xdr:row>163</xdr:row>
      <xdr:rowOff>66675</xdr:rowOff>
    </xdr:from>
    <xdr:to>
      <xdr:col>7</xdr:col>
      <xdr:colOff>495300</xdr:colOff>
      <xdr:row>168</xdr:row>
      <xdr:rowOff>66675</xdr:rowOff>
    </xdr:to>
    <xdr:sp macro="" textlink="">
      <xdr:nvSpPr>
        <xdr:cNvPr id="36" name="正方形/長方形 35"/>
        <xdr:cNvSpPr/>
      </xdr:nvSpPr>
      <xdr:spPr>
        <a:xfrm>
          <a:off x="3343275" y="25784175"/>
          <a:ext cx="1952625" cy="714375"/>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kumimoji="1" lang="ja-JP" altLang="en-US" sz="1100"/>
            <a:t>キャッシュデジタルオプション</a:t>
          </a:r>
          <a:endParaRPr kumimoji="1" lang="en-US" altLang="ja-JP" sz="1100"/>
        </a:p>
        <a:p>
          <a:pPr algn="l"/>
          <a:r>
            <a:rPr kumimoji="1" lang="ja-JP" altLang="en-US" sz="1100"/>
            <a:t>（</a:t>
          </a:r>
          <a:r>
            <a:rPr kumimoji="1" lang="en-US" altLang="ja-JP" sz="1100"/>
            <a:t>K</a:t>
          </a:r>
          <a:r>
            <a:rPr kumimoji="1" lang="ja-JP" altLang="en-US" sz="1100"/>
            <a:t>単位）</a:t>
          </a:r>
        </a:p>
      </xdr:txBody>
    </xdr:sp>
    <xdr:clientData/>
  </xdr:twoCellAnchor>
  <xdr:twoCellAnchor>
    <xdr:from>
      <xdr:col>9</xdr:col>
      <xdr:colOff>66675</xdr:colOff>
      <xdr:row>163</xdr:row>
      <xdr:rowOff>19050</xdr:rowOff>
    </xdr:from>
    <xdr:to>
      <xdr:col>11</xdr:col>
      <xdr:colOff>647700</xdr:colOff>
      <xdr:row>168</xdr:row>
      <xdr:rowOff>19050</xdr:rowOff>
    </xdr:to>
    <xdr:sp macro="" textlink="">
      <xdr:nvSpPr>
        <xdr:cNvPr id="37" name="正方形/長方形 36"/>
        <xdr:cNvSpPr/>
      </xdr:nvSpPr>
      <xdr:spPr>
        <a:xfrm>
          <a:off x="6238875" y="25736550"/>
          <a:ext cx="1952625" cy="714375"/>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kumimoji="1" lang="ja-JP" altLang="en-US" sz="1100"/>
            <a:t>ヨーロピアンコールオプション</a:t>
          </a:r>
        </a:p>
      </xdr:txBody>
    </xdr:sp>
    <xdr:clientData/>
  </xdr:twoCellAnchor>
  <xdr:twoCellAnchor>
    <xdr:from>
      <xdr:col>1</xdr:col>
      <xdr:colOff>95250</xdr:colOff>
      <xdr:row>171</xdr:row>
      <xdr:rowOff>66675</xdr:rowOff>
    </xdr:from>
    <xdr:to>
      <xdr:col>1</xdr:col>
      <xdr:colOff>95250</xdr:colOff>
      <xdr:row>182</xdr:row>
      <xdr:rowOff>47625</xdr:rowOff>
    </xdr:to>
    <xdr:cxnSp macro="">
      <xdr:nvCxnSpPr>
        <xdr:cNvPr id="38" name="直線矢印コネクタ 37"/>
        <xdr:cNvCxnSpPr/>
      </xdr:nvCxnSpPr>
      <xdr:spPr>
        <a:xfrm flipV="1">
          <a:off x="781050" y="23069550"/>
          <a:ext cx="0" cy="15525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95250</xdr:colOff>
      <xdr:row>182</xdr:row>
      <xdr:rowOff>47626</xdr:rowOff>
    </xdr:from>
    <xdr:to>
      <xdr:col>4</xdr:col>
      <xdr:colOff>342900</xdr:colOff>
      <xdr:row>182</xdr:row>
      <xdr:rowOff>57150</xdr:rowOff>
    </xdr:to>
    <xdr:cxnSp macro="">
      <xdr:nvCxnSpPr>
        <xdr:cNvPr id="39" name="直線矢印コネクタ 38"/>
        <xdr:cNvCxnSpPr/>
      </xdr:nvCxnSpPr>
      <xdr:spPr>
        <a:xfrm>
          <a:off x="781050" y="24622126"/>
          <a:ext cx="2305050" cy="952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114300</xdr:colOff>
      <xdr:row>182</xdr:row>
      <xdr:rowOff>28576</xdr:rowOff>
    </xdr:from>
    <xdr:to>
      <xdr:col>2</xdr:col>
      <xdr:colOff>400050</xdr:colOff>
      <xdr:row>182</xdr:row>
      <xdr:rowOff>28576</xdr:rowOff>
    </xdr:to>
    <xdr:cxnSp macro="">
      <xdr:nvCxnSpPr>
        <xdr:cNvPr id="40" name="直線矢印コネクタ 39"/>
        <xdr:cNvCxnSpPr/>
      </xdr:nvCxnSpPr>
      <xdr:spPr>
        <a:xfrm>
          <a:off x="800100" y="24603076"/>
          <a:ext cx="971550" cy="0"/>
        </a:xfrm>
        <a:prstGeom prst="straightConnector1">
          <a:avLst/>
        </a:prstGeom>
        <a:ln w="38100">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400050</xdr:colOff>
      <xdr:row>172</xdr:row>
      <xdr:rowOff>9525</xdr:rowOff>
    </xdr:from>
    <xdr:to>
      <xdr:col>3</xdr:col>
      <xdr:colOff>533400</xdr:colOff>
      <xdr:row>176</xdr:row>
      <xdr:rowOff>66677</xdr:rowOff>
    </xdr:to>
    <xdr:cxnSp macro="">
      <xdr:nvCxnSpPr>
        <xdr:cNvPr id="41" name="直線矢印コネクタ 40"/>
        <xdr:cNvCxnSpPr/>
      </xdr:nvCxnSpPr>
      <xdr:spPr>
        <a:xfrm flipV="1">
          <a:off x="1771650" y="23155275"/>
          <a:ext cx="819150" cy="628652"/>
        </a:xfrm>
        <a:prstGeom prst="straightConnector1">
          <a:avLst/>
        </a:prstGeom>
        <a:ln w="38100">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381000</xdr:colOff>
      <xdr:row>176</xdr:row>
      <xdr:rowOff>95250</xdr:rowOff>
    </xdr:from>
    <xdr:to>
      <xdr:col>2</xdr:col>
      <xdr:colOff>400050</xdr:colOff>
      <xdr:row>182</xdr:row>
      <xdr:rowOff>9525</xdr:rowOff>
    </xdr:to>
    <xdr:cxnSp macro="">
      <xdr:nvCxnSpPr>
        <xdr:cNvPr id="42" name="直線矢印コネクタ 41"/>
        <xdr:cNvCxnSpPr/>
      </xdr:nvCxnSpPr>
      <xdr:spPr>
        <a:xfrm flipH="1" flipV="1">
          <a:off x="1752600" y="23812500"/>
          <a:ext cx="19050" cy="771525"/>
        </a:xfrm>
        <a:prstGeom prst="straightConnector1">
          <a:avLst/>
        </a:prstGeom>
        <a:ln>
          <a:prstDash val="dash"/>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276225</xdr:colOff>
      <xdr:row>182</xdr:row>
      <xdr:rowOff>95250</xdr:rowOff>
    </xdr:from>
    <xdr:ext cx="257956" cy="264560"/>
    <xdr:sp macro="" textlink="">
      <xdr:nvSpPr>
        <xdr:cNvPr id="43" name="テキスト ボックス 42"/>
        <xdr:cNvSpPr txBox="1"/>
      </xdr:nvSpPr>
      <xdr:spPr>
        <a:xfrm>
          <a:off x="1647825" y="24669750"/>
          <a:ext cx="25795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K</a:t>
          </a:r>
          <a:endParaRPr kumimoji="1" lang="ja-JP" altLang="en-US" sz="1100"/>
        </a:p>
      </xdr:txBody>
    </xdr:sp>
    <xdr:clientData/>
  </xdr:oneCellAnchor>
  <xdr:oneCellAnchor>
    <xdr:from>
      <xdr:col>4</xdr:col>
      <xdr:colOff>342900</xdr:colOff>
      <xdr:row>181</xdr:row>
      <xdr:rowOff>76200</xdr:rowOff>
    </xdr:from>
    <xdr:ext cx="319768" cy="264560"/>
    <xdr:sp macro="" textlink="">
      <xdr:nvSpPr>
        <xdr:cNvPr id="44" name="テキスト ボックス 43"/>
        <xdr:cNvSpPr txBox="1"/>
      </xdr:nvSpPr>
      <xdr:spPr>
        <a:xfrm>
          <a:off x="3086100" y="24507825"/>
          <a:ext cx="3197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S</a:t>
          </a:r>
          <a:r>
            <a:rPr kumimoji="1" lang="ja-JP" altLang="en-US" sz="1100"/>
            <a:t>*</a:t>
          </a:r>
        </a:p>
      </xdr:txBody>
    </xdr:sp>
    <xdr:clientData/>
  </xdr:oneCellAnchor>
  <xdr:oneCellAnchor>
    <xdr:from>
      <xdr:col>0</xdr:col>
      <xdr:colOff>609600</xdr:colOff>
      <xdr:row>169</xdr:row>
      <xdr:rowOff>123825</xdr:rowOff>
    </xdr:from>
    <xdr:ext cx="334963" cy="264560"/>
    <xdr:sp macro="" textlink="">
      <xdr:nvSpPr>
        <xdr:cNvPr id="45" name="テキスト ボックス 44"/>
        <xdr:cNvSpPr txBox="1"/>
      </xdr:nvSpPr>
      <xdr:spPr>
        <a:xfrm>
          <a:off x="609600" y="22840950"/>
          <a:ext cx="33496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V</a:t>
          </a:r>
          <a:r>
            <a:rPr kumimoji="1" lang="ja-JP" altLang="en-US" sz="1100"/>
            <a:t>*</a:t>
          </a:r>
        </a:p>
      </xdr:txBody>
    </xdr:sp>
    <xdr:clientData/>
  </xdr:oneCellAnchor>
  <xdr:twoCellAnchor>
    <xdr:from>
      <xdr:col>1</xdr:col>
      <xdr:colOff>142875</xdr:colOff>
      <xdr:row>176</xdr:row>
      <xdr:rowOff>76201</xdr:rowOff>
    </xdr:from>
    <xdr:to>
      <xdr:col>2</xdr:col>
      <xdr:colOff>400050</xdr:colOff>
      <xdr:row>176</xdr:row>
      <xdr:rowOff>85725</xdr:rowOff>
    </xdr:to>
    <xdr:cxnSp macro="">
      <xdr:nvCxnSpPr>
        <xdr:cNvPr id="46" name="直線矢印コネクタ 45"/>
        <xdr:cNvCxnSpPr/>
      </xdr:nvCxnSpPr>
      <xdr:spPr>
        <a:xfrm flipV="1">
          <a:off x="828675" y="23793451"/>
          <a:ext cx="942975" cy="9524"/>
        </a:xfrm>
        <a:prstGeom prst="straightConnector1">
          <a:avLst/>
        </a:prstGeom>
        <a:ln>
          <a:prstDash val="dash"/>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114300</xdr:colOff>
      <xdr:row>176</xdr:row>
      <xdr:rowOff>123825</xdr:rowOff>
    </xdr:from>
    <xdr:to>
      <xdr:col>2</xdr:col>
      <xdr:colOff>352425</xdr:colOff>
      <xdr:row>181</xdr:row>
      <xdr:rowOff>123827</xdr:rowOff>
    </xdr:to>
    <xdr:cxnSp macro="">
      <xdr:nvCxnSpPr>
        <xdr:cNvPr id="47" name="直線矢印コネクタ 46"/>
        <xdr:cNvCxnSpPr/>
      </xdr:nvCxnSpPr>
      <xdr:spPr>
        <a:xfrm flipV="1">
          <a:off x="800100" y="23841075"/>
          <a:ext cx="923925" cy="714377"/>
        </a:xfrm>
        <a:prstGeom prst="straightConnector1">
          <a:avLst/>
        </a:prstGeom>
        <a:ln>
          <a:prstDash val="dash"/>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95250</xdr:colOff>
      <xdr:row>171</xdr:row>
      <xdr:rowOff>66675</xdr:rowOff>
    </xdr:from>
    <xdr:to>
      <xdr:col>5</xdr:col>
      <xdr:colOff>95250</xdr:colOff>
      <xdr:row>182</xdr:row>
      <xdr:rowOff>47625</xdr:rowOff>
    </xdr:to>
    <xdr:cxnSp macro="">
      <xdr:nvCxnSpPr>
        <xdr:cNvPr id="58" name="直線矢印コネクタ 57"/>
        <xdr:cNvCxnSpPr/>
      </xdr:nvCxnSpPr>
      <xdr:spPr>
        <a:xfrm flipV="1">
          <a:off x="781050" y="23069550"/>
          <a:ext cx="0" cy="15525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95250</xdr:colOff>
      <xdr:row>182</xdr:row>
      <xdr:rowOff>47626</xdr:rowOff>
    </xdr:from>
    <xdr:to>
      <xdr:col>8</xdr:col>
      <xdr:colOff>342900</xdr:colOff>
      <xdr:row>182</xdr:row>
      <xdr:rowOff>57150</xdr:rowOff>
    </xdr:to>
    <xdr:cxnSp macro="">
      <xdr:nvCxnSpPr>
        <xdr:cNvPr id="59" name="直線矢印コネクタ 58"/>
        <xdr:cNvCxnSpPr/>
      </xdr:nvCxnSpPr>
      <xdr:spPr>
        <a:xfrm>
          <a:off x="781050" y="24622126"/>
          <a:ext cx="2305050" cy="952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114300</xdr:colOff>
      <xdr:row>182</xdr:row>
      <xdr:rowOff>28576</xdr:rowOff>
    </xdr:from>
    <xdr:to>
      <xdr:col>6</xdr:col>
      <xdr:colOff>400050</xdr:colOff>
      <xdr:row>182</xdr:row>
      <xdr:rowOff>28576</xdr:rowOff>
    </xdr:to>
    <xdr:cxnSp macro="">
      <xdr:nvCxnSpPr>
        <xdr:cNvPr id="60" name="直線矢印コネクタ 59"/>
        <xdr:cNvCxnSpPr/>
      </xdr:nvCxnSpPr>
      <xdr:spPr>
        <a:xfrm>
          <a:off x="800100" y="24603076"/>
          <a:ext cx="971550" cy="0"/>
        </a:xfrm>
        <a:prstGeom prst="straightConnector1">
          <a:avLst/>
        </a:prstGeom>
        <a:ln w="38100">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400050</xdr:colOff>
      <xdr:row>176</xdr:row>
      <xdr:rowOff>57150</xdr:rowOff>
    </xdr:from>
    <xdr:to>
      <xdr:col>8</xdr:col>
      <xdr:colOff>95250</xdr:colOff>
      <xdr:row>176</xdr:row>
      <xdr:rowOff>66677</xdr:rowOff>
    </xdr:to>
    <xdr:cxnSp macro="">
      <xdr:nvCxnSpPr>
        <xdr:cNvPr id="61" name="直線矢印コネクタ 60"/>
        <xdr:cNvCxnSpPr/>
      </xdr:nvCxnSpPr>
      <xdr:spPr>
        <a:xfrm flipV="1">
          <a:off x="4514850" y="28346400"/>
          <a:ext cx="1066800" cy="9527"/>
        </a:xfrm>
        <a:prstGeom prst="straightConnector1">
          <a:avLst/>
        </a:prstGeom>
        <a:ln w="38100">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381000</xdr:colOff>
      <xdr:row>176</xdr:row>
      <xdr:rowOff>95250</xdr:rowOff>
    </xdr:from>
    <xdr:to>
      <xdr:col>6</xdr:col>
      <xdr:colOff>400050</xdr:colOff>
      <xdr:row>182</xdr:row>
      <xdr:rowOff>9525</xdr:rowOff>
    </xdr:to>
    <xdr:cxnSp macro="">
      <xdr:nvCxnSpPr>
        <xdr:cNvPr id="62" name="直線矢印コネクタ 61"/>
        <xdr:cNvCxnSpPr/>
      </xdr:nvCxnSpPr>
      <xdr:spPr>
        <a:xfrm flipH="1" flipV="1">
          <a:off x="1752600" y="23812500"/>
          <a:ext cx="19050" cy="771525"/>
        </a:xfrm>
        <a:prstGeom prst="straightConnector1">
          <a:avLst/>
        </a:prstGeom>
        <a:ln>
          <a:prstDash val="dash"/>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6</xdr:col>
      <xdr:colOff>276225</xdr:colOff>
      <xdr:row>182</xdr:row>
      <xdr:rowOff>95250</xdr:rowOff>
    </xdr:from>
    <xdr:ext cx="257956" cy="264560"/>
    <xdr:sp macro="" textlink="">
      <xdr:nvSpPr>
        <xdr:cNvPr id="63" name="テキスト ボックス 62"/>
        <xdr:cNvSpPr txBox="1"/>
      </xdr:nvSpPr>
      <xdr:spPr>
        <a:xfrm>
          <a:off x="1647825" y="24669750"/>
          <a:ext cx="25795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K</a:t>
          </a:r>
          <a:endParaRPr kumimoji="1" lang="ja-JP" altLang="en-US" sz="1100"/>
        </a:p>
      </xdr:txBody>
    </xdr:sp>
    <xdr:clientData/>
  </xdr:oneCellAnchor>
  <xdr:oneCellAnchor>
    <xdr:from>
      <xdr:col>8</xdr:col>
      <xdr:colOff>342900</xdr:colOff>
      <xdr:row>181</xdr:row>
      <xdr:rowOff>76200</xdr:rowOff>
    </xdr:from>
    <xdr:ext cx="319768" cy="264560"/>
    <xdr:sp macro="" textlink="">
      <xdr:nvSpPr>
        <xdr:cNvPr id="64" name="テキスト ボックス 63"/>
        <xdr:cNvSpPr txBox="1"/>
      </xdr:nvSpPr>
      <xdr:spPr>
        <a:xfrm>
          <a:off x="3086100" y="24507825"/>
          <a:ext cx="3197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S</a:t>
          </a:r>
          <a:r>
            <a:rPr kumimoji="1" lang="ja-JP" altLang="en-US" sz="1100"/>
            <a:t>*</a:t>
          </a:r>
        </a:p>
      </xdr:txBody>
    </xdr:sp>
    <xdr:clientData/>
  </xdr:oneCellAnchor>
  <xdr:oneCellAnchor>
    <xdr:from>
      <xdr:col>4</xdr:col>
      <xdr:colOff>609600</xdr:colOff>
      <xdr:row>169</xdr:row>
      <xdr:rowOff>123825</xdr:rowOff>
    </xdr:from>
    <xdr:ext cx="334963" cy="264560"/>
    <xdr:sp macro="" textlink="">
      <xdr:nvSpPr>
        <xdr:cNvPr id="65" name="テキスト ボックス 64"/>
        <xdr:cNvSpPr txBox="1"/>
      </xdr:nvSpPr>
      <xdr:spPr>
        <a:xfrm>
          <a:off x="609600" y="22840950"/>
          <a:ext cx="33496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V</a:t>
          </a:r>
          <a:r>
            <a:rPr kumimoji="1" lang="ja-JP" altLang="en-US" sz="1100"/>
            <a:t>*</a:t>
          </a:r>
        </a:p>
      </xdr:txBody>
    </xdr:sp>
    <xdr:clientData/>
  </xdr:oneCellAnchor>
  <xdr:twoCellAnchor>
    <xdr:from>
      <xdr:col>5</xdr:col>
      <xdr:colOff>142875</xdr:colOff>
      <xdr:row>176</xdr:row>
      <xdr:rowOff>76201</xdr:rowOff>
    </xdr:from>
    <xdr:to>
      <xdr:col>6</xdr:col>
      <xdr:colOff>400050</xdr:colOff>
      <xdr:row>176</xdr:row>
      <xdr:rowOff>85725</xdr:rowOff>
    </xdr:to>
    <xdr:cxnSp macro="">
      <xdr:nvCxnSpPr>
        <xdr:cNvPr id="66" name="直線矢印コネクタ 65"/>
        <xdr:cNvCxnSpPr/>
      </xdr:nvCxnSpPr>
      <xdr:spPr>
        <a:xfrm flipV="1">
          <a:off x="828675" y="23793451"/>
          <a:ext cx="942975" cy="9524"/>
        </a:xfrm>
        <a:prstGeom prst="straightConnector1">
          <a:avLst/>
        </a:prstGeom>
        <a:ln>
          <a:prstDash val="dash"/>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95250</xdr:colOff>
      <xdr:row>171</xdr:row>
      <xdr:rowOff>66675</xdr:rowOff>
    </xdr:from>
    <xdr:to>
      <xdr:col>9</xdr:col>
      <xdr:colOff>95250</xdr:colOff>
      <xdr:row>182</xdr:row>
      <xdr:rowOff>47625</xdr:rowOff>
    </xdr:to>
    <xdr:cxnSp macro="">
      <xdr:nvCxnSpPr>
        <xdr:cNvPr id="68" name="直線矢印コネクタ 67"/>
        <xdr:cNvCxnSpPr/>
      </xdr:nvCxnSpPr>
      <xdr:spPr>
        <a:xfrm flipV="1">
          <a:off x="781050" y="23069550"/>
          <a:ext cx="0" cy="15525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95250</xdr:colOff>
      <xdr:row>182</xdr:row>
      <xdr:rowOff>47626</xdr:rowOff>
    </xdr:from>
    <xdr:to>
      <xdr:col>12</xdr:col>
      <xdr:colOff>342900</xdr:colOff>
      <xdr:row>182</xdr:row>
      <xdr:rowOff>57150</xdr:rowOff>
    </xdr:to>
    <xdr:cxnSp macro="">
      <xdr:nvCxnSpPr>
        <xdr:cNvPr id="69" name="直線矢印コネクタ 68"/>
        <xdr:cNvCxnSpPr/>
      </xdr:nvCxnSpPr>
      <xdr:spPr>
        <a:xfrm>
          <a:off x="781050" y="24622126"/>
          <a:ext cx="2305050" cy="952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114300</xdr:colOff>
      <xdr:row>182</xdr:row>
      <xdr:rowOff>28576</xdr:rowOff>
    </xdr:from>
    <xdr:to>
      <xdr:col>10</xdr:col>
      <xdr:colOff>400050</xdr:colOff>
      <xdr:row>182</xdr:row>
      <xdr:rowOff>28576</xdr:rowOff>
    </xdr:to>
    <xdr:cxnSp macro="">
      <xdr:nvCxnSpPr>
        <xdr:cNvPr id="70" name="直線矢印コネクタ 69"/>
        <xdr:cNvCxnSpPr/>
      </xdr:nvCxnSpPr>
      <xdr:spPr>
        <a:xfrm>
          <a:off x="800100" y="24603076"/>
          <a:ext cx="971550" cy="0"/>
        </a:xfrm>
        <a:prstGeom prst="straightConnector1">
          <a:avLst/>
        </a:prstGeom>
        <a:ln w="38100">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409575</xdr:colOff>
      <xdr:row>178</xdr:row>
      <xdr:rowOff>0</xdr:rowOff>
    </xdr:from>
    <xdr:to>
      <xdr:col>11</xdr:col>
      <xdr:colOff>542925</xdr:colOff>
      <xdr:row>182</xdr:row>
      <xdr:rowOff>57152</xdr:rowOff>
    </xdr:to>
    <xdr:cxnSp macro="">
      <xdr:nvCxnSpPr>
        <xdr:cNvPr id="71" name="直線矢印コネクタ 70"/>
        <xdr:cNvCxnSpPr/>
      </xdr:nvCxnSpPr>
      <xdr:spPr>
        <a:xfrm flipV="1">
          <a:off x="7267575" y="28575000"/>
          <a:ext cx="819150" cy="628652"/>
        </a:xfrm>
        <a:prstGeom prst="straightConnector1">
          <a:avLst/>
        </a:prstGeom>
        <a:ln w="38100">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381000</xdr:colOff>
      <xdr:row>176</xdr:row>
      <xdr:rowOff>95250</xdr:rowOff>
    </xdr:from>
    <xdr:to>
      <xdr:col>10</xdr:col>
      <xdr:colOff>400050</xdr:colOff>
      <xdr:row>182</xdr:row>
      <xdr:rowOff>9525</xdr:rowOff>
    </xdr:to>
    <xdr:cxnSp macro="">
      <xdr:nvCxnSpPr>
        <xdr:cNvPr id="72" name="直線矢印コネクタ 71"/>
        <xdr:cNvCxnSpPr/>
      </xdr:nvCxnSpPr>
      <xdr:spPr>
        <a:xfrm flipH="1" flipV="1">
          <a:off x="1752600" y="23812500"/>
          <a:ext cx="19050" cy="771525"/>
        </a:xfrm>
        <a:prstGeom prst="straightConnector1">
          <a:avLst/>
        </a:prstGeom>
        <a:ln>
          <a:prstDash val="dash"/>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10</xdr:col>
      <xdr:colOff>276225</xdr:colOff>
      <xdr:row>182</xdr:row>
      <xdr:rowOff>95250</xdr:rowOff>
    </xdr:from>
    <xdr:ext cx="257956" cy="264560"/>
    <xdr:sp macro="" textlink="">
      <xdr:nvSpPr>
        <xdr:cNvPr id="73" name="テキスト ボックス 72"/>
        <xdr:cNvSpPr txBox="1"/>
      </xdr:nvSpPr>
      <xdr:spPr>
        <a:xfrm>
          <a:off x="1647825" y="24669750"/>
          <a:ext cx="25795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K</a:t>
          </a:r>
          <a:endParaRPr kumimoji="1" lang="ja-JP" altLang="en-US" sz="1100"/>
        </a:p>
      </xdr:txBody>
    </xdr:sp>
    <xdr:clientData/>
  </xdr:oneCellAnchor>
  <xdr:oneCellAnchor>
    <xdr:from>
      <xdr:col>12</xdr:col>
      <xdr:colOff>342900</xdr:colOff>
      <xdr:row>181</xdr:row>
      <xdr:rowOff>76200</xdr:rowOff>
    </xdr:from>
    <xdr:ext cx="319768" cy="264560"/>
    <xdr:sp macro="" textlink="">
      <xdr:nvSpPr>
        <xdr:cNvPr id="74" name="テキスト ボックス 73"/>
        <xdr:cNvSpPr txBox="1"/>
      </xdr:nvSpPr>
      <xdr:spPr>
        <a:xfrm>
          <a:off x="3086100" y="24507825"/>
          <a:ext cx="3197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S</a:t>
          </a:r>
          <a:r>
            <a:rPr kumimoji="1" lang="ja-JP" altLang="en-US" sz="1100"/>
            <a:t>*</a:t>
          </a:r>
        </a:p>
      </xdr:txBody>
    </xdr:sp>
    <xdr:clientData/>
  </xdr:oneCellAnchor>
  <xdr:oneCellAnchor>
    <xdr:from>
      <xdr:col>8</xdr:col>
      <xdr:colOff>609600</xdr:colOff>
      <xdr:row>169</xdr:row>
      <xdr:rowOff>123825</xdr:rowOff>
    </xdr:from>
    <xdr:ext cx="334963" cy="264560"/>
    <xdr:sp macro="" textlink="">
      <xdr:nvSpPr>
        <xdr:cNvPr id="75" name="テキスト ボックス 74"/>
        <xdr:cNvSpPr txBox="1"/>
      </xdr:nvSpPr>
      <xdr:spPr>
        <a:xfrm>
          <a:off x="609600" y="22840950"/>
          <a:ext cx="33496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V</a:t>
          </a:r>
          <a:r>
            <a:rPr kumimoji="1" lang="ja-JP" altLang="en-US" sz="1100"/>
            <a:t>*</a:t>
          </a:r>
        </a:p>
      </xdr:txBody>
    </xdr:sp>
    <xdr:clientData/>
  </xdr:oneCellAnchor>
  <xdr:twoCellAnchor>
    <xdr:from>
      <xdr:col>9</xdr:col>
      <xdr:colOff>142875</xdr:colOff>
      <xdr:row>176</xdr:row>
      <xdr:rowOff>76201</xdr:rowOff>
    </xdr:from>
    <xdr:to>
      <xdr:col>10</xdr:col>
      <xdr:colOff>400050</xdr:colOff>
      <xdr:row>176</xdr:row>
      <xdr:rowOff>85725</xdr:rowOff>
    </xdr:to>
    <xdr:cxnSp macro="">
      <xdr:nvCxnSpPr>
        <xdr:cNvPr id="76" name="直線矢印コネクタ 75"/>
        <xdr:cNvCxnSpPr/>
      </xdr:nvCxnSpPr>
      <xdr:spPr>
        <a:xfrm flipV="1">
          <a:off x="828675" y="23793451"/>
          <a:ext cx="942975" cy="9524"/>
        </a:xfrm>
        <a:prstGeom prst="straightConnector1">
          <a:avLst/>
        </a:prstGeom>
        <a:ln>
          <a:prstDash val="dash"/>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4</xdr:col>
      <xdr:colOff>47625</xdr:colOff>
      <xdr:row>163</xdr:row>
      <xdr:rowOff>133350</xdr:rowOff>
    </xdr:from>
    <xdr:ext cx="310278" cy="593304"/>
    <xdr:sp macro="" textlink="">
      <xdr:nvSpPr>
        <xdr:cNvPr id="78" name="テキスト ボックス 77"/>
        <xdr:cNvSpPr txBox="1"/>
      </xdr:nvSpPr>
      <xdr:spPr>
        <a:xfrm>
          <a:off x="2790825" y="25850850"/>
          <a:ext cx="3102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3200"/>
            <a:t>-</a:t>
          </a:r>
          <a:endParaRPr kumimoji="1" lang="ja-JP" altLang="en-US" sz="3200"/>
        </a:p>
      </xdr:txBody>
    </xdr:sp>
    <xdr:clientData/>
  </xdr:oneCellAnchor>
  <xdr:oneCellAnchor>
    <xdr:from>
      <xdr:col>8</xdr:col>
      <xdr:colOff>104775</xdr:colOff>
      <xdr:row>163</xdr:row>
      <xdr:rowOff>104775</xdr:rowOff>
    </xdr:from>
    <xdr:ext cx="310278" cy="679029"/>
    <xdr:sp macro="" textlink="">
      <xdr:nvSpPr>
        <xdr:cNvPr id="79" name="テキスト ボックス 78"/>
        <xdr:cNvSpPr txBox="1"/>
      </xdr:nvSpPr>
      <xdr:spPr>
        <a:xfrm>
          <a:off x="5591175" y="25822275"/>
          <a:ext cx="310278" cy="6790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3200"/>
            <a:t>=</a:t>
          </a:r>
          <a:endParaRPr kumimoji="1" lang="ja-JP" altLang="en-US" sz="3200"/>
        </a:p>
      </xdr:txBody>
    </xdr:sp>
    <xdr:clientData/>
  </xdr:oneCellAnchor>
  <xdr:twoCellAnchor>
    <xdr:from>
      <xdr:col>5</xdr:col>
      <xdr:colOff>304800</xdr:colOff>
      <xdr:row>184</xdr:row>
      <xdr:rowOff>133350</xdr:rowOff>
    </xdr:from>
    <xdr:to>
      <xdr:col>6</xdr:col>
      <xdr:colOff>66675</xdr:colOff>
      <xdr:row>190</xdr:row>
      <xdr:rowOff>38100</xdr:rowOff>
    </xdr:to>
    <xdr:sp macro="" textlink="">
      <xdr:nvSpPr>
        <xdr:cNvPr id="80" name="左カーブ矢印 79"/>
        <xdr:cNvSpPr/>
      </xdr:nvSpPr>
      <xdr:spPr>
        <a:xfrm>
          <a:off x="3733800" y="28851225"/>
          <a:ext cx="447675" cy="762000"/>
        </a:xfrm>
        <a:prstGeom prst="curvedLeftArrow">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xdr:col>
      <xdr:colOff>0</xdr:colOff>
      <xdr:row>192</xdr:row>
      <xdr:rowOff>57150</xdr:rowOff>
    </xdr:from>
    <xdr:to>
      <xdr:col>3</xdr:col>
      <xdr:colOff>581025</xdr:colOff>
      <xdr:row>197</xdr:row>
      <xdr:rowOff>57150</xdr:rowOff>
    </xdr:to>
    <xdr:sp macro="" textlink="">
      <xdr:nvSpPr>
        <xdr:cNvPr id="81" name="正方形/長方形 80"/>
        <xdr:cNvSpPr/>
      </xdr:nvSpPr>
      <xdr:spPr>
        <a:xfrm>
          <a:off x="685800" y="29918025"/>
          <a:ext cx="1952625" cy="714375"/>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kumimoji="1" lang="ja-JP" altLang="en-US" sz="1100"/>
            <a:t>アセットデジタルオプション</a:t>
          </a:r>
          <a:endParaRPr kumimoji="1" lang="en-US" altLang="ja-JP" sz="1100"/>
        </a:p>
        <a:p>
          <a:pPr algn="l"/>
          <a:r>
            <a:rPr kumimoji="1" lang="ja-JP" altLang="en-US" sz="1100"/>
            <a:t>のプレミアム</a:t>
          </a:r>
        </a:p>
      </xdr:txBody>
    </xdr:sp>
    <xdr:clientData/>
  </xdr:twoCellAnchor>
  <xdr:twoCellAnchor>
    <xdr:from>
      <xdr:col>5</xdr:col>
      <xdr:colOff>76200</xdr:colOff>
      <xdr:row>192</xdr:row>
      <xdr:rowOff>114300</xdr:rowOff>
    </xdr:from>
    <xdr:to>
      <xdr:col>7</xdr:col>
      <xdr:colOff>657225</xdr:colOff>
      <xdr:row>197</xdr:row>
      <xdr:rowOff>114300</xdr:rowOff>
    </xdr:to>
    <xdr:sp macro="" textlink="">
      <xdr:nvSpPr>
        <xdr:cNvPr id="82" name="正方形/長方形 81"/>
        <xdr:cNvSpPr/>
      </xdr:nvSpPr>
      <xdr:spPr>
        <a:xfrm>
          <a:off x="3505200" y="29975175"/>
          <a:ext cx="1952625" cy="714375"/>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kumimoji="1" lang="en-US" altLang="ja-JP" sz="1100"/>
            <a:t>K</a:t>
          </a:r>
          <a:r>
            <a:rPr kumimoji="1" lang="ja-JP" altLang="en-US" sz="1100"/>
            <a:t>　</a:t>
          </a:r>
          <a:r>
            <a:rPr kumimoji="1" lang="en-US" altLang="ja-JP" sz="1100"/>
            <a:t>×</a:t>
          </a:r>
        </a:p>
        <a:p>
          <a:pPr algn="l"/>
          <a:r>
            <a:rPr kumimoji="1" lang="ja-JP" altLang="en-US" sz="1100"/>
            <a:t>キャッシュデジタルオプション</a:t>
          </a:r>
          <a:endParaRPr kumimoji="1" lang="en-US" altLang="ja-JP" sz="1100"/>
        </a:p>
        <a:p>
          <a:pPr algn="l"/>
          <a:r>
            <a:rPr kumimoji="1" lang="ja-JP" altLang="en-US" sz="1100"/>
            <a:t>のプミレアム</a:t>
          </a:r>
        </a:p>
      </xdr:txBody>
    </xdr:sp>
    <xdr:clientData/>
  </xdr:twoCellAnchor>
  <xdr:twoCellAnchor>
    <xdr:from>
      <xdr:col>9</xdr:col>
      <xdr:colOff>66675</xdr:colOff>
      <xdr:row>192</xdr:row>
      <xdr:rowOff>95250</xdr:rowOff>
    </xdr:from>
    <xdr:to>
      <xdr:col>11</xdr:col>
      <xdr:colOff>647700</xdr:colOff>
      <xdr:row>197</xdr:row>
      <xdr:rowOff>95250</xdr:rowOff>
    </xdr:to>
    <xdr:sp macro="" textlink="">
      <xdr:nvSpPr>
        <xdr:cNvPr id="83" name="正方形/長方形 82"/>
        <xdr:cNvSpPr/>
      </xdr:nvSpPr>
      <xdr:spPr>
        <a:xfrm>
          <a:off x="6238875" y="29956125"/>
          <a:ext cx="1952625" cy="714375"/>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kumimoji="1" lang="ja-JP" altLang="en-US" sz="1100"/>
            <a:t>ヨーロピアンコールオプション</a:t>
          </a:r>
          <a:endParaRPr kumimoji="1" lang="en-US" altLang="ja-JP" sz="1100"/>
        </a:p>
        <a:p>
          <a:pPr algn="l"/>
          <a:r>
            <a:rPr kumimoji="1" lang="ja-JP" altLang="en-US" sz="1100"/>
            <a:t>のプレミアム</a:t>
          </a:r>
        </a:p>
      </xdr:txBody>
    </xdr:sp>
    <xdr:clientData/>
  </xdr:twoCellAnchor>
  <xdr:oneCellAnchor>
    <xdr:from>
      <xdr:col>4</xdr:col>
      <xdr:colOff>114300</xdr:colOff>
      <xdr:row>192</xdr:row>
      <xdr:rowOff>114300</xdr:rowOff>
    </xdr:from>
    <xdr:ext cx="310278" cy="679029"/>
    <xdr:sp macro="" textlink="">
      <xdr:nvSpPr>
        <xdr:cNvPr id="85" name="テキスト ボックス 84"/>
        <xdr:cNvSpPr txBox="1"/>
      </xdr:nvSpPr>
      <xdr:spPr>
        <a:xfrm>
          <a:off x="2857500" y="29975175"/>
          <a:ext cx="310278" cy="6790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3200"/>
            <a:t>=</a:t>
          </a:r>
          <a:endParaRPr kumimoji="1" lang="ja-JP" altLang="en-US" sz="3200"/>
        </a:p>
      </xdr:txBody>
    </xdr:sp>
    <xdr:clientData/>
  </xdr:oneCellAnchor>
  <xdr:oneCellAnchor>
    <xdr:from>
      <xdr:col>8</xdr:col>
      <xdr:colOff>85725</xdr:colOff>
      <xdr:row>192</xdr:row>
      <xdr:rowOff>123825</xdr:rowOff>
    </xdr:from>
    <xdr:ext cx="552450" cy="679029"/>
    <xdr:sp macro="" textlink="">
      <xdr:nvSpPr>
        <xdr:cNvPr id="86" name="テキスト ボックス 85"/>
        <xdr:cNvSpPr txBox="1"/>
      </xdr:nvSpPr>
      <xdr:spPr>
        <a:xfrm>
          <a:off x="5572125" y="29984700"/>
          <a:ext cx="552450" cy="6790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3200"/>
            <a:t>＋</a:t>
          </a:r>
        </a:p>
      </xdr:txBody>
    </xdr:sp>
    <xdr:clientData/>
  </xdr:oneCellAnchor>
  <xdr:twoCellAnchor>
    <xdr:from>
      <xdr:col>1</xdr:col>
      <xdr:colOff>95250</xdr:colOff>
      <xdr:row>223</xdr:row>
      <xdr:rowOff>66675</xdr:rowOff>
    </xdr:from>
    <xdr:to>
      <xdr:col>1</xdr:col>
      <xdr:colOff>95250</xdr:colOff>
      <xdr:row>234</xdr:row>
      <xdr:rowOff>47625</xdr:rowOff>
    </xdr:to>
    <xdr:cxnSp macro="">
      <xdr:nvCxnSpPr>
        <xdr:cNvPr id="87" name="直線矢印コネクタ 86"/>
        <xdr:cNvCxnSpPr/>
      </xdr:nvCxnSpPr>
      <xdr:spPr>
        <a:xfrm flipV="1">
          <a:off x="781050" y="23069550"/>
          <a:ext cx="0" cy="15525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95250</xdr:colOff>
      <xdr:row>234</xdr:row>
      <xdr:rowOff>47626</xdr:rowOff>
    </xdr:from>
    <xdr:to>
      <xdr:col>4</xdr:col>
      <xdr:colOff>342900</xdr:colOff>
      <xdr:row>234</xdr:row>
      <xdr:rowOff>57150</xdr:rowOff>
    </xdr:to>
    <xdr:cxnSp macro="">
      <xdr:nvCxnSpPr>
        <xdr:cNvPr id="88" name="直線矢印コネクタ 87"/>
        <xdr:cNvCxnSpPr/>
      </xdr:nvCxnSpPr>
      <xdr:spPr>
        <a:xfrm>
          <a:off x="781050" y="24622126"/>
          <a:ext cx="2305050" cy="952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114300</xdr:colOff>
      <xdr:row>234</xdr:row>
      <xdr:rowOff>28576</xdr:rowOff>
    </xdr:from>
    <xdr:to>
      <xdr:col>1</xdr:col>
      <xdr:colOff>647700</xdr:colOff>
      <xdr:row>234</xdr:row>
      <xdr:rowOff>38100</xdr:rowOff>
    </xdr:to>
    <xdr:cxnSp macro="">
      <xdr:nvCxnSpPr>
        <xdr:cNvPr id="89" name="直線矢印コネクタ 88"/>
        <xdr:cNvCxnSpPr/>
      </xdr:nvCxnSpPr>
      <xdr:spPr>
        <a:xfrm>
          <a:off x="800100" y="36690301"/>
          <a:ext cx="533400" cy="9524"/>
        </a:xfrm>
        <a:prstGeom prst="straightConnector1">
          <a:avLst/>
        </a:prstGeom>
        <a:ln w="38100">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28575</xdr:colOff>
      <xdr:row>228</xdr:row>
      <xdr:rowOff>57150</xdr:rowOff>
    </xdr:from>
    <xdr:to>
      <xdr:col>3</xdr:col>
      <xdr:colOff>47625</xdr:colOff>
      <xdr:row>228</xdr:row>
      <xdr:rowOff>66677</xdr:rowOff>
    </xdr:to>
    <xdr:cxnSp macro="">
      <xdr:nvCxnSpPr>
        <xdr:cNvPr id="90" name="直線矢印コネクタ 89"/>
        <xdr:cNvCxnSpPr/>
      </xdr:nvCxnSpPr>
      <xdr:spPr>
        <a:xfrm flipV="1">
          <a:off x="1400175" y="35861625"/>
          <a:ext cx="704850" cy="9527"/>
        </a:xfrm>
        <a:prstGeom prst="straightConnector1">
          <a:avLst/>
        </a:prstGeom>
        <a:ln w="38100">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0</xdr:colOff>
      <xdr:row>228</xdr:row>
      <xdr:rowOff>95250</xdr:rowOff>
    </xdr:from>
    <xdr:to>
      <xdr:col>2</xdr:col>
      <xdr:colOff>19050</xdr:colOff>
      <xdr:row>234</xdr:row>
      <xdr:rowOff>9525</xdr:rowOff>
    </xdr:to>
    <xdr:cxnSp macro="">
      <xdr:nvCxnSpPr>
        <xdr:cNvPr id="91" name="直線矢印コネクタ 90"/>
        <xdr:cNvCxnSpPr/>
      </xdr:nvCxnSpPr>
      <xdr:spPr>
        <a:xfrm flipH="1" flipV="1">
          <a:off x="1371600" y="35899725"/>
          <a:ext cx="19050" cy="771525"/>
        </a:xfrm>
        <a:prstGeom prst="straightConnector1">
          <a:avLst/>
        </a:prstGeom>
        <a:ln>
          <a:prstDash val="dash"/>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4</xdr:col>
      <xdr:colOff>342900</xdr:colOff>
      <xdr:row>233</xdr:row>
      <xdr:rowOff>76200</xdr:rowOff>
    </xdr:from>
    <xdr:ext cx="319768" cy="264560"/>
    <xdr:sp macro="" textlink="">
      <xdr:nvSpPr>
        <xdr:cNvPr id="92" name="テキスト ボックス 91"/>
        <xdr:cNvSpPr txBox="1"/>
      </xdr:nvSpPr>
      <xdr:spPr>
        <a:xfrm>
          <a:off x="3086100" y="24507825"/>
          <a:ext cx="3197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S</a:t>
          </a:r>
          <a:r>
            <a:rPr kumimoji="1" lang="ja-JP" altLang="en-US" sz="1100"/>
            <a:t>*</a:t>
          </a:r>
        </a:p>
      </xdr:txBody>
    </xdr:sp>
    <xdr:clientData/>
  </xdr:oneCellAnchor>
  <xdr:oneCellAnchor>
    <xdr:from>
      <xdr:col>0</xdr:col>
      <xdr:colOff>609600</xdr:colOff>
      <xdr:row>221</xdr:row>
      <xdr:rowOff>123825</xdr:rowOff>
    </xdr:from>
    <xdr:ext cx="334963" cy="264560"/>
    <xdr:sp macro="" textlink="">
      <xdr:nvSpPr>
        <xdr:cNvPr id="93" name="テキスト ボックス 92"/>
        <xdr:cNvSpPr txBox="1"/>
      </xdr:nvSpPr>
      <xdr:spPr>
        <a:xfrm>
          <a:off x="609600" y="22840950"/>
          <a:ext cx="33496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V</a:t>
          </a:r>
          <a:r>
            <a:rPr kumimoji="1" lang="ja-JP" altLang="en-US" sz="1100"/>
            <a:t>*</a:t>
          </a:r>
        </a:p>
      </xdr:txBody>
    </xdr:sp>
    <xdr:clientData/>
  </xdr:oneCellAnchor>
  <xdr:twoCellAnchor>
    <xdr:from>
      <xdr:col>1</xdr:col>
      <xdr:colOff>142875</xdr:colOff>
      <xdr:row>228</xdr:row>
      <xdr:rowOff>76201</xdr:rowOff>
    </xdr:from>
    <xdr:to>
      <xdr:col>2</xdr:col>
      <xdr:colOff>400050</xdr:colOff>
      <xdr:row>228</xdr:row>
      <xdr:rowOff>85725</xdr:rowOff>
    </xdr:to>
    <xdr:cxnSp macro="">
      <xdr:nvCxnSpPr>
        <xdr:cNvPr id="94" name="直線矢印コネクタ 93"/>
        <xdr:cNvCxnSpPr/>
      </xdr:nvCxnSpPr>
      <xdr:spPr>
        <a:xfrm flipV="1">
          <a:off x="828675" y="23793451"/>
          <a:ext cx="942975" cy="9524"/>
        </a:xfrm>
        <a:prstGeom prst="straightConnector1">
          <a:avLst/>
        </a:prstGeom>
        <a:ln>
          <a:prstDash val="dash"/>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66675</xdr:colOff>
      <xdr:row>234</xdr:row>
      <xdr:rowOff>38101</xdr:rowOff>
    </xdr:from>
    <xdr:to>
      <xdr:col>3</xdr:col>
      <xdr:colOff>600075</xdr:colOff>
      <xdr:row>234</xdr:row>
      <xdr:rowOff>47625</xdr:rowOff>
    </xdr:to>
    <xdr:cxnSp macro="">
      <xdr:nvCxnSpPr>
        <xdr:cNvPr id="101" name="直線矢印コネクタ 100"/>
        <xdr:cNvCxnSpPr/>
      </xdr:nvCxnSpPr>
      <xdr:spPr>
        <a:xfrm>
          <a:off x="2124075" y="36699826"/>
          <a:ext cx="533400" cy="9524"/>
        </a:xfrm>
        <a:prstGeom prst="straightConnector1">
          <a:avLst/>
        </a:prstGeom>
        <a:ln w="38100">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38100</xdr:colOff>
      <xdr:row>228</xdr:row>
      <xdr:rowOff>76200</xdr:rowOff>
    </xdr:from>
    <xdr:to>
      <xdr:col>3</xdr:col>
      <xdr:colOff>57150</xdr:colOff>
      <xdr:row>233</xdr:row>
      <xdr:rowOff>133350</xdr:rowOff>
    </xdr:to>
    <xdr:cxnSp macro="">
      <xdr:nvCxnSpPr>
        <xdr:cNvPr id="102" name="直線矢印コネクタ 101"/>
        <xdr:cNvCxnSpPr/>
      </xdr:nvCxnSpPr>
      <xdr:spPr>
        <a:xfrm flipH="1" flipV="1">
          <a:off x="2095500" y="35880675"/>
          <a:ext cx="19050" cy="771525"/>
        </a:xfrm>
        <a:prstGeom prst="straightConnector1">
          <a:avLst/>
        </a:prstGeom>
        <a:ln>
          <a:prstDash val="dash"/>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95250</xdr:colOff>
      <xdr:row>223</xdr:row>
      <xdr:rowOff>66675</xdr:rowOff>
    </xdr:from>
    <xdr:to>
      <xdr:col>1</xdr:col>
      <xdr:colOff>95250</xdr:colOff>
      <xdr:row>234</xdr:row>
      <xdr:rowOff>47625</xdr:rowOff>
    </xdr:to>
    <xdr:cxnSp macro="">
      <xdr:nvCxnSpPr>
        <xdr:cNvPr id="103" name="直線矢印コネクタ 102"/>
        <xdr:cNvCxnSpPr/>
      </xdr:nvCxnSpPr>
      <xdr:spPr>
        <a:xfrm flipV="1">
          <a:off x="781050" y="35156775"/>
          <a:ext cx="0" cy="15525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95250</xdr:colOff>
      <xdr:row>234</xdr:row>
      <xdr:rowOff>47626</xdr:rowOff>
    </xdr:from>
    <xdr:to>
      <xdr:col>4</xdr:col>
      <xdr:colOff>342900</xdr:colOff>
      <xdr:row>234</xdr:row>
      <xdr:rowOff>57150</xdr:rowOff>
    </xdr:to>
    <xdr:cxnSp macro="">
      <xdr:nvCxnSpPr>
        <xdr:cNvPr id="104" name="直線矢印コネクタ 103"/>
        <xdr:cNvCxnSpPr/>
      </xdr:nvCxnSpPr>
      <xdr:spPr>
        <a:xfrm>
          <a:off x="781050" y="36709351"/>
          <a:ext cx="2305050" cy="952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114300</xdr:colOff>
      <xdr:row>234</xdr:row>
      <xdr:rowOff>28576</xdr:rowOff>
    </xdr:from>
    <xdr:to>
      <xdr:col>1</xdr:col>
      <xdr:colOff>647700</xdr:colOff>
      <xdr:row>234</xdr:row>
      <xdr:rowOff>38100</xdr:rowOff>
    </xdr:to>
    <xdr:cxnSp macro="">
      <xdr:nvCxnSpPr>
        <xdr:cNvPr id="105" name="直線矢印コネクタ 104"/>
        <xdr:cNvCxnSpPr/>
      </xdr:nvCxnSpPr>
      <xdr:spPr>
        <a:xfrm>
          <a:off x="800100" y="36690301"/>
          <a:ext cx="533400" cy="9524"/>
        </a:xfrm>
        <a:prstGeom prst="straightConnector1">
          <a:avLst/>
        </a:prstGeom>
        <a:ln w="38100">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28575</xdr:colOff>
      <xdr:row>228</xdr:row>
      <xdr:rowOff>57150</xdr:rowOff>
    </xdr:from>
    <xdr:to>
      <xdr:col>3</xdr:col>
      <xdr:colOff>47625</xdr:colOff>
      <xdr:row>228</xdr:row>
      <xdr:rowOff>66677</xdr:rowOff>
    </xdr:to>
    <xdr:cxnSp macro="">
      <xdr:nvCxnSpPr>
        <xdr:cNvPr id="106" name="直線矢印コネクタ 105"/>
        <xdr:cNvCxnSpPr/>
      </xdr:nvCxnSpPr>
      <xdr:spPr>
        <a:xfrm flipV="1">
          <a:off x="1400175" y="35861625"/>
          <a:ext cx="704850" cy="9527"/>
        </a:xfrm>
        <a:prstGeom prst="straightConnector1">
          <a:avLst/>
        </a:prstGeom>
        <a:ln w="38100">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0</xdr:colOff>
      <xdr:row>228</xdr:row>
      <xdr:rowOff>95250</xdr:rowOff>
    </xdr:from>
    <xdr:to>
      <xdr:col>2</xdr:col>
      <xdr:colOff>19050</xdr:colOff>
      <xdr:row>234</xdr:row>
      <xdr:rowOff>9525</xdr:rowOff>
    </xdr:to>
    <xdr:cxnSp macro="">
      <xdr:nvCxnSpPr>
        <xdr:cNvPr id="107" name="直線矢印コネクタ 106"/>
        <xdr:cNvCxnSpPr/>
      </xdr:nvCxnSpPr>
      <xdr:spPr>
        <a:xfrm flipH="1" flipV="1">
          <a:off x="1371600" y="35899725"/>
          <a:ext cx="19050" cy="771525"/>
        </a:xfrm>
        <a:prstGeom prst="straightConnector1">
          <a:avLst/>
        </a:prstGeom>
        <a:ln>
          <a:prstDash val="dash"/>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4</xdr:col>
      <xdr:colOff>342900</xdr:colOff>
      <xdr:row>233</xdr:row>
      <xdr:rowOff>76200</xdr:rowOff>
    </xdr:from>
    <xdr:ext cx="319768" cy="264560"/>
    <xdr:sp macro="" textlink="">
      <xdr:nvSpPr>
        <xdr:cNvPr id="108" name="テキスト ボックス 107"/>
        <xdr:cNvSpPr txBox="1"/>
      </xdr:nvSpPr>
      <xdr:spPr>
        <a:xfrm>
          <a:off x="3086100" y="36595050"/>
          <a:ext cx="3197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S</a:t>
          </a:r>
          <a:r>
            <a:rPr kumimoji="1" lang="ja-JP" altLang="en-US" sz="1100"/>
            <a:t>*</a:t>
          </a:r>
        </a:p>
      </xdr:txBody>
    </xdr:sp>
    <xdr:clientData/>
  </xdr:oneCellAnchor>
  <xdr:oneCellAnchor>
    <xdr:from>
      <xdr:col>0</xdr:col>
      <xdr:colOff>609600</xdr:colOff>
      <xdr:row>221</xdr:row>
      <xdr:rowOff>123825</xdr:rowOff>
    </xdr:from>
    <xdr:ext cx="334963" cy="264560"/>
    <xdr:sp macro="" textlink="">
      <xdr:nvSpPr>
        <xdr:cNvPr id="109" name="テキスト ボックス 108"/>
        <xdr:cNvSpPr txBox="1"/>
      </xdr:nvSpPr>
      <xdr:spPr>
        <a:xfrm>
          <a:off x="609600" y="34928175"/>
          <a:ext cx="33496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V</a:t>
          </a:r>
          <a:r>
            <a:rPr kumimoji="1" lang="ja-JP" altLang="en-US" sz="1100"/>
            <a:t>*</a:t>
          </a:r>
        </a:p>
      </xdr:txBody>
    </xdr:sp>
    <xdr:clientData/>
  </xdr:oneCellAnchor>
  <xdr:twoCellAnchor>
    <xdr:from>
      <xdr:col>1</xdr:col>
      <xdr:colOff>142875</xdr:colOff>
      <xdr:row>228</xdr:row>
      <xdr:rowOff>76201</xdr:rowOff>
    </xdr:from>
    <xdr:to>
      <xdr:col>2</xdr:col>
      <xdr:colOff>400050</xdr:colOff>
      <xdr:row>228</xdr:row>
      <xdr:rowOff>85725</xdr:rowOff>
    </xdr:to>
    <xdr:cxnSp macro="">
      <xdr:nvCxnSpPr>
        <xdr:cNvPr id="110" name="直線矢印コネクタ 109"/>
        <xdr:cNvCxnSpPr/>
      </xdr:nvCxnSpPr>
      <xdr:spPr>
        <a:xfrm flipV="1">
          <a:off x="828675" y="35880676"/>
          <a:ext cx="942975" cy="9524"/>
        </a:xfrm>
        <a:prstGeom prst="straightConnector1">
          <a:avLst/>
        </a:prstGeom>
        <a:ln>
          <a:prstDash val="dash"/>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66675</xdr:colOff>
      <xdr:row>234</xdr:row>
      <xdr:rowOff>38101</xdr:rowOff>
    </xdr:from>
    <xdr:to>
      <xdr:col>3</xdr:col>
      <xdr:colOff>600075</xdr:colOff>
      <xdr:row>234</xdr:row>
      <xdr:rowOff>47625</xdr:rowOff>
    </xdr:to>
    <xdr:cxnSp macro="">
      <xdr:nvCxnSpPr>
        <xdr:cNvPr id="111" name="直線矢印コネクタ 110"/>
        <xdr:cNvCxnSpPr/>
      </xdr:nvCxnSpPr>
      <xdr:spPr>
        <a:xfrm>
          <a:off x="2124075" y="36699826"/>
          <a:ext cx="533400" cy="9524"/>
        </a:xfrm>
        <a:prstGeom prst="straightConnector1">
          <a:avLst/>
        </a:prstGeom>
        <a:ln w="38100">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38100</xdr:colOff>
      <xdr:row>228</xdr:row>
      <xdr:rowOff>76200</xdr:rowOff>
    </xdr:from>
    <xdr:to>
      <xdr:col>3</xdr:col>
      <xdr:colOff>57150</xdr:colOff>
      <xdr:row>233</xdr:row>
      <xdr:rowOff>133350</xdr:rowOff>
    </xdr:to>
    <xdr:cxnSp macro="">
      <xdr:nvCxnSpPr>
        <xdr:cNvPr id="112" name="直線矢印コネクタ 111"/>
        <xdr:cNvCxnSpPr/>
      </xdr:nvCxnSpPr>
      <xdr:spPr>
        <a:xfrm flipH="1" flipV="1">
          <a:off x="2095500" y="35880675"/>
          <a:ext cx="19050" cy="771525"/>
        </a:xfrm>
        <a:prstGeom prst="straightConnector1">
          <a:avLst/>
        </a:prstGeom>
        <a:ln>
          <a:prstDash val="dash"/>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95250</xdr:colOff>
      <xdr:row>247</xdr:row>
      <xdr:rowOff>66675</xdr:rowOff>
    </xdr:from>
    <xdr:to>
      <xdr:col>1</xdr:col>
      <xdr:colOff>95250</xdr:colOff>
      <xdr:row>258</xdr:row>
      <xdr:rowOff>47625</xdr:rowOff>
    </xdr:to>
    <xdr:cxnSp macro="">
      <xdr:nvCxnSpPr>
        <xdr:cNvPr id="113" name="直線矢印コネクタ 112"/>
        <xdr:cNvCxnSpPr/>
      </xdr:nvCxnSpPr>
      <xdr:spPr>
        <a:xfrm flipV="1">
          <a:off x="781050" y="35156775"/>
          <a:ext cx="0" cy="15525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95250</xdr:colOff>
      <xdr:row>258</xdr:row>
      <xdr:rowOff>47626</xdr:rowOff>
    </xdr:from>
    <xdr:to>
      <xdr:col>4</xdr:col>
      <xdr:colOff>342900</xdr:colOff>
      <xdr:row>258</xdr:row>
      <xdr:rowOff>57150</xdr:rowOff>
    </xdr:to>
    <xdr:cxnSp macro="">
      <xdr:nvCxnSpPr>
        <xdr:cNvPr id="114" name="直線矢印コネクタ 113"/>
        <xdr:cNvCxnSpPr/>
      </xdr:nvCxnSpPr>
      <xdr:spPr>
        <a:xfrm>
          <a:off x="781050" y="36709351"/>
          <a:ext cx="2305050" cy="952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114300</xdr:colOff>
      <xdr:row>258</xdr:row>
      <xdr:rowOff>28576</xdr:rowOff>
    </xdr:from>
    <xdr:to>
      <xdr:col>1</xdr:col>
      <xdr:colOff>647700</xdr:colOff>
      <xdr:row>258</xdr:row>
      <xdr:rowOff>38100</xdr:rowOff>
    </xdr:to>
    <xdr:cxnSp macro="">
      <xdr:nvCxnSpPr>
        <xdr:cNvPr id="115" name="直線矢印コネクタ 114"/>
        <xdr:cNvCxnSpPr/>
      </xdr:nvCxnSpPr>
      <xdr:spPr>
        <a:xfrm>
          <a:off x="800100" y="36690301"/>
          <a:ext cx="533400" cy="9524"/>
        </a:xfrm>
        <a:prstGeom prst="straightConnector1">
          <a:avLst/>
        </a:prstGeom>
        <a:ln w="38100">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4</xdr:col>
      <xdr:colOff>342900</xdr:colOff>
      <xdr:row>257</xdr:row>
      <xdr:rowOff>76200</xdr:rowOff>
    </xdr:from>
    <xdr:ext cx="319768" cy="264560"/>
    <xdr:sp macro="" textlink="">
      <xdr:nvSpPr>
        <xdr:cNvPr id="118" name="テキスト ボックス 117"/>
        <xdr:cNvSpPr txBox="1"/>
      </xdr:nvSpPr>
      <xdr:spPr>
        <a:xfrm>
          <a:off x="3086100" y="36595050"/>
          <a:ext cx="3197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S</a:t>
          </a:r>
          <a:r>
            <a:rPr kumimoji="1" lang="ja-JP" altLang="en-US" sz="1100"/>
            <a:t>*</a:t>
          </a:r>
        </a:p>
      </xdr:txBody>
    </xdr:sp>
    <xdr:clientData/>
  </xdr:oneCellAnchor>
  <xdr:oneCellAnchor>
    <xdr:from>
      <xdr:col>0</xdr:col>
      <xdr:colOff>609600</xdr:colOff>
      <xdr:row>245</xdr:row>
      <xdr:rowOff>123825</xdr:rowOff>
    </xdr:from>
    <xdr:ext cx="334963" cy="264560"/>
    <xdr:sp macro="" textlink="">
      <xdr:nvSpPr>
        <xdr:cNvPr id="119" name="テキスト ボックス 118"/>
        <xdr:cNvSpPr txBox="1"/>
      </xdr:nvSpPr>
      <xdr:spPr>
        <a:xfrm>
          <a:off x="609600" y="34928175"/>
          <a:ext cx="33496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V</a:t>
          </a:r>
          <a:r>
            <a:rPr kumimoji="1" lang="ja-JP" altLang="en-US" sz="1100"/>
            <a:t>*</a:t>
          </a:r>
        </a:p>
      </xdr:txBody>
    </xdr:sp>
    <xdr:clientData/>
  </xdr:oneCellAnchor>
  <xdr:twoCellAnchor>
    <xdr:from>
      <xdr:col>1</xdr:col>
      <xdr:colOff>142875</xdr:colOff>
      <xdr:row>252</xdr:row>
      <xdr:rowOff>66675</xdr:rowOff>
    </xdr:from>
    <xdr:to>
      <xdr:col>3</xdr:col>
      <xdr:colOff>28575</xdr:colOff>
      <xdr:row>252</xdr:row>
      <xdr:rowOff>85725</xdr:rowOff>
    </xdr:to>
    <xdr:cxnSp macro="">
      <xdr:nvCxnSpPr>
        <xdr:cNvPr id="120" name="直線矢印コネクタ 119"/>
        <xdr:cNvCxnSpPr/>
      </xdr:nvCxnSpPr>
      <xdr:spPr>
        <a:xfrm flipV="1">
          <a:off x="828675" y="39300150"/>
          <a:ext cx="1257300" cy="19050"/>
        </a:xfrm>
        <a:prstGeom prst="straightConnector1">
          <a:avLst/>
        </a:prstGeom>
        <a:ln>
          <a:prstDash val="dash"/>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66675</xdr:colOff>
      <xdr:row>258</xdr:row>
      <xdr:rowOff>38101</xdr:rowOff>
    </xdr:from>
    <xdr:to>
      <xdr:col>3</xdr:col>
      <xdr:colOff>600075</xdr:colOff>
      <xdr:row>258</xdr:row>
      <xdr:rowOff>47625</xdr:rowOff>
    </xdr:to>
    <xdr:cxnSp macro="">
      <xdr:nvCxnSpPr>
        <xdr:cNvPr id="121" name="直線矢印コネクタ 120"/>
        <xdr:cNvCxnSpPr/>
      </xdr:nvCxnSpPr>
      <xdr:spPr>
        <a:xfrm>
          <a:off x="2124075" y="36699826"/>
          <a:ext cx="533400" cy="9524"/>
        </a:xfrm>
        <a:prstGeom prst="straightConnector1">
          <a:avLst/>
        </a:prstGeom>
        <a:ln w="38100">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38100</xdr:colOff>
      <xdr:row>252</xdr:row>
      <xdr:rowOff>76200</xdr:rowOff>
    </xdr:from>
    <xdr:to>
      <xdr:col>3</xdr:col>
      <xdr:colOff>57150</xdr:colOff>
      <xdr:row>257</xdr:row>
      <xdr:rowOff>133350</xdr:rowOff>
    </xdr:to>
    <xdr:cxnSp macro="">
      <xdr:nvCxnSpPr>
        <xdr:cNvPr id="122" name="直線矢印コネクタ 121"/>
        <xdr:cNvCxnSpPr/>
      </xdr:nvCxnSpPr>
      <xdr:spPr>
        <a:xfrm flipH="1" flipV="1">
          <a:off x="2095500" y="35880675"/>
          <a:ext cx="19050" cy="771525"/>
        </a:xfrm>
        <a:prstGeom prst="straightConnector1">
          <a:avLst/>
        </a:prstGeom>
        <a:ln>
          <a:prstDash val="dash"/>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95250</xdr:colOff>
      <xdr:row>247</xdr:row>
      <xdr:rowOff>66675</xdr:rowOff>
    </xdr:from>
    <xdr:to>
      <xdr:col>1</xdr:col>
      <xdr:colOff>95250</xdr:colOff>
      <xdr:row>258</xdr:row>
      <xdr:rowOff>47625</xdr:rowOff>
    </xdr:to>
    <xdr:cxnSp macro="">
      <xdr:nvCxnSpPr>
        <xdr:cNvPr id="123" name="直線矢印コネクタ 122"/>
        <xdr:cNvCxnSpPr/>
      </xdr:nvCxnSpPr>
      <xdr:spPr>
        <a:xfrm flipV="1">
          <a:off x="781050" y="35156775"/>
          <a:ext cx="0" cy="15525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95250</xdr:colOff>
      <xdr:row>258</xdr:row>
      <xdr:rowOff>47626</xdr:rowOff>
    </xdr:from>
    <xdr:to>
      <xdr:col>4</xdr:col>
      <xdr:colOff>342900</xdr:colOff>
      <xdr:row>258</xdr:row>
      <xdr:rowOff>57150</xdr:rowOff>
    </xdr:to>
    <xdr:cxnSp macro="">
      <xdr:nvCxnSpPr>
        <xdr:cNvPr id="124" name="直線矢印コネクタ 123"/>
        <xdr:cNvCxnSpPr/>
      </xdr:nvCxnSpPr>
      <xdr:spPr>
        <a:xfrm>
          <a:off x="781050" y="36709351"/>
          <a:ext cx="2305050" cy="952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114300</xdr:colOff>
      <xdr:row>258</xdr:row>
      <xdr:rowOff>28576</xdr:rowOff>
    </xdr:from>
    <xdr:to>
      <xdr:col>1</xdr:col>
      <xdr:colOff>647700</xdr:colOff>
      <xdr:row>258</xdr:row>
      <xdr:rowOff>38100</xdr:rowOff>
    </xdr:to>
    <xdr:cxnSp macro="">
      <xdr:nvCxnSpPr>
        <xdr:cNvPr id="125" name="直線矢印コネクタ 124"/>
        <xdr:cNvCxnSpPr/>
      </xdr:nvCxnSpPr>
      <xdr:spPr>
        <a:xfrm>
          <a:off x="800100" y="36690301"/>
          <a:ext cx="533400" cy="9524"/>
        </a:xfrm>
        <a:prstGeom prst="straightConnector1">
          <a:avLst/>
        </a:prstGeom>
        <a:ln w="38100">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19050</xdr:colOff>
      <xdr:row>252</xdr:row>
      <xdr:rowOff>57151</xdr:rowOff>
    </xdr:from>
    <xdr:to>
      <xdr:col>3</xdr:col>
      <xdr:colOff>47625</xdr:colOff>
      <xdr:row>258</xdr:row>
      <xdr:rowOff>38100</xdr:rowOff>
    </xdr:to>
    <xdr:cxnSp macro="">
      <xdr:nvCxnSpPr>
        <xdr:cNvPr id="126" name="直線矢印コネクタ 125"/>
        <xdr:cNvCxnSpPr/>
      </xdr:nvCxnSpPr>
      <xdr:spPr>
        <a:xfrm flipV="1">
          <a:off x="1390650" y="39290626"/>
          <a:ext cx="714375" cy="838199"/>
        </a:xfrm>
        <a:prstGeom prst="straightConnector1">
          <a:avLst/>
        </a:prstGeom>
        <a:ln w="38100">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4</xdr:col>
      <xdr:colOff>342900</xdr:colOff>
      <xdr:row>257</xdr:row>
      <xdr:rowOff>76200</xdr:rowOff>
    </xdr:from>
    <xdr:ext cx="319768" cy="264560"/>
    <xdr:sp macro="" textlink="">
      <xdr:nvSpPr>
        <xdr:cNvPr id="128" name="テキスト ボックス 127"/>
        <xdr:cNvSpPr txBox="1"/>
      </xdr:nvSpPr>
      <xdr:spPr>
        <a:xfrm>
          <a:off x="3086100" y="36595050"/>
          <a:ext cx="3197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S</a:t>
          </a:r>
          <a:r>
            <a:rPr kumimoji="1" lang="ja-JP" altLang="en-US" sz="1100"/>
            <a:t>*</a:t>
          </a:r>
        </a:p>
      </xdr:txBody>
    </xdr:sp>
    <xdr:clientData/>
  </xdr:oneCellAnchor>
  <xdr:oneCellAnchor>
    <xdr:from>
      <xdr:col>0</xdr:col>
      <xdr:colOff>609600</xdr:colOff>
      <xdr:row>245</xdr:row>
      <xdr:rowOff>123825</xdr:rowOff>
    </xdr:from>
    <xdr:ext cx="334963" cy="264560"/>
    <xdr:sp macro="" textlink="">
      <xdr:nvSpPr>
        <xdr:cNvPr id="129" name="テキスト ボックス 128"/>
        <xdr:cNvSpPr txBox="1"/>
      </xdr:nvSpPr>
      <xdr:spPr>
        <a:xfrm>
          <a:off x="609600" y="34928175"/>
          <a:ext cx="33496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V</a:t>
          </a:r>
          <a:r>
            <a:rPr kumimoji="1" lang="ja-JP" altLang="en-US" sz="1100"/>
            <a:t>*</a:t>
          </a:r>
        </a:p>
      </xdr:txBody>
    </xdr:sp>
    <xdr:clientData/>
  </xdr:oneCellAnchor>
  <xdr:twoCellAnchor>
    <xdr:from>
      <xdr:col>3</xdr:col>
      <xdr:colOff>66675</xdr:colOff>
      <xdr:row>258</xdr:row>
      <xdr:rowOff>38101</xdr:rowOff>
    </xdr:from>
    <xdr:to>
      <xdr:col>3</xdr:col>
      <xdr:colOff>600075</xdr:colOff>
      <xdr:row>258</xdr:row>
      <xdr:rowOff>47625</xdr:rowOff>
    </xdr:to>
    <xdr:cxnSp macro="">
      <xdr:nvCxnSpPr>
        <xdr:cNvPr id="131" name="直線矢印コネクタ 130"/>
        <xdr:cNvCxnSpPr/>
      </xdr:nvCxnSpPr>
      <xdr:spPr>
        <a:xfrm>
          <a:off x="2124075" y="36699826"/>
          <a:ext cx="533400" cy="9524"/>
        </a:xfrm>
        <a:prstGeom prst="straightConnector1">
          <a:avLst/>
        </a:prstGeom>
        <a:ln w="38100">
          <a:solidFill>
            <a:srgbClr val="0000FF"/>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38100</xdr:colOff>
      <xdr:row>252</xdr:row>
      <xdr:rowOff>76200</xdr:rowOff>
    </xdr:from>
    <xdr:to>
      <xdr:col>3</xdr:col>
      <xdr:colOff>57150</xdr:colOff>
      <xdr:row>257</xdr:row>
      <xdr:rowOff>133350</xdr:rowOff>
    </xdr:to>
    <xdr:cxnSp macro="">
      <xdr:nvCxnSpPr>
        <xdr:cNvPr id="132" name="直線矢印コネクタ 131"/>
        <xdr:cNvCxnSpPr/>
      </xdr:nvCxnSpPr>
      <xdr:spPr>
        <a:xfrm flipH="1" flipV="1">
          <a:off x="2095500" y="35880675"/>
          <a:ext cx="19050" cy="771525"/>
        </a:xfrm>
        <a:prstGeom prst="straightConnector1">
          <a:avLst/>
        </a:prstGeom>
        <a:ln>
          <a:prstDash val="dash"/>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619125</xdr:colOff>
      <xdr:row>149</xdr:row>
      <xdr:rowOff>9525</xdr:rowOff>
    </xdr:from>
    <xdr:to>
      <xdr:col>4</xdr:col>
      <xdr:colOff>904875</xdr:colOff>
      <xdr:row>153</xdr:row>
      <xdr:rowOff>114300</xdr:rowOff>
    </xdr:to>
    <xdr:sp macro="" textlink="">
      <xdr:nvSpPr>
        <xdr:cNvPr id="2" name="角丸四角形吹き出し 1"/>
        <xdr:cNvSpPr/>
      </xdr:nvSpPr>
      <xdr:spPr>
        <a:xfrm>
          <a:off x="3000375" y="22193250"/>
          <a:ext cx="2667000" cy="676275"/>
        </a:xfrm>
        <a:prstGeom prst="wedgeRoundRectCallout">
          <a:avLst>
            <a:gd name="adj1" fmla="val -122261"/>
            <a:gd name="adj2" fmla="val -160035"/>
            <a:gd name="adj3" fmla="val 16667"/>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この期間は</a:t>
          </a:r>
          <a:r>
            <a:rPr kumimoji="1" lang="en-US" altLang="ja-JP" sz="1100"/>
            <a:t>2.5</a:t>
          </a:r>
          <a:r>
            <a:rPr kumimoji="1" lang="ja-JP" altLang="en-US" sz="1100"/>
            <a:t>～</a:t>
          </a:r>
          <a:r>
            <a:rPr kumimoji="1" lang="en-US" altLang="ja-JP" sz="1100"/>
            <a:t>5</a:t>
          </a:r>
          <a:r>
            <a:rPr kumimoji="1" lang="ja-JP" altLang="en-US" sz="1100"/>
            <a:t>であるということが味噌</a:t>
          </a:r>
        </a:p>
      </xdr:txBody>
    </xdr:sp>
    <xdr:clientData/>
  </xdr:twoCellAnchor>
  <xdr:twoCellAnchor>
    <xdr:from>
      <xdr:col>0</xdr:col>
      <xdr:colOff>409575</xdr:colOff>
      <xdr:row>230</xdr:row>
      <xdr:rowOff>95250</xdr:rowOff>
    </xdr:from>
    <xdr:to>
      <xdr:col>3</xdr:col>
      <xdr:colOff>1181100</xdr:colOff>
      <xdr:row>230</xdr:row>
      <xdr:rowOff>95250</xdr:rowOff>
    </xdr:to>
    <xdr:cxnSp macro="">
      <xdr:nvCxnSpPr>
        <xdr:cNvPr id="4" name="直線矢印コネクタ 3"/>
        <xdr:cNvCxnSpPr/>
      </xdr:nvCxnSpPr>
      <xdr:spPr>
        <a:xfrm>
          <a:off x="409575" y="34099500"/>
          <a:ext cx="434340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962025</xdr:colOff>
      <xdr:row>228</xdr:row>
      <xdr:rowOff>114300</xdr:rowOff>
    </xdr:from>
    <xdr:to>
      <xdr:col>0</xdr:col>
      <xdr:colOff>962025</xdr:colOff>
      <xdr:row>232</xdr:row>
      <xdr:rowOff>19050</xdr:rowOff>
    </xdr:to>
    <xdr:cxnSp macro="">
      <xdr:nvCxnSpPr>
        <xdr:cNvPr id="5" name="直線矢印コネクタ 4"/>
        <xdr:cNvCxnSpPr/>
      </xdr:nvCxnSpPr>
      <xdr:spPr>
        <a:xfrm flipV="1">
          <a:off x="962025" y="33832800"/>
          <a:ext cx="0" cy="476250"/>
        </a:xfrm>
        <a:prstGeom prst="straightConnector1">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571500</xdr:colOff>
      <xdr:row>228</xdr:row>
      <xdr:rowOff>123825</xdr:rowOff>
    </xdr:from>
    <xdr:to>
      <xdr:col>1</xdr:col>
      <xdr:colOff>571500</xdr:colOff>
      <xdr:row>232</xdr:row>
      <xdr:rowOff>28575</xdr:rowOff>
    </xdr:to>
    <xdr:cxnSp macro="">
      <xdr:nvCxnSpPr>
        <xdr:cNvPr id="7" name="直線矢印コネクタ 6"/>
        <xdr:cNvCxnSpPr/>
      </xdr:nvCxnSpPr>
      <xdr:spPr>
        <a:xfrm flipV="1">
          <a:off x="1762125" y="33842325"/>
          <a:ext cx="0" cy="476250"/>
        </a:xfrm>
        <a:prstGeom prst="straightConnector1">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257175</xdr:colOff>
      <xdr:row>228</xdr:row>
      <xdr:rowOff>123825</xdr:rowOff>
    </xdr:from>
    <xdr:to>
      <xdr:col>2</xdr:col>
      <xdr:colOff>257175</xdr:colOff>
      <xdr:row>232</xdr:row>
      <xdr:rowOff>28575</xdr:rowOff>
    </xdr:to>
    <xdr:cxnSp macro="">
      <xdr:nvCxnSpPr>
        <xdr:cNvPr id="8" name="直線矢印コネクタ 7"/>
        <xdr:cNvCxnSpPr/>
      </xdr:nvCxnSpPr>
      <xdr:spPr>
        <a:xfrm flipV="1">
          <a:off x="2638425" y="33842325"/>
          <a:ext cx="0" cy="476250"/>
        </a:xfrm>
        <a:prstGeom prst="straightConnector1">
          <a:avLst/>
        </a:prstGeom>
        <a:ln>
          <a:headEnd type="arrow"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95250</xdr:colOff>
      <xdr:row>227</xdr:row>
      <xdr:rowOff>0</xdr:rowOff>
    </xdr:from>
    <xdr:ext cx="401713" cy="275717"/>
    <xdr:sp macro="" textlink="">
      <xdr:nvSpPr>
        <xdr:cNvPr id="9" name="テキスト ボックス 8"/>
        <xdr:cNvSpPr txBox="1"/>
      </xdr:nvSpPr>
      <xdr:spPr>
        <a:xfrm>
          <a:off x="2476500" y="33575625"/>
          <a:ext cx="40171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６</a:t>
          </a:r>
          <a:r>
            <a:rPr kumimoji="1" lang="en-US" altLang="ja-JP" sz="1100"/>
            <a:t>M</a:t>
          </a:r>
          <a:endParaRPr kumimoji="1" lang="ja-JP" altLang="en-US" sz="1100"/>
        </a:p>
      </xdr:txBody>
    </xdr:sp>
    <xdr:clientData/>
  </xdr:oneCellAnchor>
  <xdr:oneCellAnchor>
    <xdr:from>
      <xdr:col>2</xdr:col>
      <xdr:colOff>85725</xdr:colOff>
      <xdr:row>232</xdr:row>
      <xdr:rowOff>76200</xdr:rowOff>
    </xdr:from>
    <xdr:ext cx="358753" cy="264560"/>
    <xdr:sp macro="" textlink="">
      <xdr:nvSpPr>
        <xdr:cNvPr id="10" name="テキスト ボックス 9"/>
        <xdr:cNvSpPr txBox="1"/>
      </xdr:nvSpPr>
      <xdr:spPr>
        <a:xfrm>
          <a:off x="2466975" y="34366200"/>
          <a:ext cx="35875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X%</a:t>
          </a:r>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209"/>
  <sheetViews>
    <sheetView showGridLines="0" topLeftCell="B1" zoomScaleNormal="100" workbookViewId="0">
      <selection activeCell="G14" sqref="G14:I16"/>
    </sheetView>
  </sheetViews>
  <sheetFormatPr defaultRowHeight="11.25"/>
  <cols>
    <col min="1" max="4" width="15.625" style="99" customWidth="1"/>
    <col min="5" max="5" width="18.125" style="99" customWidth="1"/>
    <col min="6" max="6" width="17.125" style="99" customWidth="1"/>
    <col min="7" max="50" width="15.625" style="99" customWidth="1"/>
    <col min="51" max="16384" width="9" style="99"/>
  </cols>
  <sheetData>
    <row r="1" spans="1:9" ht="24">
      <c r="A1" s="98" t="s">
        <v>208</v>
      </c>
    </row>
    <row r="4" spans="1:9" ht="18.75">
      <c r="A4" s="134" t="s">
        <v>224</v>
      </c>
      <c r="G4" s="103" t="s">
        <v>0</v>
      </c>
      <c r="H4" s="104"/>
      <c r="I4" s="104"/>
    </row>
    <row r="5" spans="1:9" ht="13.5">
      <c r="A5" s="101" t="s">
        <v>215</v>
      </c>
      <c r="B5" s="101" t="s">
        <v>213</v>
      </c>
      <c r="C5" s="101" t="s">
        <v>209</v>
      </c>
      <c r="D5" s="101" t="s">
        <v>211</v>
      </c>
      <c r="E5" s="102" t="s">
        <v>212</v>
      </c>
      <c r="G5" s="108" t="s">
        <v>1</v>
      </c>
      <c r="H5" s="109"/>
      <c r="I5" s="110"/>
    </row>
    <row r="6" spans="1:9" ht="13.5">
      <c r="A6" s="105">
        <v>100000000</v>
      </c>
      <c r="B6" s="106">
        <v>5</v>
      </c>
      <c r="C6" s="107">
        <v>1.4999999999999999E-2</v>
      </c>
      <c r="D6" s="106">
        <v>2</v>
      </c>
      <c r="E6" s="116">
        <f>A6 * ( (1+C6/D6)^(B6*D6) )</f>
        <v>107758254.54707402</v>
      </c>
      <c r="F6" s="99" t="s">
        <v>8</v>
      </c>
      <c r="G6" s="111"/>
      <c r="H6" s="112"/>
      <c r="I6" s="113"/>
    </row>
    <row r="7" spans="1:9">
      <c r="A7" s="105">
        <v>100000000</v>
      </c>
      <c r="B7" s="106">
        <v>1.5</v>
      </c>
      <c r="C7" s="107">
        <v>5.4999999999999997E-3</v>
      </c>
      <c r="D7" s="106">
        <v>4</v>
      </c>
      <c r="E7" s="116">
        <f>A7 * ( (1+C7/D7)^(B7*D7) )</f>
        <v>100827841.1420833</v>
      </c>
      <c r="F7" s="99" t="s">
        <v>12</v>
      </c>
    </row>
    <row r="8" spans="1:9" ht="13.5">
      <c r="A8" s="105">
        <v>100000000</v>
      </c>
      <c r="B8" s="106">
        <v>2</v>
      </c>
      <c r="C8" s="107">
        <v>1.7999999999999999E-2</v>
      </c>
      <c r="D8" s="106">
        <f>3600 * 24 * 365</f>
        <v>31536000</v>
      </c>
      <c r="E8" s="116">
        <f>A8 * ( (1+C8/D8)^(B8*D8) )</f>
        <v>103665585.01412231</v>
      </c>
      <c r="F8" s="99" t="s">
        <v>10</v>
      </c>
      <c r="G8" s="114"/>
      <c r="H8" s="114"/>
      <c r="I8" s="114"/>
    </row>
    <row r="9" spans="1:9" ht="13.5">
      <c r="A9" s="105">
        <v>1000</v>
      </c>
      <c r="B9" s="106">
        <v>0.5</v>
      </c>
      <c r="C9" s="107">
        <v>5.0000000000000001E-3</v>
      </c>
      <c r="D9" s="106">
        <v>2</v>
      </c>
      <c r="E9" s="116">
        <f>A9 * ( (1+C9/D9)^(B9*D9) )</f>
        <v>1002.5</v>
      </c>
      <c r="G9" s="114"/>
      <c r="H9" s="114"/>
      <c r="I9" s="114"/>
    </row>
    <row r="10" spans="1:9">
      <c r="E10" s="115" t="s">
        <v>214</v>
      </c>
    </row>
    <row r="14" spans="1:9" ht="18.75">
      <c r="A14" s="134" t="s">
        <v>225</v>
      </c>
      <c r="G14" s="10" t="s">
        <v>16</v>
      </c>
      <c r="H14"/>
      <c r="I14"/>
    </row>
    <row r="15" spans="1:9" ht="13.5">
      <c r="A15" s="101" t="s">
        <v>215</v>
      </c>
      <c r="B15" s="101" t="s">
        <v>213</v>
      </c>
      <c r="C15" s="101" t="s">
        <v>209</v>
      </c>
      <c r="D15" s="102" t="s">
        <v>212</v>
      </c>
      <c r="G15" s="1" t="s">
        <v>17</v>
      </c>
      <c r="H15" s="2"/>
      <c r="I15" s="3"/>
    </row>
    <row r="16" spans="1:9" ht="13.5">
      <c r="A16" s="105">
        <v>100000000</v>
      </c>
      <c r="B16" s="106">
        <v>5</v>
      </c>
      <c r="C16" s="107">
        <v>1.4999999999999999E-2</v>
      </c>
      <c r="D16" s="116">
        <f>A16 * EXP(B16*C16)</f>
        <v>107788415.08846316</v>
      </c>
      <c r="E16" s="99" t="s">
        <v>16</v>
      </c>
      <c r="G16" s="4" t="s">
        <v>18</v>
      </c>
      <c r="H16" s="5"/>
      <c r="I16" s="6"/>
    </row>
    <row r="17" spans="1:13">
      <c r="A17" s="105"/>
      <c r="B17" s="106"/>
      <c r="C17" s="107"/>
      <c r="D17" s="574">
        <f>A17 * EXP(B17*C17)</f>
        <v>0</v>
      </c>
    </row>
    <row r="18" spans="1:13">
      <c r="D18" s="117" t="s">
        <v>216</v>
      </c>
    </row>
    <row r="22" spans="1:13" ht="18.75">
      <c r="A22" s="134" t="s">
        <v>223</v>
      </c>
      <c r="J22" s="10" t="s">
        <v>223</v>
      </c>
      <c r="K22"/>
      <c r="L22"/>
      <c r="M22"/>
    </row>
    <row r="23" spans="1:13" ht="13.5">
      <c r="A23" s="100" t="s">
        <v>226</v>
      </c>
      <c r="J23" s="1" t="s">
        <v>24</v>
      </c>
      <c r="K23" s="2"/>
      <c r="L23" s="2"/>
      <c r="M23" s="3"/>
    </row>
    <row r="24" spans="1:13" ht="13.5">
      <c r="A24" s="99" t="s">
        <v>220</v>
      </c>
      <c r="J24" s="21" t="s">
        <v>25</v>
      </c>
      <c r="K24" s="22"/>
      <c r="L24" s="22"/>
      <c r="M24" s="23"/>
    </row>
    <row r="25" spans="1:13" ht="13.5">
      <c r="A25" s="25" t="s">
        <v>27</v>
      </c>
      <c r="B25" s="25" t="s">
        <v>28</v>
      </c>
      <c r="C25" s="25" t="s">
        <v>4</v>
      </c>
      <c r="D25" s="93" t="s">
        <v>30</v>
      </c>
      <c r="E25" s="25" t="s">
        <v>221</v>
      </c>
      <c r="F25" s="92"/>
      <c r="G25" s="25" t="s">
        <v>31</v>
      </c>
      <c r="H25" s="94" t="s">
        <v>6</v>
      </c>
      <c r="I25" s="92"/>
      <c r="J25" s="21"/>
      <c r="K25" s="22"/>
      <c r="L25" s="22"/>
      <c r="M25" s="23"/>
    </row>
    <row r="26" spans="1:13" ht="13.5">
      <c r="A26" s="95">
        <v>98</v>
      </c>
      <c r="B26" s="97">
        <v>1.4500000000000001E-2</v>
      </c>
      <c r="C26" s="96">
        <v>2</v>
      </c>
      <c r="D26" s="96">
        <v>1</v>
      </c>
      <c r="E26" s="118">
        <f>B26/D26</f>
        <v>1.4500000000000001E-2</v>
      </c>
      <c r="F26" s="92"/>
      <c r="G26" s="119">
        <f>A26*(-1)</f>
        <v>-98</v>
      </c>
      <c r="H26" s="120">
        <f>IRR(G26:G28) * D26</f>
        <v>1.0152544552210596E-2</v>
      </c>
      <c r="I26" s="92"/>
      <c r="J26" s="21" t="s">
        <v>26</v>
      </c>
      <c r="K26" s="22"/>
      <c r="L26" s="22"/>
      <c r="M26" s="23"/>
    </row>
    <row r="27" spans="1:13" ht="13.5">
      <c r="A27" s="92"/>
      <c r="B27" s="92"/>
      <c r="C27" s="92"/>
      <c r="D27" s="92"/>
      <c r="E27" s="92"/>
      <c r="F27" s="92"/>
      <c r="G27" s="119">
        <f>100*$F$56</f>
        <v>0</v>
      </c>
      <c r="H27" s="92"/>
      <c r="I27" s="92"/>
      <c r="J27" s="21" t="s">
        <v>25</v>
      </c>
      <c r="K27" s="22"/>
      <c r="L27" s="22"/>
      <c r="M27" s="23"/>
    </row>
    <row r="28" spans="1:13" ht="13.5">
      <c r="A28" s="92"/>
      <c r="B28" s="92"/>
      <c r="C28" s="92"/>
      <c r="D28" s="92"/>
      <c r="E28" s="92"/>
      <c r="F28" s="92"/>
      <c r="G28" s="119">
        <f>100*$F$56 + 100</f>
        <v>100</v>
      </c>
      <c r="H28" s="92"/>
      <c r="I28" s="92"/>
      <c r="J28" s="4"/>
      <c r="K28" s="5"/>
      <c r="L28" s="5"/>
      <c r="M28" s="6"/>
    </row>
    <row r="29" spans="1:13">
      <c r="A29" s="127" t="s">
        <v>218</v>
      </c>
      <c r="B29" s="92"/>
      <c r="C29" s="92"/>
      <c r="D29" s="92"/>
      <c r="E29" s="92"/>
      <c r="F29" s="92"/>
      <c r="G29" s="92"/>
      <c r="H29" s="92"/>
      <c r="I29" s="92"/>
    </row>
    <row r="30" spans="1:13">
      <c r="A30" s="25" t="s">
        <v>27</v>
      </c>
      <c r="B30" s="25" t="s">
        <v>28</v>
      </c>
      <c r="C30" s="25" t="s">
        <v>4</v>
      </c>
      <c r="D30" s="93" t="s">
        <v>30</v>
      </c>
      <c r="E30" s="25" t="s">
        <v>221</v>
      </c>
      <c r="F30" s="92"/>
      <c r="G30" s="25" t="s">
        <v>31</v>
      </c>
      <c r="H30" s="94" t="s">
        <v>6</v>
      </c>
      <c r="I30" s="92"/>
    </row>
    <row r="31" spans="1:13">
      <c r="A31" s="121">
        <v>100</v>
      </c>
      <c r="B31" s="125">
        <v>2.5000000000000001E-2</v>
      </c>
      <c r="C31" s="96">
        <v>2</v>
      </c>
      <c r="D31" s="96">
        <v>1</v>
      </c>
      <c r="E31" s="126">
        <f>B31/D31</f>
        <v>2.5000000000000001E-2</v>
      </c>
      <c r="F31" s="92"/>
      <c r="G31" s="119">
        <f>A31*(-1)</f>
        <v>-100</v>
      </c>
      <c r="H31" s="120">
        <f>IRR(G31:G33) * D31</f>
        <v>2.5000000000000133E-2</v>
      </c>
      <c r="I31" s="92"/>
      <c r="J31" s="92"/>
    </row>
    <row r="32" spans="1:13">
      <c r="A32" s="92"/>
      <c r="B32" s="92"/>
      <c r="C32" s="92"/>
      <c r="D32" s="92"/>
      <c r="E32" s="92"/>
      <c r="F32" s="92"/>
      <c r="G32" s="119">
        <f>100*E31</f>
        <v>2.5</v>
      </c>
      <c r="H32" s="92"/>
      <c r="I32" s="92"/>
      <c r="J32" s="92"/>
    </row>
    <row r="33" spans="1:10">
      <c r="A33" s="92" t="s">
        <v>32</v>
      </c>
      <c r="B33" s="92"/>
      <c r="C33" s="92"/>
      <c r="D33" s="92"/>
      <c r="E33" s="92"/>
      <c r="F33" s="92"/>
      <c r="G33" s="119">
        <f>100*E31 + 100</f>
        <v>102.5</v>
      </c>
      <c r="H33" s="92"/>
      <c r="I33" s="92"/>
      <c r="J33" s="92"/>
    </row>
    <row r="34" spans="1:10">
      <c r="A34" s="92" t="s">
        <v>33</v>
      </c>
      <c r="B34" s="92"/>
      <c r="C34" s="92"/>
      <c r="D34" s="92"/>
      <c r="E34" s="92"/>
      <c r="F34" s="92"/>
      <c r="G34" s="92"/>
      <c r="H34" s="92"/>
      <c r="I34" s="92"/>
      <c r="J34" s="92"/>
    </row>
    <row r="35" spans="1:10">
      <c r="F35" s="92"/>
      <c r="G35" s="92"/>
      <c r="H35" s="92"/>
      <c r="I35" s="92"/>
      <c r="J35" s="92"/>
    </row>
    <row r="36" spans="1:10">
      <c r="A36" s="92"/>
      <c r="B36" s="92"/>
      <c r="C36" s="92"/>
      <c r="D36" s="92"/>
      <c r="E36" s="92"/>
      <c r="F36" s="92"/>
      <c r="G36" s="92"/>
      <c r="H36" s="92"/>
      <c r="I36" s="92"/>
      <c r="J36" s="92"/>
    </row>
    <row r="37" spans="1:10">
      <c r="A37" s="92" t="s">
        <v>219</v>
      </c>
      <c r="B37" s="92"/>
      <c r="C37" s="92"/>
      <c r="D37" s="92"/>
      <c r="E37" s="92"/>
      <c r="F37" s="92"/>
      <c r="G37" s="92"/>
      <c r="H37" s="92"/>
      <c r="I37" s="92"/>
      <c r="J37" s="92"/>
    </row>
    <row r="38" spans="1:10">
      <c r="A38" s="25" t="s">
        <v>27</v>
      </c>
      <c r="B38" s="25" t="s">
        <v>28</v>
      </c>
      <c r="C38" s="25" t="s">
        <v>4</v>
      </c>
      <c r="D38" s="93" t="s">
        <v>30</v>
      </c>
      <c r="E38" s="25" t="s">
        <v>221</v>
      </c>
      <c r="F38" s="92"/>
      <c r="G38" s="25" t="s">
        <v>31</v>
      </c>
      <c r="H38" s="94" t="s">
        <v>6</v>
      </c>
      <c r="I38" s="92"/>
      <c r="J38" s="92"/>
    </row>
    <row r="39" spans="1:10" ht="12">
      <c r="A39" s="122">
        <v>95</v>
      </c>
      <c r="B39" s="97">
        <v>0.03</v>
      </c>
      <c r="C39" s="96">
        <v>2</v>
      </c>
      <c r="D39" s="130">
        <v>2</v>
      </c>
      <c r="E39" s="128">
        <f>B39/D39</f>
        <v>1.4999999999999999E-2</v>
      </c>
      <c r="F39" s="131" t="s">
        <v>217</v>
      </c>
      <c r="G39" s="119">
        <f>A39*(-1)</f>
        <v>-95</v>
      </c>
      <c r="H39" s="133">
        <f>IRR(G39:G43) * D39</f>
        <v>5.679984316637432E-2</v>
      </c>
      <c r="I39" s="92"/>
      <c r="J39" s="92"/>
    </row>
    <row r="40" spans="1:10">
      <c r="A40" s="92"/>
      <c r="B40" s="92"/>
      <c r="C40" s="92"/>
      <c r="D40" s="92"/>
      <c r="E40" s="129" t="s">
        <v>222</v>
      </c>
      <c r="F40" s="92"/>
      <c r="G40" s="119">
        <f>100*E39</f>
        <v>1.5</v>
      </c>
      <c r="H40" s="92"/>
      <c r="I40" s="92"/>
      <c r="J40" s="92"/>
    </row>
    <row r="41" spans="1:10">
      <c r="A41" s="92"/>
      <c r="B41" s="92"/>
      <c r="C41" s="92"/>
      <c r="D41" s="92"/>
      <c r="E41" s="123" t="s">
        <v>35</v>
      </c>
      <c r="F41" s="92"/>
      <c r="G41" s="119">
        <f>100*E39</f>
        <v>1.5</v>
      </c>
      <c r="H41" s="92"/>
      <c r="I41" s="92"/>
      <c r="J41" s="92"/>
    </row>
    <row r="42" spans="1:10">
      <c r="A42" s="92"/>
      <c r="B42" s="92"/>
      <c r="C42" s="92"/>
      <c r="D42" s="92"/>
      <c r="F42" s="92"/>
      <c r="G42" s="119">
        <f>100*E39</f>
        <v>1.5</v>
      </c>
      <c r="H42" s="92"/>
      <c r="I42" s="92"/>
      <c r="J42" s="92"/>
    </row>
    <row r="43" spans="1:10">
      <c r="A43" s="92"/>
      <c r="B43" s="92"/>
      <c r="C43" s="92"/>
      <c r="D43" s="92"/>
      <c r="E43" s="92"/>
      <c r="F43" s="92"/>
      <c r="G43" s="119">
        <f>100*E39 + 100</f>
        <v>101.5</v>
      </c>
      <c r="H43" s="92"/>
      <c r="I43" s="92"/>
      <c r="J43" s="92"/>
    </row>
    <row r="44" spans="1:10">
      <c r="A44" s="92"/>
      <c r="B44" s="92"/>
      <c r="C44" s="92"/>
      <c r="D44" s="92"/>
      <c r="E44" s="92"/>
      <c r="F44" s="92"/>
      <c r="G44" s="132" t="s">
        <v>36</v>
      </c>
      <c r="H44" s="92"/>
      <c r="I44" s="92"/>
      <c r="J44" s="92"/>
    </row>
    <row r="45" spans="1:10">
      <c r="A45" s="92"/>
      <c r="B45" s="92"/>
      <c r="C45" s="92"/>
      <c r="D45" s="92"/>
      <c r="E45" s="92"/>
      <c r="F45" s="92"/>
      <c r="H45" s="131"/>
      <c r="I45" s="92"/>
      <c r="J45" s="92"/>
    </row>
    <row r="46" spans="1:10">
      <c r="A46" s="92"/>
      <c r="B46" s="92"/>
      <c r="C46" s="92"/>
      <c r="D46" s="92"/>
      <c r="E46" s="92"/>
      <c r="F46" s="92"/>
      <c r="G46" s="124"/>
      <c r="H46" s="92"/>
      <c r="I46" s="92"/>
      <c r="J46" s="92"/>
    </row>
    <row r="48" spans="1:10" ht="17.25">
      <c r="A48" s="10" t="s">
        <v>46</v>
      </c>
      <c r="B48"/>
      <c r="C48"/>
    </row>
    <row r="49" spans="1:12" ht="13.5">
      <c r="A49" s="33" t="s">
        <v>37</v>
      </c>
      <c r="B49" s="33" t="s">
        <v>38</v>
      </c>
      <c r="C49" s="33" t="s">
        <v>39</v>
      </c>
    </row>
    <row r="50" spans="1:12" ht="13.5">
      <c r="A50" s="8" t="s">
        <v>42</v>
      </c>
      <c r="B50" s="8" t="s">
        <v>41</v>
      </c>
      <c r="C50" s="8" t="s">
        <v>40</v>
      </c>
    </row>
    <row r="51" spans="1:12" ht="13.5">
      <c r="A51" s="8" t="s">
        <v>45</v>
      </c>
      <c r="B51" s="8" t="s">
        <v>44</v>
      </c>
      <c r="C51" s="8" t="s">
        <v>43</v>
      </c>
    </row>
    <row r="53" spans="1:12">
      <c r="A53" s="135" t="s">
        <v>229</v>
      </c>
      <c r="C53" s="135" t="s">
        <v>227</v>
      </c>
    </row>
    <row r="54" spans="1:12">
      <c r="A54" s="99" t="s">
        <v>230</v>
      </c>
      <c r="C54" s="135" t="s">
        <v>228</v>
      </c>
    </row>
    <row r="60" spans="1:12" ht="17.25">
      <c r="A60" s="10" t="s">
        <v>231</v>
      </c>
      <c r="G60" s="10" t="s">
        <v>47</v>
      </c>
    </row>
    <row r="61" spans="1:12">
      <c r="A61" s="100" t="s">
        <v>232</v>
      </c>
    </row>
    <row r="62" spans="1:12" ht="13.5">
      <c r="A62" s="145" t="s">
        <v>27</v>
      </c>
      <c r="B62" s="9" t="s">
        <v>4</v>
      </c>
      <c r="C62" s="25" t="s">
        <v>30</v>
      </c>
      <c r="D62" s="13" t="s">
        <v>47</v>
      </c>
      <c r="G62" t="s">
        <v>48</v>
      </c>
      <c r="H62"/>
      <c r="I62"/>
      <c r="J62"/>
      <c r="L62"/>
    </row>
    <row r="63" spans="1:12" ht="13.5">
      <c r="A63" s="34">
        <v>98.38</v>
      </c>
      <c r="B63" s="8">
        <v>2</v>
      </c>
      <c r="C63" s="8">
        <v>1</v>
      </c>
      <c r="D63" s="35">
        <f t="shared" ref="D63:D68" si="0">( (100/A63) ^ ( 1/(C63*B63) )  - 1 ) * C63</f>
        <v>8.1997627141645602E-3</v>
      </c>
      <c r="E63" s="99" t="s">
        <v>235</v>
      </c>
      <c r="G63" s="1" t="s">
        <v>50</v>
      </c>
      <c r="H63" s="2"/>
      <c r="I63" s="3"/>
      <c r="L63"/>
    </row>
    <row r="64" spans="1:12" ht="13.5">
      <c r="A64" s="34">
        <v>98.38</v>
      </c>
      <c r="B64" s="8">
        <v>2</v>
      </c>
      <c r="C64" s="8">
        <v>2</v>
      </c>
      <c r="D64" s="141">
        <f t="shared" si="0"/>
        <v>8.1830222508751937E-3</v>
      </c>
      <c r="E64" s="99" t="s">
        <v>236</v>
      </c>
      <c r="G64" s="4" t="s">
        <v>295</v>
      </c>
      <c r="H64" s="5"/>
      <c r="I64" s="6"/>
      <c r="J64" t="s">
        <v>296</v>
      </c>
      <c r="L64"/>
    </row>
    <row r="65" spans="1:10" ht="13.5">
      <c r="A65" s="34">
        <v>98.38</v>
      </c>
      <c r="B65" s="8">
        <v>2</v>
      </c>
      <c r="C65" s="8">
        <v>4</v>
      </c>
      <c r="D65" s="141">
        <f t="shared" si="0"/>
        <v>8.1746690990156523E-3</v>
      </c>
      <c r="E65" s="99" t="s">
        <v>237</v>
      </c>
    </row>
    <row r="66" spans="1:10" ht="13.5">
      <c r="A66" s="34">
        <v>98.38</v>
      </c>
      <c r="B66" s="8">
        <v>2</v>
      </c>
      <c r="C66" s="8">
        <v>365</v>
      </c>
      <c r="D66" s="141">
        <f t="shared" si="0"/>
        <v>8.1664186658025884E-3</v>
      </c>
      <c r="E66" s="143" t="s">
        <v>238</v>
      </c>
      <c r="G66" s="99" t="s">
        <v>233</v>
      </c>
    </row>
    <row r="67" spans="1:10" ht="13.5">
      <c r="A67" s="34">
        <v>98.38</v>
      </c>
      <c r="B67" s="8">
        <v>2</v>
      </c>
      <c r="C67" s="8">
        <f>3600*24*365</f>
        <v>31536000</v>
      </c>
      <c r="D67" s="141">
        <f t="shared" si="0"/>
        <v>8.1663303639345486E-3</v>
      </c>
      <c r="E67" s="124" t="s">
        <v>239</v>
      </c>
      <c r="F67" s="92"/>
      <c r="G67" s="1" t="s">
        <v>54</v>
      </c>
      <c r="H67" s="136"/>
      <c r="I67" s="136"/>
      <c r="J67" s="137"/>
    </row>
    <row r="68" spans="1:10" ht="13.5">
      <c r="A68" s="34"/>
      <c r="B68" s="8"/>
      <c r="C68" s="8"/>
      <c r="D68" s="141" t="e">
        <f t="shared" si="0"/>
        <v>#DIV/0!</v>
      </c>
      <c r="G68" s="138"/>
      <c r="H68" s="139"/>
      <c r="I68" s="139"/>
      <c r="J68" s="140"/>
    </row>
    <row r="70" spans="1:10">
      <c r="D70" s="142" t="s">
        <v>234</v>
      </c>
    </row>
    <row r="71" spans="1:10">
      <c r="D71" s="144" t="s">
        <v>52</v>
      </c>
    </row>
    <row r="73" spans="1:10" ht="17.25">
      <c r="A73" s="10" t="s">
        <v>252</v>
      </c>
    </row>
    <row r="74" spans="1:10">
      <c r="A74" s="100" t="s">
        <v>241</v>
      </c>
    </row>
    <row r="75" spans="1:10" ht="13.5">
      <c r="A75" s="13" t="s">
        <v>27</v>
      </c>
      <c r="B75" s="9" t="s">
        <v>4</v>
      </c>
      <c r="C75" s="25" t="s">
        <v>30</v>
      </c>
      <c r="D75" s="145" t="s">
        <v>47</v>
      </c>
    </row>
    <row r="76" spans="1:10" ht="13.5">
      <c r="A76" s="34">
        <f>100 / ( ( 1 + D76/C76 )^(B76*C76) )</f>
        <v>98.38000000000001</v>
      </c>
      <c r="B76" s="8">
        <v>2</v>
      </c>
      <c r="C76" s="8">
        <v>1</v>
      </c>
      <c r="D76" s="35">
        <v>8.1997627141645602E-3</v>
      </c>
      <c r="E76" s="99" t="s">
        <v>235</v>
      </c>
    </row>
    <row r="77" spans="1:10" ht="13.5">
      <c r="A77" s="34">
        <f t="shared" ref="A77:A79" si="1">100 / ( ( 1 + D77/C77 )^(B77*C77) )</f>
        <v>98.379999999999967</v>
      </c>
      <c r="B77" s="8">
        <v>2</v>
      </c>
      <c r="C77" s="8">
        <v>2</v>
      </c>
      <c r="D77" s="141">
        <v>8.1830222508751937E-3</v>
      </c>
      <c r="E77" s="99" t="s">
        <v>236</v>
      </c>
    </row>
    <row r="78" spans="1:10" ht="13.5">
      <c r="A78" s="34">
        <f t="shared" si="1"/>
        <v>98.379999999999882</v>
      </c>
      <c r="B78" s="8">
        <v>2</v>
      </c>
      <c r="C78" s="8">
        <v>4</v>
      </c>
      <c r="D78" s="141">
        <v>8.1746690990156523E-3</v>
      </c>
      <c r="E78" s="99" t="s">
        <v>237</v>
      </c>
    </row>
    <row r="79" spans="1:10" ht="13.5">
      <c r="A79" s="34">
        <f t="shared" si="1"/>
        <v>98.379999999995633</v>
      </c>
      <c r="B79" s="8">
        <v>2</v>
      </c>
      <c r="C79" s="8">
        <v>365</v>
      </c>
      <c r="D79" s="141">
        <v>8.1664186658025884E-3</v>
      </c>
      <c r="E79" s="143" t="s">
        <v>238</v>
      </c>
    </row>
    <row r="80" spans="1:10" ht="13.5">
      <c r="A80" s="147">
        <f>100 / ( ( 1 + D80/C80 )^(B80*C80) )</f>
        <v>98.379999413995449</v>
      </c>
      <c r="B80" s="8">
        <v>2</v>
      </c>
      <c r="C80" s="8">
        <f>3600*24*365</f>
        <v>31536000</v>
      </c>
      <c r="D80" s="141">
        <v>8.1663303639345486E-3</v>
      </c>
      <c r="E80" s="124" t="s">
        <v>239</v>
      </c>
      <c r="F80" s="92"/>
    </row>
    <row r="81" spans="1:9" ht="13.5">
      <c r="A81" s="34"/>
      <c r="B81" s="8"/>
      <c r="C81" s="8"/>
      <c r="D81" s="141"/>
    </row>
    <row r="83" spans="1:9">
      <c r="A83" s="148" t="s">
        <v>242</v>
      </c>
      <c r="D83" s="142"/>
    </row>
    <row r="84" spans="1:9">
      <c r="A84" s="149" t="s">
        <v>243</v>
      </c>
      <c r="D84" s="144"/>
    </row>
    <row r="88" spans="1:9" ht="17.25">
      <c r="A88" s="10" t="s">
        <v>55</v>
      </c>
    </row>
    <row r="89" spans="1:9">
      <c r="A89" s="100" t="s">
        <v>244</v>
      </c>
    </row>
    <row r="90" spans="1:9" ht="13.5">
      <c r="A90" s="145" t="s">
        <v>27</v>
      </c>
      <c r="B90" s="9" t="s">
        <v>4</v>
      </c>
      <c r="C90" s="13" t="s">
        <v>47</v>
      </c>
      <c r="D90"/>
    </row>
    <row r="91" spans="1:9" ht="17.25">
      <c r="A91" s="34">
        <v>99.42</v>
      </c>
      <c r="B91" s="8">
        <v>1</v>
      </c>
      <c r="C91" s="35">
        <f>(1/B91)*LN(100/A91)</f>
        <v>5.816885321564832E-3</v>
      </c>
      <c r="D91" s="87" t="s">
        <v>16</v>
      </c>
      <c r="E91" s="10" t="s">
        <v>55</v>
      </c>
      <c r="F91"/>
      <c r="G91"/>
      <c r="H91"/>
      <c r="I91"/>
    </row>
    <row r="92" spans="1:9" ht="13.5">
      <c r="A92" s="34">
        <v>97.56</v>
      </c>
      <c r="B92" s="8">
        <v>3</v>
      </c>
      <c r="C92" s="35">
        <f>(1/B92)*LN(100/A92)</f>
        <v>8.2342042134572399E-3</v>
      </c>
      <c r="D92" s="92" t="s">
        <v>16</v>
      </c>
      <c r="E92" s="1" t="s">
        <v>56</v>
      </c>
      <c r="F92" s="2"/>
      <c r="G92" s="3"/>
      <c r="I92"/>
    </row>
    <row r="93" spans="1:9" ht="13.5">
      <c r="A93" s="34">
        <v>95.4</v>
      </c>
      <c r="B93" s="8">
        <v>3</v>
      </c>
      <c r="C93" s="141">
        <f>(1/B93)*LN(100/A93)</f>
        <v>1.5697202511283457E-2</v>
      </c>
      <c r="D93" s="92" t="s">
        <v>16</v>
      </c>
      <c r="E93" s="4" t="s">
        <v>246</v>
      </c>
      <c r="F93" s="5"/>
      <c r="G93" s="6"/>
      <c r="H93"/>
      <c r="I93"/>
    </row>
    <row r="94" spans="1:9" ht="13.5">
      <c r="A94" s="34"/>
      <c r="B94" s="8"/>
      <c r="C94" s="35" t="e">
        <f>(1/B94)*LN(100/A94)</f>
        <v>#DIV/0!</v>
      </c>
      <c r="D94"/>
      <c r="E94" t="s">
        <v>60</v>
      </c>
      <c r="F94"/>
      <c r="G94"/>
      <c r="H94"/>
      <c r="I94"/>
    </row>
    <row r="95" spans="1:9" ht="13.5">
      <c r="E95" t="s">
        <v>61</v>
      </c>
      <c r="F95"/>
      <c r="G95"/>
      <c r="H95"/>
      <c r="I95"/>
    </row>
    <row r="96" spans="1:9">
      <c r="C96" s="142" t="s">
        <v>247</v>
      </c>
    </row>
    <row r="97" spans="1:7">
      <c r="C97" s="99" t="s">
        <v>248</v>
      </c>
    </row>
    <row r="98" spans="1:7">
      <c r="E98" s="99" t="s">
        <v>245</v>
      </c>
    </row>
    <row r="99" spans="1:7" ht="13.5">
      <c r="E99" s="1" t="s">
        <v>59</v>
      </c>
      <c r="F99" s="136"/>
      <c r="G99" s="137"/>
    </row>
    <row r="100" spans="1:7" ht="17.25">
      <c r="A100" s="10" t="s">
        <v>253</v>
      </c>
      <c r="E100" s="138"/>
      <c r="F100" s="139"/>
      <c r="G100" s="140"/>
    </row>
    <row r="101" spans="1:7">
      <c r="A101" s="100" t="s">
        <v>249</v>
      </c>
    </row>
    <row r="102" spans="1:7" ht="13.5">
      <c r="A102" s="13" t="s">
        <v>27</v>
      </c>
      <c r="B102" s="9" t="s">
        <v>4</v>
      </c>
      <c r="C102" s="145" t="s">
        <v>47</v>
      </c>
    </row>
    <row r="103" spans="1:7" ht="13.5">
      <c r="A103" s="34">
        <f>100/(EXP(C103*B103))</f>
        <v>99.42</v>
      </c>
      <c r="B103" s="8">
        <v>1</v>
      </c>
      <c r="C103" s="35">
        <v>5.816885321564832E-3</v>
      </c>
      <c r="D103" s="87" t="s">
        <v>16</v>
      </c>
    </row>
    <row r="104" spans="1:7" ht="13.5">
      <c r="A104" s="34">
        <f>100/(EXP(C104*B104))</f>
        <v>97.560000000000016</v>
      </c>
      <c r="B104" s="8">
        <v>3</v>
      </c>
      <c r="C104" s="35">
        <v>8.2342042134572399E-3</v>
      </c>
      <c r="D104" s="92" t="s">
        <v>16</v>
      </c>
    </row>
    <row r="105" spans="1:7" ht="13.5">
      <c r="A105" s="147">
        <f>100/(EXP(C105*B105))</f>
        <v>95.40000000000002</v>
      </c>
      <c r="B105" s="8">
        <v>3</v>
      </c>
      <c r="C105" s="141">
        <v>1.5697202511283457E-2</v>
      </c>
      <c r="D105" s="92" t="s">
        <v>16</v>
      </c>
    </row>
    <row r="106" spans="1:7" ht="13.5">
      <c r="A106" s="34"/>
      <c r="B106" s="8"/>
      <c r="C106" s="35"/>
    </row>
    <row r="108" spans="1:7">
      <c r="A108" s="148" t="s">
        <v>251</v>
      </c>
    </row>
    <row r="109" spans="1:7">
      <c r="A109" s="99" t="s">
        <v>250</v>
      </c>
    </row>
    <row r="114" spans="1:14" ht="17.25">
      <c r="A114" s="10" t="s">
        <v>66</v>
      </c>
      <c r="B114"/>
      <c r="C114"/>
      <c r="H114" s="10" t="s">
        <v>66</v>
      </c>
    </row>
    <row r="115" spans="1:14" ht="13.5">
      <c r="A115" s="101" t="s">
        <v>255</v>
      </c>
      <c r="B115" s="101" t="s">
        <v>67</v>
      </c>
      <c r="C115" s="101" t="s">
        <v>256</v>
      </c>
      <c r="D115" s="101" t="s">
        <v>257</v>
      </c>
      <c r="E115" s="155" t="s">
        <v>258</v>
      </c>
      <c r="F115" s="154" t="s">
        <v>254</v>
      </c>
      <c r="H115" s="1" t="s">
        <v>79</v>
      </c>
      <c r="I115" s="2"/>
      <c r="J115" s="3"/>
    </row>
    <row r="116" spans="1:14" ht="12">
      <c r="A116" s="106">
        <v>1</v>
      </c>
      <c r="B116" s="107">
        <v>1.4999999999999999E-2</v>
      </c>
      <c r="C116" s="106">
        <v>1.5</v>
      </c>
      <c r="D116" s="152">
        <v>0.02</v>
      </c>
      <c r="E116" s="106">
        <v>2</v>
      </c>
      <c r="F116" s="153">
        <f>((((1+((D116)/E116))^(E116*C116))/((1+((B116)/E116))^(E116*A116)))^(1/((C116-A116)*E116))-1)*E116</f>
        <v>3.0037251630143036E-2</v>
      </c>
      <c r="G116" s="150" t="s">
        <v>8</v>
      </c>
      <c r="H116" s="200" t="s">
        <v>297</v>
      </c>
      <c r="I116" s="201"/>
      <c r="J116" s="201"/>
      <c r="K116" s="203"/>
      <c r="L116" s="204"/>
      <c r="M116" s="204"/>
      <c r="N116" s="202"/>
    </row>
    <row r="117" spans="1:14" ht="12">
      <c r="A117" s="106">
        <v>2</v>
      </c>
      <c r="B117" s="107">
        <v>8.9999999999999993E-3</v>
      </c>
      <c r="C117" s="106">
        <v>2.5</v>
      </c>
      <c r="D117" s="152">
        <v>1.0999999999999999E-2</v>
      </c>
      <c r="E117" s="106">
        <v>2</v>
      </c>
      <c r="F117" s="156">
        <f>((((1+((D117)/E117))^(E117*C117))/((1+((B117)/E117))^(E117*A117)))^(1/((C117-A117)*E117))-1)*E117</f>
        <v>1.9019930234263072E-2</v>
      </c>
      <c r="G117" s="150" t="s">
        <v>8</v>
      </c>
    </row>
    <row r="119" spans="1:14">
      <c r="F119" s="157" t="s">
        <v>259</v>
      </c>
    </row>
    <row r="122" spans="1:14" ht="17.25">
      <c r="A122" s="10" t="s">
        <v>74</v>
      </c>
      <c r="B122"/>
      <c r="C122"/>
      <c r="H122" s="10" t="s">
        <v>74</v>
      </c>
    </row>
    <row r="123" spans="1:14" ht="13.5">
      <c r="A123" s="101" t="s">
        <v>255</v>
      </c>
      <c r="B123" s="101" t="s">
        <v>67</v>
      </c>
      <c r="C123" s="101" t="s">
        <v>256</v>
      </c>
      <c r="D123" s="101" t="s">
        <v>257</v>
      </c>
      <c r="E123" s="155" t="s">
        <v>258</v>
      </c>
      <c r="F123" s="154" t="s">
        <v>254</v>
      </c>
      <c r="H123" s="1" t="s">
        <v>75</v>
      </c>
      <c r="I123" s="2"/>
      <c r="J123" s="3"/>
    </row>
    <row r="124" spans="1:14" ht="13.5">
      <c r="A124" s="106">
        <v>1</v>
      </c>
      <c r="B124" s="107">
        <v>1.4999999999999999E-2</v>
      </c>
      <c r="C124" s="106">
        <v>1.5</v>
      </c>
      <c r="D124" s="152">
        <v>0.02</v>
      </c>
      <c r="E124" s="106" t="s">
        <v>260</v>
      </c>
      <c r="F124" s="153">
        <f>( (C124*D124) - (A124*B124) ) / ( C124-A124)</f>
        <v>0.03</v>
      </c>
      <c r="G124" s="99" t="s">
        <v>16</v>
      </c>
      <c r="H124" s="4" t="s">
        <v>76</v>
      </c>
      <c r="I124" s="5"/>
      <c r="J124" s="6"/>
    </row>
    <row r="125" spans="1:14">
      <c r="A125" s="106"/>
      <c r="B125" s="107"/>
      <c r="C125" s="106"/>
      <c r="D125" s="152"/>
      <c r="E125" s="106" t="s">
        <v>260</v>
      </c>
      <c r="F125" s="156" t="e">
        <f>( (C125*D125) - (A125*B125) ) / ( C125-A125)</f>
        <v>#DIV/0!</v>
      </c>
    </row>
    <row r="127" spans="1:14">
      <c r="F127" s="157" t="s">
        <v>261</v>
      </c>
    </row>
    <row r="133" spans="1:3" s="158" customFormat="1"/>
    <row r="136" spans="1:3" ht="28.5">
      <c r="A136" s="47" t="s">
        <v>687</v>
      </c>
    </row>
    <row r="138" spans="1:3" ht="12" thickBot="1"/>
    <row r="139" spans="1:3" ht="14.25" thickBot="1">
      <c r="A139" s="58" t="s">
        <v>136</v>
      </c>
      <c r="B139" s="59"/>
      <c r="C139" s="60"/>
    </row>
    <row r="151" spans="1:6">
      <c r="C151" s="159" t="s">
        <v>262</v>
      </c>
    </row>
    <row r="155" spans="1:6">
      <c r="D155" s="99" t="s">
        <v>263</v>
      </c>
      <c r="E155" s="151" t="s">
        <v>264</v>
      </c>
      <c r="F155" s="160" t="s">
        <v>265</v>
      </c>
    </row>
    <row r="160" spans="1:6" ht="12">
      <c r="A160" s="161" t="s">
        <v>686</v>
      </c>
    </row>
    <row r="161" spans="1:8">
      <c r="A161" s="135" t="s">
        <v>108</v>
      </c>
    </row>
    <row r="162" spans="1:8" ht="17.25">
      <c r="A162" s="163" t="s">
        <v>83</v>
      </c>
      <c r="B162" s="101" t="s">
        <v>27</v>
      </c>
      <c r="C162" s="168" t="s">
        <v>110</v>
      </c>
      <c r="F162" s="10" t="s">
        <v>266</v>
      </c>
    </row>
    <row r="163" spans="1:8" ht="13.5">
      <c r="A163" s="170">
        <v>0.5</v>
      </c>
      <c r="B163" s="177">
        <v>99</v>
      </c>
      <c r="C163" s="106">
        <f>B163/100</f>
        <v>0.99</v>
      </c>
      <c r="F163" s="1" t="s">
        <v>267</v>
      </c>
      <c r="G163" s="2"/>
      <c r="H163" s="3"/>
    </row>
    <row r="164" spans="1:8" ht="13.5">
      <c r="A164" s="170">
        <v>1</v>
      </c>
      <c r="B164" s="177">
        <v>98</v>
      </c>
      <c r="C164" s="106">
        <f>B164/100</f>
        <v>0.98</v>
      </c>
      <c r="F164" s="4"/>
      <c r="G164" s="5"/>
      <c r="H164" s="6"/>
    </row>
    <row r="165" spans="1:8">
      <c r="A165" s="170">
        <v>1.5</v>
      </c>
      <c r="B165" s="177">
        <v>97</v>
      </c>
      <c r="C165" s="106">
        <f>B165/100</f>
        <v>0.97</v>
      </c>
    </row>
    <row r="166" spans="1:8" ht="17.25">
      <c r="A166" s="170">
        <v>2</v>
      </c>
      <c r="B166" s="177">
        <v>96</v>
      </c>
      <c r="C166" s="106">
        <f>B166/100</f>
        <v>0.96</v>
      </c>
      <c r="F166" s="10" t="s">
        <v>268</v>
      </c>
    </row>
    <row r="167" spans="1:8" ht="13.5">
      <c r="A167" s="151" t="s">
        <v>270</v>
      </c>
      <c r="F167" s="1" t="s">
        <v>269</v>
      </c>
      <c r="G167" s="2"/>
      <c r="H167" s="3"/>
    </row>
    <row r="168" spans="1:8" ht="13.5">
      <c r="F168" s="4"/>
      <c r="G168" s="5"/>
      <c r="H168" s="6"/>
    </row>
    <row r="169" spans="1:8">
      <c r="A169" s="99" t="s">
        <v>271</v>
      </c>
    </row>
    <row r="170" spans="1:8">
      <c r="A170" s="89" t="s">
        <v>83</v>
      </c>
      <c r="B170" s="93" t="s">
        <v>121</v>
      </c>
      <c r="C170" s="169" t="s">
        <v>272</v>
      </c>
      <c r="D170" s="172"/>
    </row>
    <row r="171" spans="1:8" ht="17.25">
      <c r="A171" s="170">
        <v>0.5</v>
      </c>
      <c r="B171" s="96">
        <v>1</v>
      </c>
      <c r="C171" s="96">
        <f>B171*C163</f>
        <v>0.99</v>
      </c>
      <c r="D171" s="164" t="s">
        <v>274</v>
      </c>
      <c r="F171" s="10" t="s">
        <v>273</v>
      </c>
    </row>
    <row r="172" spans="1:8" ht="13.5">
      <c r="A172" s="170">
        <v>1</v>
      </c>
      <c r="B172" s="96">
        <v>1</v>
      </c>
      <c r="C172" s="96">
        <f t="shared" ref="C172:C174" si="2">B172*C164</f>
        <v>0.98</v>
      </c>
      <c r="D172" s="164" t="s">
        <v>275</v>
      </c>
      <c r="F172" s="1" t="s">
        <v>290</v>
      </c>
      <c r="G172" s="2"/>
      <c r="H172" s="3"/>
    </row>
    <row r="173" spans="1:8" ht="13.5">
      <c r="A173" s="170">
        <v>1.5</v>
      </c>
      <c r="B173" s="96">
        <v>1</v>
      </c>
      <c r="C173" s="96">
        <f t="shared" si="2"/>
        <v>0.97</v>
      </c>
      <c r="D173" s="164" t="s">
        <v>276</v>
      </c>
      <c r="F173" s="4"/>
      <c r="G173" s="5"/>
      <c r="H173" s="6"/>
    </row>
    <row r="174" spans="1:8">
      <c r="A174" s="170">
        <v>2</v>
      </c>
      <c r="B174" s="96">
        <v>101</v>
      </c>
      <c r="C174" s="96">
        <f t="shared" si="2"/>
        <v>96.96</v>
      </c>
      <c r="D174" s="164" t="s">
        <v>277</v>
      </c>
    </row>
    <row r="175" spans="1:8">
      <c r="A175" s="151" t="s">
        <v>270</v>
      </c>
      <c r="B175" s="166" t="s">
        <v>273</v>
      </c>
      <c r="C175" s="165">
        <f>SUM(C171:C174)</f>
        <v>99.899999999999991</v>
      </c>
      <c r="D175" s="159" t="s">
        <v>278</v>
      </c>
    </row>
    <row r="176" spans="1:8" ht="13.5">
      <c r="E176" s="100"/>
      <c r="F176" s="173" t="s">
        <v>279</v>
      </c>
      <c r="G176" s="2"/>
      <c r="H176" s="3"/>
    </row>
    <row r="177" spans="1:11" ht="13.5">
      <c r="A177" s="99" t="s">
        <v>281</v>
      </c>
      <c r="C177" s="171"/>
      <c r="F177" s="4"/>
      <c r="G177" s="5"/>
      <c r="H177" s="6"/>
    </row>
    <row r="178" spans="1:11" ht="13.5">
      <c r="A178" s="101" t="s">
        <v>28</v>
      </c>
      <c r="B178" s="101" t="s">
        <v>280</v>
      </c>
      <c r="C178" s="166" t="s">
        <v>273</v>
      </c>
      <c r="F178" s="53"/>
      <c r="G178" s="53"/>
      <c r="H178" s="53"/>
      <c r="I178" s="175"/>
    </row>
    <row r="179" spans="1:11">
      <c r="A179" s="174">
        <v>2</v>
      </c>
      <c r="B179" s="106">
        <v>2</v>
      </c>
      <c r="C179" s="165">
        <f>(A179/B179) * SUM(C163:C166) + 100 * C166</f>
        <v>99.9</v>
      </c>
      <c r="D179" s="99" t="s">
        <v>8</v>
      </c>
    </row>
    <row r="183" spans="1:11" ht="12">
      <c r="A183" s="161" t="s">
        <v>282</v>
      </c>
      <c r="F183" s="179" t="s">
        <v>287</v>
      </c>
      <c r="G183" s="179"/>
      <c r="H183" s="179"/>
    </row>
    <row r="184" spans="1:11">
      <c r="A184" s="99" t="s">
        <v>286</v>
      </c>
      <c r="F184" s="179" t="s">
        <v>288</v>
      </c>
      <c r="G184" s="179"/>
      <c r="H184" s="179"/>
    </row>
    <row r="185" spans="1:11">
      <c r="A185" s="101" t="s">
        <v>138</v>
      </c>
      <c r="B185" s="101" t="s">
        <v>83</v>
      </c>
      <c r="C185" s="101" t="s">
        <v>139</v>
      </c>
      <c r="D185" s="101" t="s">
        <v>210</v>
      </c>
      <c r="E185" s="178" t="s">
        <v>283</v>
      </c>
      <c r="F185" s="168" t="s">
        <v>284</v>
      </c>
      <c r="G185" s="102" t="s">
        <v>240</v>
      </c>
      <c r="I185" s="99" t="s">
        <v>291</v>
      </c>
    </row>
    <row r="186" spans="1:11">
      <c r="A186" s="162" t="s">
        <v>108</v>
      </c>
      <c r="B186" s="176">
        <v>0.5</v>
      </c>
      <c r="C186" s="162"/>
      <c r="D186" s="162"/>
      <c r="E186" s="177">
        <v>99.6</v>
      </c>
      <c r="F186" s="162">
        <f>E186/100</f>
        <v>0.996</v>
      </c>
      <c r="G186" s="162">
        <f>100*F186</f>
        <v>99.6</v>
      </c>
      <c r="I186" s="186" t="s">
        <v>299</v>
      </c>
      <c r="J186" s="136"/>
      <c r="K186" s="137"/>
    </row>
    <row r="187" spans="1:11">
      <c r="A187" s="162" t="s">
        <v>141</v>
      </c>
      <c r="B187" s="176">
        <v>1</v>
      </c>
      <c r="C187" s="106">
        <v>0.8</v>
      </c>
      <c r="D187" s="162">
        <v>2</v>
      </c>
      <c r="E187" s="177">
        <v>99.784999999999997</v>
      </c>
      <c r="F187" s="180">
        <f>(E187-(C187/D187)*SUM($F$185:F186)) / (100+C187/D187)</f>
        <v>0.98990637450199204</v>
      </c>
      <c r="G187" s="162">
        <f>100*F187</f>
        <v>98.990637450199202</v>
      </c>
      <c r="I187" s="187" t="s">
        <v>300</v>
      </c>
      <c r="J187" s="188"/>
      <c r="K187" s="189"/>
    </row>
    <row r="188" spans="1:11">
      <c r="A188" s="162" t="s">
        <v>141</v>
      </c>
      <c r="B188" s="176">
        <v>1.5</v>
      </c>
      <c r="C188" s="106">
        <v>1.5</v>
      </c>
      <c r="D188" s="162">
        <v>2</v>
      </c>
      <c r="E188" s="177">
        <v>100.4</v>
      </c>
      <c r="F188" s="180">
        <f>(E188-(C188/D188)*SUM($F$185:F187)) / (100+C188/D188)</f>
        <v>0.98174263244787607</v>
      </c>
      <c r="G188" s="162">
        <f>100*F188</f>
        <v>98.17426324478761</v>
      </c>
      <c r="I188" s="187" t="s">
        <v>298</v>
      </c>
      <c r="J188" s="188"/>
      <c r="K188" s="189"/>
    </row>
    <row r="189" spans="1:11">
      <c r="A189" s="162" t="s">
        <v>141</v>
      </c>
      <c r="B189" s="176">
        <v>2</v>
      </c>
      <c r="C189" s="106">
        <v>1.2</v>
      </c>
      <c r="D189" s="162">
        <v>2</v>
      </c>
      <c r="E189" s="177">
        <v>99.8</v>
      </c>
      <c r="F189" s="181">
        <f>(E189-(C189/D189)*SUM($F$185:F188)) / (100+C189/D189)</f>
        <v>0.97434801785119374</v>
      </c>
      <c r="G189" s="162">
        <f>100*F189</f>
        <v>97.434801785119376</v>
      </c>
      <c r="I189" s="138" t="s">
        <v>301</v>
      </c>
      <c r="J189" s="139"/>
      <c r="K189" s="140"/>
    </row>
    <row r="190" spans="1:11">
      <c r="F190" s="171" t="s">
        <v>285</v>
      </c>
    </row>
    <row r="194" spans="1:13" ht="12">
      <c r="A194" s="161" t="s">
        <v>289</v>
      </c>
      <c r="F194" s="179"/>
      <c r="G194" s="179"/>
      <c r="H194" s="179"/>
    </row>
    <row r="195" spans="1:13">
      <c r="F195" s="179" t="s">
        <v>287</v>
      </c>
    </row>
    <row r="196" spans="1:13">
      <c r="F196" s="179" t="s">
        <v>288</v>
      </c>
    </row>
    <row r="197" spans="1:13">
      <c r="A197" s="101" t="s">
        <v>138</v>
      </c>
      <c r="B197" s="101" t="s">
        <v>83</v>
      </c>
      <c r="C197" s="101" t="s">
        <v>139</v>
      </c>
      <c r="D197" s="101" t="s">
        <v>210</v>
      </c>
      <c r="E197" s="178" t="s">
        <v>283</v>
      </c>
      <c r="F197" s="168" t="s">
        <v>284</v>
      </c>
      <c r="G197" s="183"/>
      <c r="I197" s="99" t="s">
        <v>206</v>
      </c>
      <c r="L197" s="99" t="s">
        <v>206</v>
      </c>
    </row>
    <row r="198" spans="1:13">
      <c r="A198" s="162" t="s">
        <v>108</v>
      </c>
      <c r="B198" s="176">
        <v>0.5</v>
      </c>
      <c r="C198" s="162"/>
      <c r="D198" s="162"/>
      <c r="E198" s="177">
        <v>99.7</v>
      </c>
      <c r="F198" s="162">
        <f>E198/100</f>
        <v>0.997</v>
      </c>
      <c r="G198" s="184"/>
      <c r="I198" s="167" t="s">
        <v>121</v>
      </c>
      <c r="J198" s="167" t="s">
        <v>111</v>
      </c>
      <c r="L198" s="167" t="s">
        <v>121</v>
      </c>
      <c r="M198" s="167" t="s">
        <v>111</v>
      </c>
    </row>
    <row r="199" spans="1:13">
      <c r="A199" s="162" t="s">
        <v>141</v>
      </c>
      <c r="B199" s="176">
        <v>1</v>
      </c>
      <c r="C199" s="106">
        <v>0.8</v>
      </c>
      <c r="D199" s="162">
        <v>2</v>
      </c>
      <c r="E199" s="177">
        <v>100</v>
      </c>
      <c r="F199" s="180">
        <f>(E199-(C199/D199)*SUM($F$197:F198)) / (100+C199/D199)</f>
        <v>0.99204382470119523</v>
      </c>
      <c r="G199" s="184"/>
      <c r="I199" s="162">
        <v>0.75</v>
      </c>
      <c r="J199" s="162">
        <f>I199*F198</f>
        <v>0.74775000000000003</v>
      </c>
      <c r="L199" s="162">
        <v>0.7</v>
      </c>
      <c r="M199" s="162">
        <f>L199*F198</f>
        <v>0.69789999999999996</v>
      </c>
    </row>
    <row r="200" spans="1:13">
      <c r="A200" s="162" t="s">
        <v>141</v>
      </c>
      <c r="B200" s="176">
        <v>1.5</v>
      </c>
      <c r="C200" s="106">
        <v>1.4</v>
      </c>
      <c r="D200" s="162">
        <v>2</v>
      </c>
      <c r="E200" s="177">
        <v>100.6</v>
      </c>
      <c r="F200" s="180">
        <f>(E200-(C200/D200)*SUM($F$197:F199)) / (100+C200/D200)</f>
        <v>0.98518043021558244</v>
      </c>
      <c r="G200" s="184"/>
      <c r="I200" s="162">
        <v>0.75</v>
      </c>
      <c r="J200" s="162">
        <f>I200*F199</f>
        <v>0.74403286852589645</v>
      </c>
      <c r="L200" s="162">
        <v>0.7</v>
      </c>
      <c r="M200" s="162">
        <f>L200*F199</f>
        <v>0.69443067729083663</v>
      </c>
    </row>
    <row r="201" spans="1:13">
      <c r="A201" s="162" t="s">
        <v>141</v>
      </c>
      <c r="B201" s="176">
        <v>2</v>
      </c>
      <c r="C201" s="106">
        <v>1.5</v>
      </c>
      <c r="D201" s="162">
        <v>2</v>
      </c>
      <c r="E201" s="177">
        <v>100.5</v>
      </c>
      <c r="F201" s="180">
        <f>(E201-(C201/D201)*SUM($F$197:F200)) / (100+C201/D201)</f>
        <v>0.97537798321401892</v>
      </c>
      <c r="G201" s="184"/>
      <c r="I201" s="162">
        <v>0.75</v>
      </c>
      <c r="J201" s="162">
        <f>I201*F200</f>
        <v>0.73888532266168683</v>
      </c>
      <c r="L201" s="162">
        <v>100.7</v>
      </c>
      <c r="M201" s="162">
        <f>L201*F200</f>
        <v>99.207669322709151</v>
      </c>
    </row>
    <row r="202" spans="1:13">
      <c r="I202" s="162">
        <v>100.75</v>
      </c>
      <c r="J202" s="162">
        <f>I202*F201</f>
        <v>98.26933180881241</v>
      </c>
      <c r="M202" s="182">
        <f>SUM(M199:M201)</f>
        <v>100.6</v>
      </c>
    </row>
    <row r="203" spans="1:13">
      <c r="A203" s="101" t="s">
        <v>138</v>
      </c>
      <c r="B203" s="101" t="s">
        <v>83</v>
      </c>
      <c r="C203" s="102" t="s">
        <v>139</v>
      </c>
      <c r="D203" s="101" t="s">
        <v>210</v>
      </c>
      <c r="E203" s="178" t="s">
        <v>283</v>
      </c>
      <c r="F203" s="183"/>
      <c r="G203" s="183"/>
      <c r="J203" s="182">
        <f>SUM(J199:J202)</f>
        <v>100.5</v>
      </c>
    </row>
    <row r="204" spans="1:13">
      <c r="A204" s="162" t="s">
        <v>141</v>
      </c>
      <c r="B204" s="176">
        <v>2</v>
      </c>
      <c r="C204" s="106">
        <f xml:space="preserve"> ( D204*E204*(1 - F201) ) / SUM(F198:F201)</f>
        <v>1.2468099470003231</v>
      </c>
      <c r="D204" s="162">
        <v>2</v>
      </c>
      <c r="E204" s="177">
        <v>100</v>
      </c>
      <c r="F204" s="185"/>
      <c r="G204" s="184"/>
    </row>
    <row r="207" spans="1:13">
      <c r="B207" s="99" t="s">
        <v>292</v>
      </c>
    </row>
    <row r="208" spans="1:13">
      <c r="B208" s="186" t="s">
        <v>293</v>
      </c>
      <c r="C208" s="136"/>
      <c r="D208" s="137"/>
    </row>
    <row r="209" spans="2:4">
      <c r="B209" s="138"/>
      <c r="C209" s="139"/>
      <c r="D209" s="140"/>
    </row>
  </sheetData>
  <phoneticPr fontId="1"/>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J4063"/>
  <sheetViews>
    <sheetView showGridLines="0" topLeftCell="A351" workbookViewId="0">
      <selection activeCell="C382" sqref="C382"/>
    </sheetView>
  </sheetViews>
  <sheetFormatPr defaultRowHeight="11.25"/>
  <cols>
    <col min="1" max="3" width="15.625" style="233" customWidth="1"/>
    <col min="4" max="69" width="15.625" style="87" customWidth="1"/>
    <col min="70" max="16384" width="9" style="87"/>
  </cols>
  <sheetData>
    <row r="1" spans="1:6" ht="21">
      <c r="A1" s="258" t="s">
        <v>398</v>
      </c>
    </row>
    <row r="2" spans="1:6">
      <c r="A2" s="233" t="s">
        <v>359</v>
      </c>
      <c r="D2" s="87" t="s">
        <v>371</v>
      </c>
    </row>
    <row r="3" spans="1:6">
      <c r="A3" s="88" t="s">
        <v>83</v>
      </c>
      <c r="B3" s="88" t="s">
        <v>347</v>
      </c>
      <c r="C3" s="88" t="s">
        <v>332</v>
      </c>
    </row>
    <row r="4" spans="1:6">
      <c r="A4" s="88" t="s">
        <v>360</v>
      </c>
      <c r="B4" s="88">
        <v>0.5</v>
      </c>
      <c r="C4" s="88">
        <v>0.99747168635056971</v>
      </c>
      <c r="D4" s="87" t="s">
        <v>389</v>
      </c>
    </row>
    <row r="5" spans="1:6">
      <c r="A5" s="88" t="s">
        <v>361</v>
      </c>
      <c r="B5" s="88">
        <v>0.8</v>
      </c>
      <c r="C5" s="88">
        <v>0.99204194547270674</v>
      </c>
      <c r="D5" s="87" t="s">
        <v>372</v>
      </c>
    </row>
    <row r="6" spans="1:6">
      <c r="A6" s="88" t="s">
        <v>363</v>
      </c>
      <c r="B6" s="88">
        <v>1.2</v>
      </c>
      <c r="C6" s="88">
        <v>0.98216989881616346</v>
      </c>
      <c r="D6" s="87" t="s">
        <v>374</v>
      </c>
    </row>
    <row r="7" spans="1:6">
      <c r="A7" s="88" t="s">
        <v>365</v>
      </c>
      <c r="B7" s="88">
        <v>1.5</v>
      </c>
      <c r="C7" s="88">
        <v>0.97043411763791976</v>
      </c>
      <c r="D7" s="87" t="s">
        <v>376</v>
      </c>
    </row>
    <row r="8" spans="1:6">
      <c r="A8" s="88" t="s">
        <v>367</v>
      </c>
      <c r="B8" s="88">
        <v>1.75</v>
      </c>
      <c r="C8" s="88">
        <v>0.95713156934579746</v>
      </c>
    </row>
    <row r="9" spans="1:6">
      <c r="A9" s="88" t="s">
        <v>369</v>
      </c>
      <c r="B9" s="88">
        <v>2</v>
      </c>
      <c r="C9" s="88">
        <v>0.9415915919047213</v>
      </c>
    </row>
    <row r="12" spans="1:6">
      <c r="A12" s="233" t="s">
        <v>335</v>
      </c>
    </row>
    <row r="13" spans="1:6">
      <c r="A13" s="88"/>
      <c r="B13" s="88" t="s">
        <v>336</v>
      </c>
      <c r="C13" s="88" t="s">
        <v>338</v>
      </c>
      <c r="E13" s="207" t="s">
        <v>342</v>
      </c>
      <c r="F13" s="207" t="s">
        <v>343</v>
      </c>
    </row>
    <row r="14" spans="1:6">
      <c r="A14" s="88" t="s">
        <v>360</v>
      </c>
      <c r="B14" s="88">
        <v>1</v>
      </c>
      <c r="C14" s="88">
        <v>0.99747168635056971</v>
      </c>
      <c r="E14" s="207">
        <v>0.75</v>
      </c>
      <c r="F14" s="207">
        <v>1</v>
      </c>
    </row>
    <row r="15" spans="1:6">
      <c r="A15" s="88" t="s">
        <v>361</v>
      </c>
      <c r="B15" s="88">
        <v>1</v>
      </c>
      <c r="C15" s="88">
        <v>0.99204194547270674</v>
      </c>
      <c r="E15" s="207">
        <v>0.75</v>
      </c>
      <c r="F15" s="207">
        <v>1</v>
      </c>
    </row>
    <row r="16" spans="1:6">
      <c r="A16" s="88" t="s">
        <v>363</v>
      </c>
      <c r="B16" s="88">
        <v>1</v>
      </c>
      <c r="C16" s="88">
        <v>0.98216989881616346</v>
      </c>
      <c r="E16" s="207">
        <v>0.75</v>
      </c>
      <c r="F16" s="207">
        <v>1</v>
      </c>
    </row>
    <row r="17" spans="1:6">
      <c r="A17" s="88" t="s">
        <v>365</v>
      </c>
      <c r="B17" s="88">
        <v>1</v>
      </c>
      <c r="C17" s="88">
        <v>0.97043411763791976</v>
      </c>
      <c r="E17" s="207">
        <v>100.75</v>
      </c>
      <c r="F17" s="207">
        <v>1</v>
      </c>
    </row>
    <row r="18" spans="1:6">
      <c r="A18" s="88" t="s">
        <v>367</v>
      </c>
      <c r="B18" s="88">
        <v>1</v>
      </c>
      <c r="C18" s="88">
        <v>0.95713156934579746</v>
      </c>
      <c r="E18" s="207"/>
      <c r="F18" s="207">
        <v>1</v>
      </c>
    </row>
    <row r="19" spans="1:6">
      <c r="A19" s="88" t="s">
        <v>369</v>
      </c>
      <c r="B19" s="88">
        <v>101</v>
      </c>
      <c r="C19" s="88">
        <v>95.100750782376849</v>
      </c>
      <c r="E19" s="207"/>
      <c r="F19" s="207">
        <v>101</v>
      </c>
    </row>
    <row r="20" spans="1:6">
      <c r="A20" s="88"/>
      <c r="B20" s="88" t="s">
        <v>341</v>
      </c>
      <c r="C20" s="88">
        <v>100</v>
      </c>
      <c r="E20" s="207">
        <v>100</v>
      </c>
      <c r="F20" s="207">
        <v>100</v>
      </c>
    </row>
    <row r="21" spans="1:6">
      <c r="C21" s="233" t="s">
        <v>350</v>
      </c>
    </row>
    <row r="25" spans="1:6" ht="17.25">
      <c r="A25" s="259" t="s">
        <v>399</v>
      </c>
      <c r="B25" s="255"/>
      <c r="C25" s="255"/>
    </row>
    <row r="26" spans="1:6">
      <c r="A26" s="255"/>
      <c r="B26" s="255"/>
      <c r="C26" s="255"/>
    </row>
    <row r="27" spans="1:6">
      <c r="A27" s="255" t="s">
        <v>392</v>
      </c>
      <c r="B27" s="255"/>
      <c r="C27" s="255"/>
    </row>
    <row r="28" spans="1:6">
      <c r="A28" s="255" t="s">
        <v>393</v>
      </c>
      <c r="B28" s="255"/>
      <c r="C28" s="255"/>
    </row>
    <row r="29" spans="1:6">
      <c r="A29" s="255" t="s">
        <v>394</v>
      </c>
      <c r="B29" s="255"/>
      <c r="C29" s="255"/>
    </row>
    <row r="30" spans="1:6">
      <c r="A30" s="255" t="s">
        <v>395</v>
      </c>
      <c r="B30" s="255"/>
      <c r="C30" s="255"/>
    </row>
    <row r="31" spans="1:6">
      <c r="A31" s="255"/>
      <c r="B31" s="255"/>
      <c r="C31" s="255"/>
    </row>
    <row r="32" spans="1:6">
      <c r="A32" s="255"/>
      <c r="B32" s="255"/>
      <c r="C32" s="255"/>
    </row>
    <row r="33" spans="1:4">
      <c r="A33" s="255" t="s">
        <v>385</v>
      </c>
      <c r="B33" s="255"/>
      <c r="C33" s="255"/>
    </row>
    <row r="34" spans="1:4">
      <c r="A34" s="255" t="s">
        <v>396</v>
      </c>
      <c r="B34" s="255"/>
      <c r="C34" s="255"/>
    </row>
    <row r="35" spans="1:4">
      <c r="A35" s="255"/>
      <c r="B35" s="255"/>
      <c r="C35" s="255"/>
    </row>
    <row r="36" spans="1:4">
      <c r="A36" s="255" t="s">
        <v>6</v>
      </c>
      <c r="B36" s="255"/>
      <c r="C36" s="255"/>
    </row>
    <row r="37" spans="1:4">
      <c r="A37" s="255" t="s">
        <v>397</v>
      </c>
      <c r="B37" s="255"/>
      <c r="C37" s="255"/>
    </row>
    <row r="38" spans="1:4">
      <c r="A38" s="257">
        <f>1000000000 * (0.2%/2) * SUM(C4:C9)</f>
        <v>5840840.8095278786</v>
      </c>
      <c r="B38" s="255"/>
      <c r="C38" s="255"/>
    </row>
    <row r="39" spans="1:4">
      <c r="A39" s="255"/>
      <c r="B39" s="255"/>
      <c r="C39" s="255"/>
    </row>
    <row r="40" spans="1:4">
      <c r="A40" s="255"/>
      <c r="B40" s="255"/>
      <c r="C40" s="255"/>
    </row>
    <row r="42" spans="1:4" ht="17.25">
      <c r="A42" s="259" t="s">
        <v>400</v>
      </c>
    </row>
    <row r="43" spans="1:4" ht="21">
      <c r="A43" s="206" t="s">
        <v>331</v>
      </c>
      <c r="B43" s="87"/>
      <c r="C43" s="87"/>
      <c r="D43" s="87" t="s">
        <v>371</v>
      </c>
    </row>
    <row r="44" spans="1:4">
      <c r="A44" s="25" t="s">
        <v>83</v>
      </c>
      <c r="B44" s="25" t="s">
        <v>347</v>
      </c>
      <c r="C44" s="234" t="s">
        <v>110</v>
      </c>
    </row>
    <row r="45" spans="1:4">
      <c r="A45" s="88" t="s">
        <v>328</v>
      </c>
      <c r="B45" s="240">
        <v>0.86</v>
      </c>
      <c r="C45" s="237">
        <f>100 / (100 + B45*365/360)</f>
        <v>0.99135592706924902</v>
      </c>
      <c r="D45" s="235" t="s">
        <v>403</v>
      </c>
    </row>
    <row r="46" spans="1:4">
      <c r="A46" s="88" t="s">
        <v>329</v>
      </c>
      <c r="B46" s="240">
        <v>1.05</v>
      </c>
      <c r="C46" s="237">
        <f>(100 - (B46/1) * SUM($C$45:C45) ) / ( 100 + B46/1)</f>
        <v>0.97930802846687082</v>
      </c>
      <c r="D46" s="235" t="s">
        <v>404</v>
      </c>
    </row>
    <row r="47" spans="1:4">
      <c r="A47" s="88" t="s">
        <v>330</v>
      </c>
      <c r="B47" s="240">
        <v>1.25</v>
      </c>
      <c r="C47" s="237">
        <f>(100 - (B47/1) * SUM($C$45:C46) ) / ( 100 + B47/1)</f>
        <v>0.96332513635140593</v>
      </c>
      <c r="D47" s="235" t="s">
        <v>405</v>
      </c>
    </row>
    <row r="48" spans="1:4">
      <c r="A48" s="88" t="s">
        <v>401</v>
      </c>
      <c r="B48" s="240">
        <v>1.45</v>
      </c>
      <c r="C48" s="237">
        <f>(100 - (B48/1) * SUM($C$45:C47) ) / ( 100 + B48/1)</f>
        <v>0.94377245753339667</v>
      </c>
      <c r="D48" s="235"/>
    </row>
    <row r="49" spans="1:10">
      <c r="A49" s="88" t="s">
        <v>402</v>
      </c>
      <c r="B49" s="240">
        <v>1.65</v>
      </c>
      <c r="C49" s="237">
        <f>(100 - (B49/1) * SUM($C$45:C48) ) / ( 100 + B49/1)</f>
        <v>0.92082334917319697</v>
      </c>
      <c r="D49" s="235"/>
    </row>
    <row r="50" spans="1:10">
      <c r="A50" s="87"/>
      <c r="B50" s="87"/>
      <c r="C50" s="87"/>
    </row>
    <row r="51" spans="1:10" ht="18.75">
      <c r="A51" s="87"/>
      <c r="B51" s="87"/>
      <c r="C51" s="87"/>
      <c r="H51" s="245" t="s">
        <v>351</v>
      </c>
      <c r="I51" s="227"/>
      <c r="J51" s="221"/>
    </row>
    <row r="52" spans="1:10">
      <c r="A52" s="207"/>
      <c r="B52" s="207" t="s">
        <v>337</v>
      </c>
      <c r="C52" s="241" t="s">
        <v>338</v>
      </c>
      <c r="E52" s="241" t="s">
        <v>342</v>
      </c>
      <c r="F52" s="241" t="s">
        <v>343</v>
      </c>
      <c r="H52" s="243" t="s">
        <v>327</v>
      </c>
      <c r="I52" s="244" t="s">
        <v>352</v>
      </c>
      <c r="J52" s="244"/>
    </row>
    <row r="53" spans="1:10">
      <c r="A53" s="207" t="s">
        <v>327</v>
      </c>
      <c r="B53" s="207">
        <v>1.65</v>
      </c>
      <c r="C53" s="239">
        <f>B53*C45</f>
        <v>1.6357372796642609</v>
      </c>
      <c r="D53" s="144" t="s">
        <v>344</v>
      </c>
      <c r="E53" s="207">
        <v>1.05</v>
      </c>
      <c r="F53" s="239">
        <v>1.45</v>
      </c>
      <c r="H53" s="243" t="s">
        <v>353</v>
      </c>
      <c r="I53" s="244" t="s">
        <v>354</v>
      </c>
      <c r="J53" s="244"/>
    </row>
    <row r="54" spans="1:10">
      <c r="A54" s="207" t="s">
        <v>339</v>
      </c>
      <c r="B54" s="207">
        <v>1.65</v>
      </c>
      <c r="C54" s="239">
        <f t="shared" ref="C54:C57" si="0">B54*C46</f>
        <v>1.6158582469703369</v>
      </c>
      <c r="D54" s="144" t="s">
        <v>345</v>
      </c>
      <c r="E54" s="207">
        <v>101.05</v>
      </c>
      <c r="F54" s="239">
        <v>1.45</v>
      </c>
      <c r="H54" s="243" t="s">
        <v>355</v>
      </c>
      <c r="I54" s="244" t="s">
        <v>356</v>
      </c>
      <c r="J54" s="244"/>
    </row>
    <row r="55" spans="1:10">
      <c r="A55" s="207" t="s">
        <v>340</v>
      </c>
      <c r="B55" s="207">
        <v>1.65</v>
      </c>
      <c r="C55" s="239">
        <f t="shared" si="0"/>
        <v>1.5894864749798197</v>
      </c>
      <c r="D55" s="144" t="s">
        <v>346</v>
      </c>
      <c r="E55" s="207"/>
      <c r="F55" s="239">
        <v>1.45</v>
      </c>
      <c r="H55" s="224"/>
      <c r="I55" s="231"/>
      <c r="J55" s="225"/>
    </row>
    <row r="56" spans="1:10">
      <c r="A56" s="207" t="s">
        <v>406</v>
      </c>
      <c r="B56" s="207">
        <v>1.65</v>
      </c>
      <c r="C56" s="239">
        <f t="shared" si="0"/>
        <v>1.5572245549301045</v>
      </c>
      <c r="E56" s="207"/>
      <c r="F56" s="239">
        <v>101.45</v>
      </c>
      <c r="G56" s="144"/>
    </row>
    <row r="57" spans="1:10" ht="17.25">
      <c r="A57" s="207" t="s">
        <v>407</v>
      </c>
      <c r="B57" s="207">
        <f>100 + 1.65</f>
        <v>101.65</v>
      </c>
      <c r="C57" s="239">
        <f t="shared" si="0"/>
        <v>93.601693443455474</v>
      </c>
      <c r="E57" s="207"/>
      <c r="F57" s="239"/>
      <c r="H57" s="247" t="s">
        <v>357</v>
      </c>
      <c r="I57" s="227"/>
      <c r="J57" s="221"/>
    </row>
    <row r="58" spans="1:10">
      <c r="A58" s="87"/>
      <c r="B58" s="209" t="s">
        <v>341</v>
      </c>
      <c r="C58" s="248">
        <f>SUM(C53:C57)</f>
        <v>100</v>
      </c>
      <c r="E58" s="260">
        <f>SUMPRODUCT(E53:E57,$C$45:$C$49)</f>
        <v>100</v>
      </c>
      <c r="F58" s="260">
        <f>SUMPRODUCT(F53:F57,$C$45:$C$49)</f>
        <v>100</v>
      </c>
      <c r="H58" s="222" t="s">
        <v>358</v>
      </c>
      <c r="I58" s="229"/>
      <c r="J58" s="223"/>
    </row>
    <row r="59" spans="1:10">
      <c r="A59" s="87"/>
      <c r="F59" s="144" t="s">
        <v>349</v>
      </c>
      <c r="H59" s="224"/>
      <c r="I59" s="231"/>
      <c r="J59" s="225"/>
    </row>
    <row r="60" spans="1:10">
      <c r="B60" s="87"/>
      <c r="C60" s="87" t="s">
        <v>350</v>
      </c>
    </row>
    <row r="65" spans="1:10" ht="17.25">
      <c r="A65" s="259" t="s">
        <v>409</v>
      </c>
    </row>
    <row r="66" spans="1:10" ht="21">
      <c r="A66" s="206" t="s">
        <v>359</v>
      </c>
      <c r="B66" s="87"/>
      <c r="C66" s="87"/>
      <c r="D66" s="87" t="s">
        <v>371</v>
      </c>
      <c r="H66" s="245" t="s">
        <v>351</v>
      </c>
      <c r="I66" s="227"/>
      <c r="J66" s="221"/>
    </row>
    <row r="67" spans="1:10">
      <c r="A67" s="25" t="s">
        <v>83</v>
      </c>
      <c r="B67" s="25" t="s">
        <v>347</v>
      </c>
      <c r="C67" s="234" t="s">
        <v>110</v>
      </c>
      <c r="H67" s="243" t="s">
        <v>190</v>
      </c>
      <c r="I67" s="229" t="s">
        <v>378</v>
      </c>
      <c r="J67" s="223"/>
    </row>
    <row r="68" spans="1:10">
      <c r="A68" s="88" t="s">
        <v>190</v>
      </c>
      <c r="B68" s="240">
        <v>0.6</v>
      </c>
      <c r="C68" s="236">
        <f>100 / (100 +  B68 * (182.5/360) )</f>
        <v>0.99696755701408224</v>
      </c>
      <c r="D68" s="249" t="s">
        <v>410</v>
      </c>
      <c r="H68" s="243" t="s">
        <v>362</v>
      </c>
      <c r="I68" s="229" t="s">
        <v>379</v>
      </c>
      <c r="J68" s="223"/>
    </row>
    <row r="69" spans="1:10">
      <c r="A69" s="88" t="s">
        <v>362</v>
      </c>
      <c r="B69" s="240">
        <v>0.9</v>
      </c>
      <c r="C69" s="236">
        <f>(100 - (B69/2) * SUM($C$68:C68) ) / ( 100 + B69/2 )</f>
        <v>0.99105390342801047</v>
      </c>
      <c r="D69" s="250" t="s">
        <v>411</v>
      </c>
      <c r="H69" s="243" t="s">
        <v>364</v>
      </c>
      <c r="I69" s="229" t="s">
        <v>380</v>
      </c>
      <c r="J69" s="223"/>
    </row>
    <row r="70" spans="1:10">
      <c r="A70" s="88" t="s">
        <v>364</v>
      </c>
      <c r="B70" s="240">
        <v>1.1000000000000001</v>
      </c>
      <c r="C70" s="236">
        <f>(100 - (B70/2) * SUM($C$68:C69) ) / ( 100 + B70/2 )</f>
        <v>0.98365577520394676</v>
      </c>
      <c r="D70" s="250"/>
      <c r="H70" s="243" t="s">
        <v>366</v>
      </c>
      <c r="I70" s="229"/>
      <c r="J70" s="223"/>
    </row>
    <row r="71" spans="1:10">
      <c r="A71" s="88" t="s">
        <v>366</v>
      </c>
      <c r="B71" s="240">
        <v>1.22</v>
      </c>
      <c r="C71" s="236">
        <f>(100 - (B71/2) * SUM($C$68:C70) ) / ( 100 + B71/2 )</f>
        <v>0.97591965894300681</v>
      </c>
      <c r="D71" s="250"/>
      <c r="H71" s="243" t="s">
        <v>368</v>
      </c>
      <c r="I71" s="229"/>
      <c r="J71" s="223"/>
    </row>
    <row r="72" spans="1:10">
      <c r="A72" s="88" t="s">
        <v>368</v>
      </c>
      <c r="B72" s="240">
        <f>(B71+B73)/2</f>
        <v>1.29</v>
      </c>
      <c r="C72" s="236">
        <f>(100 - (B72/2) * SUM($C$68:C71) ) / ( 100 + B72/2 )</f>
        <v>0.96829251331899313</v>
      </c>
      <c r="D72" s="251"/>
      <c r="H72" s="243" t="s">
        <v>370</v>
      </c>
      <c r="I72" s="231"/>
      <c r="J72" s="225"/>
    </row>
    <row r="73" spans="1:10">
      <c r="A73" s="88" t="s">
        <v>370</v>
      </c>
      <c r="B73" s="240">
        <v>1.36</v>
      </c>
      <c r="C73" s="236">
        <f>(100 - (B73/2) * SUM($C$68:C72) ) / ( 100 + B73/2 )</f>
        <v>0.96004365517106205</v>
      </c>
    </row>
    <row r="74" spans="1:10">
      <c r="A74" s="87"/>
      <c r="B74" s="87"/>
      <c r="C74" s="87"/>
    </row>
    <row r="75" spans="1:10">
      <c r="A75" s="87"/>
      <c r="B75" s="87"/>
      <c r="C75" s="87"/>
    </row>
    <row r="76" spans="1:10">
      <c r="A76" s="87" t="s">
        <v>412</v>
      </c>
      <c r="B76" s="87"/>
      <c r="C76" s="87"/>
    </row>
    <row r="77" spans="1:10">
      <c r="A77" s="207"/>
      <c r="B77" s="207" t="s">
        <v>337</v>
      </c>
      <c r="C77" s="241" t="s">
        <v>338</v>
      </c>
      <c r="E77" s="241" t="s">
        <v>342</v>
      </c>
      <c r="F77" s="241" t="s">
        <v>343</v>
      </c>
    </row>
    <row r="78" spans="1:10">
      <c r="A78" s="88" t="s">
        <v>190</v>
      </c>
      <c r="B78" s="207">
        <f>$B$73/2</f>
        <v>0.68</v>
      </c>
      <c r="C78" s="207">
        <f>B78*C68</f>
        <v>0.67793793876957598</v>
      </c>
      <c r="E78" s="207">
        <f>$B$71/2</f>
        <v>0.61</v>
      </c>
      <c r="F78" s="207">
        <f>$B$73/2</f>
        <v>0.68</v>
      </c>
    </row>
    <row r="79" spans="1:10">
      <c r="A79" s="88" t="s">
        <v>362</v>
      </c>
      <c r="B79" s="207">
        <f>$B$73/2</f>
        <v>0.68</v>
      </c>
      <c r="C79" s="207">
        <f t="shared" ref="C79:C83" si="1">B79*C69</f>
        <v>0.67391665433104719</v>
      </c>
      <c r="E79" s="207">
        <f>$B$71/2</f>
        <v>0.61</v>
      </c>
      <c r="F79" s="207">
        <f>$B$73/2</f>
        <v>0.68</v>
      </c>
    </row>
    <row r="80" spans="1:10">
      <c r="A80" s="88" t="s">
        <v>364</v>
      </c>
      <c r="B80" s="207">
        <f>$B$73/2</f>
        <v>0.68</v>
      </c>
      <c r="C80" s="207">
        <f t="shared" si="1"/>
        <v>0.66888592713868389</v>
      </c>
      <c r="E80" s="207">
        <f>$B$71/2</f>
        <v>0.61</v>
      </c>
      <c r="F80" s="207">
        <f>$B$73/2</f>
        <v>0.68</v>
      </c>
    </row>
    <row r="81" spans="1:6">
      <c r="A81" s="88" t="s">
        <v>366</v>
      </c>
      <c r="B81" s="207">
        <f>$B$73/2</f>
        <v>0.68</v>
      </c>
      <c r="C81" s="207">
        <f t="shared" si="1"/>
        <v>0.66362536808124473</v>
      </c>
      <c r="E81" s="207">
        <f>100 + $B$71/2</f>
        <v>100.61</v>
      </c>
      <c r="F81" s="207">
        <f>$B$73/2</f>
        <v>0.68</v>
      </c>
    </row>
    <row r="82" spans="1:6">
      <c r="A82" s="88" t="s">
        <v>368</v>
      </c>
      <c r="B82" s="207">
        <f>$B$73/2</f>
        <v>0.68</v>
      </c>
      <c r="C82" s="207">
        <f t="shared" si="1"/>
        <v>0.65843890905691538</v>
      </c>
      <c r="E82" s="207"/>
      <c r="F82" s="207">
        <f>$B$73/2</f>
        <v>0.68</v>
      </c>
    </row>
    <row r="83" spans="1:6">
      <c r="A83" s="88" t="s">
        <v>370</v>
      </c>
      <c r="B83" s="207">
        <f>100 + $B$73/2</f>
        <v>100.68</v>
      </c>
      <c r="C83" s="207">
        <f t="shared" si="1"/>
        <v>96.657195202622532</v>
      </c>
      <c r="E83" s="207"/>
      <c r="F83" s="207">
        <f>100 + $B$73/2</f>
        <v>100.68</v>
      </c>
    </row>
    <row r="84" spans="1:6">
      <c r="A84" s="87"/>
      <c r="B84" s="209" t="s">
        <v>341</v>
      </c>
      <c r="C84" s="248">
        <f>SUM(C78:C83)</f>
        <v>100</v>
      </c>
      <c r="E84" s="261">
        <f>SUMPRODUCT(E78:E83,$C$68:$C$73)</f>
        <v>100</v>
      </c>
      <c r="F84" s="261">
        <f>SUMPRODUCT(F78:F83,$C$68:$C$73)</f>
        <v>100</v>
      </c>
    </row>
    <row r="85" spans="1:6">
      <c r="A85" s="87"/>
      <c r="B85" s="87"/>
      <c r="C85" s="87" t="s">
        <v>350</v>
      </c>
    </row>
    <row r="91" spans="1:6" ht="21">
      <c r="A91" s="258" t="s">
        <v>518</v>
      </c>
    </row>
    <row r="92" spans="1:6">
      <c r="A92" s="255" t="s">
        <v>538</v>
      </c>
    </row>
    <row r="93" spans="1:6">
      <c r="A93" s="25" t="s">
        <v>83</v>
      </c>
      <c r="B93" s="25" t="s">
        <v>347</v>
      </c>
      <c r="C93" s="234" t="s">
        <v>110</v>
      </c>
    </row>
    <row r="94" spans="1:6">
      <c r="A94" s="88" t="s">
        <v>520</v>
      </c>
      <c r="B94" s="88">
        <v>0.65</v>
      </c>
      <c r="C94" s="236">
        <f>100 / (100 +  B94 * (182.5/360) )</f>
        <v>0.99671568339049454</v>
      </c>
      <c r="D94" s="304" t="s">
        <v>536</v>
      </c>
    </row>
    <row r="95" spans="1:6">
      <c r="A95" s="88" t="s">
        <v>522</v>
      </c>
      <c r="B95" s="88">
        <v>0.82</v>
      </c>
      <c r="C95" s="236">
        <f>(100 - (B95/2) * SUM($C$94:C94) ) / ( 100 + B95/2 )</f>
        <v>0.99184689343501542</v>
      </c>
      <c r="D95" s="304" t="s">
        <v>537</v>
      </c>
    </row>
    <row r="96" spans="1:6">
      <c r="A96" s="88" t="s">
        <v>524</v>
      </c>
      <c r="B96" s="88">
        <v>0.95</v>
      </c>
      <c r="C96" s="236">
        <f>(100 - (B96/2) * SUM($C$94:C95) ) / ( 100 + B96/2 )</f>
        <v>0.98587143842754799</v>
      </c>
    </row>
    <row r="97" spans="1:3">
      <c r="A97" s="88" t="s">
        <v>525</v>
      </c>
      <c r="B97" s="88">
        <v>1.04</v>
      </c>
      <c r="C97" s="236">
        <f>(100 - (B97/2) * SUM($C$94:C96) ) / ( 100 + B97/2 )</f>
        <v>0.97943985587015925</v>
      </c>
    </row>
    <row r="98" spans="1:3">
      <c r="A98" s="88" t="s">
        <v>527</v>
      </c>
      <c r="B98" s="88">
        <f>(B97+B99)/2</f>
        <v>1.1099999999999999</v>
      </c>
      <c r="C98" s="236">
        <f>(100 - (B98/2) * SUM($C$94:C97) ) / ( 100 + B98/2 )</f>
        <v>0.97265774950551054</v>
      </c>
    </row>
    <row r="99" spans="1:3">
      <c r="A99" s="88" t="s">
        <v>528</v>
      </c>
      <c r="B99" s="88">
        <v>1.18</v>
      </c>
      <c r="C99" s="236">
        <f>(100 - (B99/2) * SUM($C$94:C98) ) / ( 100 + B99/2 )</f>
        <v>0.96523855595813746</v>
      </c>
    </row>
    <row r="100" spans="1:3">
      <c r="A100" s="88" t="s">
        <v>531</v>
      </c>
      <c r="B100" s="88">
        <f>(B99+B101)/2</f>
        <v>1.23</v>
      </c>
      <c r="C100" s="236">
        <f>(100 - (B100/2) * SUM($C$94:C99) ) / ( 100 + B100/2 )</f>
        <v>0.95787468410673449</v>
      </c>
    </row>
    <row r="101" spans="1:3">
      <c r="A101" s="88" t="s">
        <v>529</v>
      </c>
      <c r="B101" s="88">
        <v>1.28</v>
      </c>
      <c r="C101" s="236">
        <f>(100 - (B101/2) * SUM($C$94:C100) ) / ( 100 + B101/2 )</f>
        <v>0.95008174969352244</v>
      </c>
    </row>
    <row r="102" spans="1:3">
      <c r="A102" s="88" t="s">
        <v>533</v>
      </c>
      <c r="B102" s="88">
        <f>(B101+B103)/2</f>
        <v>1.335</v>
      </c>
      <c r="C102" s="236">
        <f>(100 - (B102/2) * SUM($C$94:C101) ) / ( 100 + B102/2 )</f>
        <v>0.94165130243193285</v>
      </c>
    </row>
    <row r="103" spans="1:3">
      <c r="A103" s="88" t="s">
        <v>535</v>
      </c>
      <c r="B103" s="88">
        <v>1.39</v>
      </c>
      <c r="C103" s="236">
        <f>(100 - (B103/2) * SUM($C$94:C102) ) / ( 100 + B103/2 )</f>
        <v>0.93276470877988749</v>
      </c>
    </row>
    <row r="105" spans="1:3">
      <c r="A105" s="255" t="s">
        <v>539</v>
      </c>
    </row>
    <row r="107" spans="1:3">
      <c r="A107" s="255" t="s">
        <v>435</v>
      </c>
      <c r="B107" s="255" t="s">
        <v>540</v>
      </c>
    </row>
    <row r="108" spans="1:3">
      <c r="A108" s="255" t="s">
        <v>500</v>
      </c>
      <c r="B108" s="255" t="s">
        <v>541</v>
      </c>
    </row>
    <row r="109" spans="1:3">
      <c r="A109" s="255" t="s">
        <v>501</v>
      </c>
      <c r="B109" s="255" t="s">
        <v>455</v>
      </c>
    </row>
    <row r="110" spans="1:3">
      <c r="A110" s="255"/>
      <c r="B110" s="255"/>
    </row>
    <row r="111" spans="1:3">
      <c r="A111" s="312" t="s">
        <v>542</v>
      </c>
      <c r="B111" s="312"/>
    </row>
    <row r="112" spans="1:3">
      <c r="A112" s="255" t="s">
        <v>543</v>
      </c>
      <c r="B112" s="255"/>
    </row>
    <row r="113" spans="1:4">
      <c r="A113" s="255" t="s">
        <v>544</v>
      </c>
      <c r="B113" s="255"/>
    </row>
    <row r="114" spans="1:4">
      <c r="A114" s="310">
        <f xml:space="preserve"> 100 * (C97-C103)</f>
        <v>4.6675147090271762</v>
      </c>
      <c r="B114" s="255"/>
    </row>
    <row r="115" spans="1:4">
      <c r="A115" s="255"/>
      <c r="B115" s="255"/>
    </row>
    <row r="116" spans="1:4">
      <c r="A116" s="255" t="s">
        <v>545</v>
      </c>
      <c r="B116" s="255"/>
    </row>
    <row r="117" spans="1:4">
      <c r="A117" s="255" t="s">
        <v>546</v>
      </c>
    </row>
    <row r="118" spans="1:4">
      <c r="A118" s="255"/>
    </row>
    <row r="119" spans="1:4">
      <c r="A119" s="255" t="s">
        <v>547</v>
      </c>
    </row>
    <row r="120" spans="1:4">
      <c r="A120" s="255" t="s">
        <v>548</v>
      </c>
    </row>
    <row r="121" spans="1:4">
      <c r="A121" s="311">
        <f>A114/(0.5*SUM(C98:C103))</f>
        <v>1.631921475241527</v>
      </c>
    </row>
    <row r="122" spans="1:4">
      <c r="A122" s="255"/>
    </row>
    <row r="123" spans="1:4">
      <c r="A123" s="255"/>
    </row>
    <row r="124" spans="1:4">
      <c r="A124" s="312" t="s">
        <v>549</v>
      </c>
      <c r="B124" s="312"/>
    </row>
    <row r="125" spans="1:4">
      <c r="A125" s="25" t="s">
        <v>83</v>
      </c>
      <c r="B125" s="25" t="s">
        <v>347</v>
      </c>
      <c r="C125" s="25" t="s">
        <v>332</v>
      </c>
      <c r="D125" s="234" t="s">
        <v>487</v>
      </c>
    </row>
    <row r="126" spans="1:4">
      <c r="A126" s="88" t="s">
        <v>519</v>
      </c>
      <c r="B126" s="88">
        <v>0.65</v>
      </c>
      <c r="C126" s="236">
        <v>0.99671568339049454</v>
      </c>
      <c r="D126" s="236">
        <f>B126*365/360</f>
        <v>0.65902777777777777</v>
      </c>
    </row>
    <row r="127" spans="1:4">
      <c r="A127" s="88" t="s">
        <v>521</v>
      </c>
      <c r="B127" s="88">
        <v>0.82</v>
      </c>
      <c r="C127" s="236">
        <v>0.99184689343501542</v>
      </c>
      <c r="D127" s="236">
        <f>(C126/C127 - 1 ) * 200</f>
        <v>0.9817624046020601</v>
      </c>
    </row>
    <row r="128" spans="1:4">
      <c r="A128" s="88" t="s">
        <v>523</v>
      </c>
      <c r="B128" s="88">
        <v>0.95</v>
      </c>
      <c r="C128" s="236">
        <v>0.98587143842754799</v>
      </c>
      <c r="D128" s="236">
        <f t="shared" ref="D128:D135" si="2">(C127/C128 - 1 ) * 200</f>
        <v>1.2122178966860631</v>
      </c>
    </row>
    <row r="129" spans="1:6">
      <c r="A129" s="88" t="s">
        <v>525</v>
      </c>
      <c r="B129" s="88">
        <v>1.04</v>
      </c>
      <c r="C129" s="236">
        <v>0.97943985587015925</v>
      </c>
      <c r="D129" s="236">
        <f t="shared" si="2"/>
        <v>1.3133185297375505</v>
      </c>
    </row>
    <row r="130" spans="1:6">
      <c r="A130" s="88" t="s">
        <v>526</v>
      </c>
      <c r="B130" s="88">
        <v>1.1099999999999999</v>
      </c>
      <c r="C130" s="236">
        <v>0.97265774950551054</v>
      </c>
      <c r="D130" s="236">
        <f t="shared" si="2"/>
        <v>1.3945514479469789</v>
      </c>
    </row>
    <row r="131" spans="1:6">
      <c r="A131" s="88" t="s">
        <v>528</v>
      </c>
      <c r="B131" s="88">
        <v>1.18</v>
      </c>
      <c r="C131" s="236">
        <v>0.96523855595813746</v>
      </c>
      <c r="D131" s="236">
        <f t="shared" si="2"/>
        <v>1.53727666628658</v>
      </c>
    </row>
    <row r="132" spans="1:6">
      <c r="A132" s="88" t="s">
        <v>530</v>
      </c>
      <c r="B132" s="88">
        <v>1.23</v>
      </c>
      <c r="C132" s="236">
        <v>0.95787468410673449</v>
      </c>
      <c r="D132" s="236">
        <f t="shared" si="2"/>
        <v>1.5375438924498219</v>
      </c>
    </row>
    <row r="133" spans="1:6">
      <c r="A133" s="88" t="s">
        <v>529</v>
      </c>
      <c r="B133" s="88">
        <v>1.28</v>
      </c>
      <c r="C133" s="236">
        <v>0.95008174969352244</v>
      </c>
      <c r="D133" s="236">
        <f t="shared" si="2"/>
        <v>1.6404766044029184</v>
      </c>
    </row>
    <row r="134" spans="1:6">
      <c r="A134" s="88" t="s">
        <v>532</v>
      </c>
      <c r="B134" s="88">
        <v>1.335</v>
      </c>
      <c r="C134" s="236">
        <v>0.94165130243193285</v>
      </c>
      <c r="D134" s="236">
        <f t="shared" si="2"/>
        <v>1.79056668637676</v>
      </c>
    </row>
    <row r="135" spans="1:6">
      <c r="A135" s="88" t="s">
        <v>534</v>
      </c>
      <c r="B135" s="88">
        <v>1.39</v>
      </c>
      <c r="C135" s="236">
        <v>0.93276470877988749</v>
      </c>
      <c r="D135" s="236">
        <f t="shared" si="2"/>
        <v>1.9054309341676401</v>
      </c>
    </row>
    <row r="138" spans="1:6">
      <c r="A138" s="25" t="s">
        <v>83</v>
      </c>
      <c r="B138" s="25" t="s">
        <v>81</v>
      </c>
      <c r="C138" s="234" t="s">
        <v>487</v>
      </c>
      <c r="D138" s="25" t="s">
        <v>511</v>
      </c>
      <c r="E138" s="234" t="s">
        <v>512</v>
      </c>
      <c r="F138" s="234" t="s">
        <v>513</v>
      </c>
    </row>
    <row r="139" spans="1:6">
      <c r="A139" s="314" t="s">
        <v>526</v>
      </c>
      <c r="B139" s="90">
        <v>100</v>
      </c>
      <c r="C139" s="236">
        <v>1.3945514479469789</v>
      </c>
      <c r="D139" s="88">
        <v>1</v>
      </c>
      <c r="E139" s="239">
        <f t="shared" ref="E139:E144" si="3">B139 * (C139/200) * C130</f>
        <v>0.67821063646487978</v>
      </c>
      <c r="F139" s="239">
        <f t="shared" ref="F139:F144" si="4">B139 * ( D139/200) * C130</f>
        <v>0.48632887475275527</v>
      </c>
    </row>
    <row r="140" spans="1:6">
      <c r="A140" s="314" t="s">
        <v>528</v>
      </c>
      <c r="B140" s="90">
        <v>100</v>
      </c>
      <c r="C140" s="236">
        <v>1.53727666628658</v>
      </c>
      <c r="D140" s="88">
        <v>1</v>
      </c>
      <c r="E140" s="239">
        <f t="shared" si="3"/>
        <v>0.74191935473729897</v>
      </c>
      <c r="F140" s="239">
        <f t="shared" si="4"/>
        <v>0.48261927797906873</v>
      </c>
    </row>
    <row r="141" spans="1:6">
      <c r="A141" s="314" t="s">
        <v>530</v>
      </c>
      <c r="B141" s="90">
        <v>100</v>
      </c>
      <c r="C141" s="236">
        <v>1.5375438924498219</v>
      </c>
      <c r="D141" s="88">
        <v>1</v>
      </c>
      <c r="E141" s="239">
        <f t="shared" si="3"/>
        <v>0.7363871851403061</v>
      </c>
      <c r="F141" s="239">
        <f t="shared" si="4"/>
        <v>0.47893734205336724</v>
      </c>
    </row>
    <row r="142" spans="1:6">
      <c r="A142" s="314" t="s">
        <v>529</v>
      </c>
      <c r="B142" s="90">
        <v>100</v>
      </c>
      <c r="C142" s="236">
        <v>1.6404766044029184</v>
      </c>
      <c r="D142" s="88">
        <v>1</v>
      </c>
      <c r="E142" s="239">
        <f t="shared" si="3"/>
        <v>0.77929344132120659</v>
      </c>
      <c r="F142" s="239">
        <f t="shared" si="4"/>
        <v>0.47504087484676122</v>
      </c>
    </row>
    <row r="143" spans="1:6">
      <c r="A143" s="314" t="s">
        <v>532</v>
      </c>
      <c r="B143" s="90">
        <v>100</v>
      </c>
      <c r="C143" s="236">
        <v>1.79056668637676</v>
      </c>
      <c r="D143" s="88">
        <v>1</v>
      </c>
      <c r="E143" s="239">
        <f t="shared" si="3"/>
        <v>0.84304472615895309</v>
      </c>
      <c r="F143" s="239">
        <f t="shared" si="4"/>
        <v>0.47082565121596642</v>
      </c>
    </row>
    <row r="144" spans="1:6">
      <c r="A144" s="314" t="s">
        <v>534</v>
      </c>
      <c r="B144" s="90">
        <v>100</v>
      </c>
      <c r="C144" s="236">
        <v>1.9054309341676401</v>
      </c>
      <c r="D144" s="88">
        <v>1</v>
      </c>
      <c r="E144" s="239">
        <f t="shared" si="3"/>
        <v>0.88865936520453392</v>
      </c>
      <c r="F144" s="239">
        <f t="shared" si="4"/>
        <v>0.46638235438994374</v>
      </c>
    </row>
    <row r="145" spans="1:6">
      <c r="D145" s="308" t="s">
        <v>495</v>
      </c>
      <c r="E145" s="308">
        <f>SUM(E139:E144)</f>
        <v>4.667514709027178</v>
      </c>
      <c r="F145" s="308">
        <f>SUM(F139:F144)</f>
        <v>2.860134375237863</v>
      </c>
    </row>
    <row r="147" spans="1:6">
      <c r="A147" s="87" t="s">
        <v>514</v>
      </c>
      <c r="B147" s="87"/>
      <c r="C147" s="87"/>
    </row>
    <row r="148" spans="1:6">
      <c r="A148" s="87" t="s">
        <v>515</v>
      </c>
      <c r="B148" s="87"/>
      <c r="C148" s="87"/>
    </row>
    <row r="149" spans="1:6">
      <c r="A149" s="313">
        <f>E145/F145</f>
        <v>1.6319214752415276</v>
      </c>
      <c r="B149" s="87"/>
      <c r="C149" s="87"/>
    </row>
    <row r="160" spans="1:6" ht="21">
      <c r="A160" s="258" t="s">
        <v>597</v>
      </c>
    </row>
    <row r="162" spans="1:3">
      <c r="A162" s="255" t="s">
        <v>598</v>
      </c>
    </row>
    <row r="163" spans="1:3">
      <c r="A163" s="25" t="s">
        <v>83</v>
      </c>
      <c r="B163" s="25" t="s">
        <v>347</v>
      </c>
      <c r="C163" s="234" t="s">
        <v>332</v>
      </c>
    </row>
    <row r="164" spans="1:3">
      <c r="A164" s="88" t="s">
        <v>360</v>
      </c>
      <c r="B164" s="240">
        <v>0.5</v>
      </c>
      <c r="C164" s="236">
        <v>0.99747168635056971</v>
      </c>
    </row>
    <row r="165" spans="1:3">
      <c r="A165" s="88" t="s">
        <v>361</v>
      </c>
      <c r="B165" s="240">
        <v>0.8</v>
      </c>
      <c r="C165" s="236">
        <v>0.99204194547270674</v>
      </c>
    </row>
    <row r="166" spans="1:3">
      <c r="A166" s="88" t="s">
        <v>363</v>
      </c>
      <c r="B166" s="240">
        <v>1.2</v>
      </c>
      <c r="C166" s="236">
        <v>0.98216989881616346</v>
      </c>
    </row>
    <row r="167" spans="1:3">
      <c r="A167" s="88" t="s">
        <v>365</v>
      </c>
      <c r="B167" s="240">
        <v>1.5</v>
      </c>
      <c r="C167" s="236">
        <v>0.97043411763791976</v>
      </c>
    </row>
    <row r="168" spans="1:3">
      <c r="A168" s="88" t="s">
        <v>367</v>
      </c>
      <c r="B168" s="240">
        <v>1.75</v>
      </c>
      <c r="C168" s="236">
        <v>0.95713156934579746</v>
      </c>
    </row>
    <row r="169" spans="1:3">
      <c r="A169" s="88" t="s">
        <v>369</v>
      </c>
      <c r="B169" s="240">
        <v>2</v>
      </c>
      <c r="C169" s="236">
        <v>0.9415915919047213</v>
      </c>
    </row>
    <row r="171" spans="1:3">
      <c r="A171" s="233" t="s">
        <v>435</v>
      </c>
      <c r="B171" s="233" t="s">
        <v>601</v>
      </c>
    </row>
    <row r="172" spans="1:3">
      <c r="A172" s="233" t="s">
        <v>599</v>
      </c>
      <c r="B172" s="233" t="s">
        <v>602</v>
      </c>
    </row>
    <row r="173" spans="1:3">
      <c r="A173" s="233" t="s">
        <v>600</v>
      </c>
      <c r="B173" s="233" t="s">
        <v>541</v>
      </c>
    </row>
    <row r="175" spans="1:3">
      <c r="A175" s="330" t="s">
        <v>604</v>
      </c>
    </row>
    <row r="176" spans="1:3">
      <c r="A176" s="255" t="s">
        <v>605</v>
      </c>
    </row>
    <row r="178" spans="1:3">
      <c r="A178" s="330" t="s">
        <v>606</v>
      </c>
    </row>
    <row r="179" spans="1:3">
      <c r="A179" s="255" t="s">
        <v>607</v>
      </c>
    </row>
    <row r="181" spans="1:3">
      <c r="A181" s="233" t="s">
        <v>455</v>
      </c>
    </row>
    <row r="182" spans="1:3">
      <c r="A182" s="333">
        <f>(C166-C169) / ( 0.005 * SUM(C167:C169) )</f>
        <v>2.8285871402046592</v>
      </c>
    </row>
    <row r="185" spans="1:3">
      <c r="A185" s="255" t="s">
        <v>608</v>
      </c>
    </row>
    <row r="186" spans="1:3">
      <c r="A186" s="25" t="s">
        <v>83</v>
      </c>
      <c r="B186" s="25" t="s">
        <v>332</v>
      </c>
      <c r="C186" s="234" t="s">
        <v>487</v>
      </c>
    </row>
    <row r="187" spans="1:3">
      <c r="A187" s="88" t="s">
        <v>360</v>
      </c>
      <c r="B187" s="300">
        <v>0.99650000000000005</v>
      </c>
      <c r="C187" s="332" t="s">
        <v>609</v>
      </c>
    </row>
    <row r="188" spans="1:3">
      <c r="A188" s="88" t="s">
        <v>361</v>
      </c>
      <c r="B188" s="300">
        <v>0.99150000000000005</v>
      </c>
      <c r="C188" s="332">
        <f>(B187/B188 - 1 ) * 200</f>
        <v>1.0085728693898233</v>
      </c>
    </row>
    <row r="189" spans="1:3">
      <c r="A189" s="88" t="s">
        <v>363</v>
      </c>
      <c r="B189" s="300">
        <v>0.98519999999999996</v>
      </c>
      <c r="C189" s="332">
        <f>(B188/B189 - 1 ) * 200</f>
        <v>1.278928136419033</v>
      </c>
    </row>
    <row r="190" spans="1:3">
      <c r="A190" s="88" t="s">
        <v>365</v>
      </c>
      <c r="B190" s="300">
        <v>0.97599999999999998</v>
      </c>
      <c r="C190" s="332">
        <f>(B189/B190 - 1 ) * 200</f>
        <v>1.8852459016393208</v>
      </c>
    </row>
    <row r="195" spans="1:3" ht="21">
      <c r="A195" s="258" t="s">
        <v>610</v>
      </c>
    </row>
    <row r="197" spans="1:3">
      <c r="A197" s="87" t="s">
        <v>567</v>
      </c>
      <c r="B197" s="87"/>
      <c r="C197" s="87"/>
    </row>
    <row r="198" spans="1:3">
      <c r="A198" s="25" t="s">
        <v>83</v>
      </c>
      <c r="B198" s="25" t="s">
        <v>347</v>
      </c>
      <c r="C198" s="234" t="s">
        <v>332</v>
      </c>
    </row>
    <row r="199" spans="1:3">
      <c r="A199" s="88" t="s">
        <v>360</v>
      </c>
      <c r="B199" s="315">
        <v>0.76</v>
      </c>
      <c r="C199" s="236">
        <v>0.99616000000000005</v>
      </c>
    </row>
    <row r="200" spans="1:3">
      <c r="A200" s="88" t="s">
        <v>361</v>
      </c>
      <c r="B200" s="240">
        <v>0.98</v>
      </c>
      <c r="C200" s="236">
        <v>0.99026999999999998</v>
      </c>
    </row>
    <row r="201" spans="1:3">
      <c r="A201" s="88" t="s">
        <v>363</v>
      </c>
      <c r="B201" s="240">
        <v>1.1399999999999999</v>
      </c>
      <c r="C201" s="236">
        <v>0.98307</v>
      </c>
    </row>
    <row r="202" spans="1:3">
      <c r="A202" s="88" t="s">
        <v>365</v>
      </c>
      <c r="B202" s="306">
        <v>1.3</v>
      </c>
      <c r="C202" s="236">
        <v>0.97436</v>
      </c>
    </row>
    <row r="203" spans="1:3">
      <c r="A203" s="88" t="s">
        <v>367</v>
      </c>
      <c r="B203" s="240">
        <v>1.45</v>
      </c>
      <c r="C203" s="236">
        <v>0.96440999999999999</v>
      </c>
    </row>
    <row r="204" spans="1:3">
      <c r="A204" s="88" t="s">
        <v>369</v>
      </c>
      <c r="B204" s="240">
        <v>1.6</v>
      </c>
      <c r="C204" s="236">
        <v>0.95311000000000001</v>
      </c>
    </row>
    <row r="205" spans="1:3">
      <c r="A205" s="87"/>
      <c r="B205" s="87"/>
      <c r="C205" s="87"/>
    </row>
    <row r="206" spans="1:3">
      <c r="A206" s="87" t="s">
        <v>568</v>
      </c>
      <c r="B206" s="87"/>
      <c r="C206" s="87"/>
    </row>
    <row r="207" spans="1:3">
      <c r="A207" s="25" t="s">
        <v>83</v>
      </c>
      <c r="B207" s="25" t="s">
        <v>347</v>
      </c>
      <c r="C207" s="234" t="s">
        <v>332</v>
      </c>
    </row>
    <row r="208" spans="1:3">
      <c r="A208" s="88" t="s">
        <v>360</v>
      </c>
      <c r="B208" s="315">
        <v>4.62</v>
      </c>
      <c r="C208" s="236">
        <v>0.97711999999999999</v>
      </c>
    </row>
    <row r="209" spans="1:3">
      <c r="A209" s="88" t="s">
        <v>361</v>
      </c>
      <c r="B209" s="240">
        <v>4.76</v>
      </c>
      <c r="C209" s="236">
        <v>0.95404</v>
      </c>
    </row>
    <row r="210" spans="1:3">
      <c r="A210" s="88" t="s">
        <v>363</v>
      </c>
      <c r="B210" s="240">
        <v>4.84</v>
      </c>
      <c r="C210" s="236">
        <v>0.93074000000000001</v>
      </c>
    </row>
    <row r="211" spans="1:3">
      <c r="A211" s="88" t="s">
        <v>365</v>
      </c>
      <c r="B211" s="306">
        <v>5</v>
      </c>
      <c r="C211" s="236">
        <v>0.90581</v>
      </c>
    </row>
    <row r="212" spans="1:3">
      <c r="A212" s="88" t="s">
        <v>367</v>
      </c>
      <c r="B212" s="240">
        <v>5.08</v>
      </c>
      <c r="C212" s="236">
        <v>0.88190000000000002</v>
      </c>
    </row>
    <row r="213" spans="1:3">
      <c r="A213" s="88" t="s">
        <v>369</v>
      </c>
      <c r="B213" s="240">
        <v>5.16</v>
      </c>
      <c r="C213" s="236">
        <v>0.85790999999999995</v>
      </c>
    </row>
    <row r="215" spans="1:3">
      <c r="A215" s="337" t="s">
        <v>611</v>
      </c>
      <c r="B215" s="312" t="s">
        <v>619</v>
      </c>
    </row>
    <row r="216" spans="1:3">
      <c r="A216" s="88" t="s">
        <v>435</v>
      </c>
      <c r="B216" s="335" t="s">
        <v>622</v>
      </c>
    </row>
    <row r="217" spans="1:3">
      <c r="A217" s="88" t="s">
        <v>584</v>
      </c>
      <c r="B217" s="309" t="s">
        <v>615</v>
      </c>
    </row>
    <row r="218" spans="1:3">
      <c r="A218" s="88" t="s">
        <v>585</v>
      </c>
      <c r="B218" s="309" t="s">
        <v>616</v>
      </c>
    </row>
    <row r="219" spans="1:3">
      <c r="A219" s="88" t="s">
        <v>612</v>
      </c>
      <c r="B219" s="309" t="s">
        <v>617</v>
      </c>
    </row>
    <row r="220" spans="1:3">
      <c r="A220" s="88" t="s">
        <v>613</v>
      </c>
      <c r="B220" s="309" t="s">
        <v>618</v>
      </c>
    </row>
    <row r="221" spans="1:3">
      <c r="A221" s="88" t="s">
        <v>614</v>
      </c>
      <c r="B221" s="309" t="s">
        <v>455</v>
      </c>
    </row>
    <row r="223" spans="1:3">
      <c r="A223" s="255" t="s">
        <v>620</v>
      </c>
    </row>
    <row r="224" spans="1:3">
      <c r="A224" s="233" t="s">
        <v>621</v>
      </c>
    </row>
    <row r="225" spans="1:3">
      <c r="A225" s="336">
        <v>0.05</v>
      </c>
    </row>
    <row r="228" spans="1:3">
      <c r="A228" s="337" t="s">
        <v>623</v>
      </c>
    </row>
    <row r="236" spans="1:3">
      <c r="A236" s="88" t="s">
        <v>624</v>
      </c>
      <c r="B236" s="88">
        <v>0.99039999999999995</v>
      </c>
    </row>
    <row r="237" spans="1:3">
      <c r="A237" s="88" t="s">
        <v>625</v>
      </c>
      <c r="B237" s="88">
        <v>0.98419999999999996</v>
      </c>
    </row>
    <row r="239" spans="1:3">
      <c r="A239" s="233" t="s">
        <v>603</v>
      </c>
    </row>
    <row r="240" spans="1:3">
      <c r="A240" s="233" t="s">
        <v>628</v>
      </c>
      <c r="C240" s="233" t="s">
        <v>629</v>
      </c>
    </row>
    <row r="241" spans="1:8">
      <c r="C241" s="255" t="s">
        <v>630</v>
      </c>
    </row>
    <row r="242" spans="1:8" ht="12" thickBot="1">
      <c r="A242" s="233" t="s">
        <v>626</v>
      </c>
      <c r="C242" s="343" t="s">
        <v>632</v>
      </c>
    </row>
    <row r="243" spans="1:8" ht="24.75" thickBot="1">
      <c r="A243" s="233" t="s">
        <v>627</v>
      </c>
      <c r="C243" s="339" t="s">
        <v>477</v>
      </c>
      <c r="D243" s="340"/>
      <c r="E243" s="340"/>
      <c r="F243" s="340"/>
      <c r="G243" s="340"/>
      <c r="H243" s="341"/>
    </row>
    <row r="245" spans="1:8">
      <c r="A245" s="233" t="s">
        <v>455</v>
      </c>
      <c r="C245" s="255" t="s">
        <v>631</v>
      </c>
    </row>
    <row r="246" spans="1:8">
      <c r="A246" s="338">
        <f>(B236-B237)/(0.005 * B237)</f>
        <v>1.2599065230644144</v>
      </c>
      <c r="C246" s="342">
        <f>(B236/B237 - 1 ) * 2</f>
        <v>1.2599065230644246E-2</v>
      </c>
    </row>
    <row r="251" spans="1:8" s="255" customFormat="1" ht="21">
      <c r="A251" s="346" t="s">
        <v>634</v>
      </c>
    </row>
    <row r="252" spans="1:8" s="255" customFormat="1"/>
    <row r="253" spans="1:8" s="255" customFormat="1">
      <c r="A253" s="255" t="s">
        <v>635</v>
      </c>
    </row>
    <row r="254" spans="1:8" s="255" customFormat="1">
      <c r="A254" s="255" t="s">
        <v>639</v>
      </c>
    </row>
    <row r="255" spans="1:8" s="255" customFormat="1">
      <c r="A255" s="25" t="s">
        <v>83</v>
      </c>
      <c r="B255" s="25" t="s">
        <v>347</v>
      </c>
      <c r="C255" s="234" t="s">
        <v>636</v>
      </c>
    </row>
    <row r="256" spans="1:8" s="255" customFormat="1">
      <c r="A256" s="88" t="s">
        <v>519</v>
      </c>
      <c r="B256" s="88">
        <v>0.72</v>
      </c>
      <c r="C256" s="238">
        <f>100 / (100 +  B256 * (182.5/360) )</f>
        <v>0.99636327404971858</v>
      </c>
      <c r="D256" s="347" t="s">
        <v>637</v>
      </c>
    </row>
    <row r="257" spans="1:5" s="255" customFormat="1">
      <c r="A257" s="88" t="s">
        <v>521</v>
      </c>
      <c r="B257" s="88">
        <v>0.84</v>
      </c>
      <c r="C257" s="238">
        <f>(100 - (B257/2) * SUM($C$256:C256) ) / ( 100 + B257/2 )</f>
        <v>0.99165034280919262</v>
      </c>
      <c r="D257" s="347" t="s">
        <v>638</v>
      </c>
    </row>
    <row r="258" spans="1:5" s="255" customFormat="1">
      <c r="A258" s="88" t="s">
        <v>523</v>
      </c>
      <c r="B258" s="88">
        <v>0.95</v>
      </c>
      <c r="C258" s="238">
        <f>(100 - (B258/2) * SUM($C$256:C257) ) / ( 100 + B258/2 )</f>
        <v>0.98587403366003512</v>
      </c>
    </row>
    <row r="259" spans="1:5" s="255" customFormat="1">
      <c r="A259" s="88" t="s">
        <v>525</v>
      </c>
      <c r="B259" s="88">
        <v>1.01</v>
      </c>
      <c r="C259" s="238">
        <f>(100 - (B259/2) * SUM($C$256:C258) ) / ( 100 + B259/2 )</f>
        <v>0.98003270221867511</v>
      </c>
    </row>
    <row r="260" spans="1:5" s="255" customFormat="1">
      <c r="A260" s="88" t="s">
        <v>526</v>
      </c>
      <c r="B260" s="88">
        <f>(B259+B261)/2</f>
        <v>1.04</v>
      </c>
      <c r="C260" s="238">
        <f>(100 - (B260/2) * SUM($C$256:C259) ) / ( 100 + B260/2 )</f>
        <v>0.97437287521464833</v>
      </c>
    </row>
    <row r="261" spans="1:5" s="255" customFormat="1">
      <c r="A261" s="88" t="s">
        <v>528</v>
      </c>
      <c r="B261" s="88">
        <v>1.07</v>
      </c>
      <c r="C261" s="238">
        <f>(100 - (B261/2) * SUM($C$256:C260) ) / ( 100 + B261/2 )</f>
        <v>0.96845241083250144</v>
      </c>
      <c r="E261" s="359">
        <f xml:space="preserve"> ( (100/C256) -  100 ) * 360/182.5</f>
        <v>0.71999999999998987</v>
      </c>
    </row>
    <row r="262" spans="1:5" s="255" customFormat="1">
      <c r="A262" s="88" t="s">
        <v>530</v>
      </c>
      <c r="B262" s="88">
        <f>(B261+B263)/2</f>
        <v>1.105</v>
      </c>
      <c r="C262" s="238">
        <f>(100 - (B262/2) * SUM($C$256:C261) ) / ( 100 + B262/2 )</f>
        <v>0.9621048510436977</v>
      </c>
    </row>
    <row r="263" spans="1:5" s="255" customFormat="1">
      <c r="A263" s="88" t="s">
        <v>529</v>
      </c>
      <c r="B263" s="88">
        <v>1.1399999999999999</v>
      </c>
      <c r="C263" s="238">
        <f>(100 - (B263/2) * SUM($C$256:C262) ) / ( 100 + B263/2 )</f>
        <v>0.95545843910507888</v>
      </c>
    </row>
    <row r="264" spans="1:5" s="255" customFormat="1">
      <c r="A264" s="88" t="s">
        <v>532</v>
      </c>
      <c r="B264" s="88">
        <f>(B263+B265)/2</f>
        <v>1.1749999999999998</v>
      </c>
      <c r="C264" s="238">
        <f>(100 - (B264/2) * SUM($C$256:C263) ) / ( 100 + B264/2 )</f>
        <v>0.94851838950417833</v>
      </c>
    </row>
    <row r="265" spans="1:5" s="255" customFormat="1">
      <c r="A265" s="88" t="s">
        <v>534</v>
      </c>
      <c r="B265" s="88">
        <v>1.21</v>
      </c>
      <c r="C265" s="238">
        <f>(100 - (B265/2) * SUM($C$256:C264) ) / ( 100 + B265/2 )</f>
        <v>0.94129008968088235</v>
      </c>
    </row>
    <row r="266" spans="1:5" s="255" customFormat="1"/>
    <row r="267" spans="1:5" s="255" customFormat="1">
      <c r="A267" s="255" t="s">
        <v>640</v>
      </c>
    </row>
    <row r="268" spans="1:5" s="255" customFormat="1">
      <c r="A268" s="309" t="s">
        <v>499</v>
      </c>
      <c r="B268" s="309" t="s">
        <v>642</v>
      </c>
    </row>
    <row r="269" spans="1:5" s="255" customFormat="1">
      <c r="A269" s="309" t="s">
        <v>557</v>
      </c>
      <c r="B269" s="309">
        <v>5</v>
      </c>
    </row>
    <row r="270" spans="1:5" s="255" customFormat="1">
      <c r="A270" s="309" t="s">
        <v>449</v>
      </c>
      <c r="B270" s="309" t="s">
        <v>641</v>
      </c>
    </row>
    <row r="271" spans="1:5" s="255" customFormat="1">
      <c r="A271" s="309" t="s">
        <v>448</v>
      </c>
      <c r="B271" s="334">
        <v>1.35E-2</v>
      </c>
    </row>
    <row r="272" spans="1:5" s="255" customFormat="1">
      <c r="E272" s="255" t="s">
        <v>629</v>
      </c>
    </row>
    <row r="273" spans="1:7" s="255" customFormat="1">
      <c r="A273" s="348" t="s">
        <v>449</v>
      </c>
      <c r="B273" s="349"/>
      <c r="C273" s="350"/>
      <c r="E273" s="348" t="s">
        <v>647</v>
      </c>
      <c r="F273" s="349"/>
      <c r="G273" s="350"/>
    </row>
    <row r="274" spans="1:7" s="255" customFormat="1">
      <c r="A274" s="351" t="s">
        <v>643</v>
      </c>
      <c r="B274" s="352"/>
      <c r="C274" s="353"/>
      <c r="E274" s="351" t="s">
        <v>646</v>
      </c>
      <c r="F274" s="352"/>
      <c r="G274" s="353"/>
    </row>
    <row r="275" spans="1:7" s="255" customFormat="1">
      <c r="A275" s="351"/>
      <c r="B275" s="352"/>
      <c r="C275" s="353"/>
      <c r="E275" s="351">
        <f>3000000000 * ((1.21-1.35)/200) * SUM(C256:C265)</f>
        <v>-20378646.557049092</v>
      </c>
      <c r="F275" s="352"/>
      <c r="G275" s="353"/>
    </row>
    <row r="276" spans="1:7" s="255" customFormat="1">
      <c r="A276" s="351" t="s">
        <v>448</v>
      </c>
      <c r="B276" s="352"/>
      <c r="C276" s="353"/>
      <c r="E276" s="354">
        <f>E275/1000</f>
        <v>-20378.646557049091</v>
      </c>
      <c r="F276" s="352" t="s">
        <v>645</v>
      </c>
      <c r="G276" s="353"/>
    </row>
    <row r="277" spans="1:7" s="255" customFormat="1">
      <c r="A277" s="351" t="s">
        <v>644</v>
      </c>
      <c r="B277" s="352"/>
      <c r="C277" s="353"/>
      <c r="E277" s="355"/>
      <c r="F277" s="356"/>
      <c r="G277" s="357"/>
    </row>
    <row r="278" spans="1:7" s="255" customFormat="1">
      <c r="A278" s="351"/>
      <c r="B278" s="352"/>
      <c r="C278" s="353"/>
    </row>
    <row r="279" spans="1:7" s="255" customFormat="1">
      <c r="A279" s="351" t="s">
        <v>579</v>
      </c>
      <c r="B279" s="352"/>
      <c r="C279" s="353"/>
    </row>
    <row r="280" spans="1:7" s="255" customFormat="1">
      <c r="A280" s="351">
        <f>3000000000 * (1-C265) - 3000000000 * (1.35/200) * SUM(C256:C265)</f>
        <v>-20378646.557048857</v>
      </c>
      <c r="B280" s="352"/>
      <c r="C280" s="353"/>
    </row>
    <row r="281" spans="1:7" s="255" customFormat="1">
      <c r="A281" s="354">
        <f>A280/1000</f>
        <v>-20378.646557048858</v>
      </c>
      <c r="B281" s="352" t="s">
        <v>645</v>
      </c>
      <c r="C281" s="353"/>
    </row>
    <row r="282" spans="1:7" s="255" customFormat="1">
      <c r="A282" s="355"/>
      <c r="B282" s="356"/>
      <c r="C282" s="357"/>
    </row>
    <row r="283" spans="1:7" s="255" customFormat="1"/>
    <row r="284" spans="1:7" s="255" customFormat="1"/>
    <row r="285" spans="1:7" s="255" customFormat="1"/>
    <row r="286" spans="1:7" s="255" customFormat="1">
      <c r="A286" s="255" t="s">
        <v>648</v>
      </c>
    </row>
    <row r="287" spans="1:7" s="255" customFormat="1">
      <c r="A287" s="255" t="s">
        <v>649</v>
      </c>
    </row>
    <row r="288" spans="1:7" s="255" customFormat="1">
      <c r="A288" s="25" t="s">
        <v>83</v>
      </c>
      <c r="B288" s="234" t="s">
        <v>650</v>
      </c>
      <c r="C288" s="25" t="s">
        <v>436</v>
      </c>
    </row>
    <row r="289" spans="1:6" s="255" customFormat="1">
      <c r="A289" s="88" t="s">
        <v>519</v>
      </c>
      <c r="B289" s="332">
        <f xml:space="preserve"> ( (100/C289) -  100 ) * (360/182.5)</f>
        <v>0.59356150643711081</v>
      </c>
      <c r="C289" s="276">
        <v>0.997</v>
      </c>
      <c r="D289" s="360" t="s">
        <v>652</v>
      </c>
      <c r="E289" s="255" t="s">
        <v>651</v>
      </c>
    </row>
    <row r="290" spans="1:6" s="255" customFormat="1">
      <c r="A290" s="88" t="s">
        <v>521</v>
      </c>
      <c r="B290" s="332">
        <f>(2*100*(1-C290)) / SUM($C$289:C290)</f>
        <v>0.85491576565249694</v>
      </c>
      <c r="C290" s="276">
        <v>0.99150000000000005</v>
      </c>
      <c r="D290" s="360" t="s">
        <v>652</v>
      </c>
      <c r="E290" s="255" t="s">
        <v>653</v>
      </c>
    </row>
    <row r="291" spans="1:6" s="255" customFormat="1">
      <c r="A291" s="88" t="s">
        <v>523</v>
      </c>
      <c r="B291" s="358">
        <f>(2*100*(1-C291)) / SUM($C$289:C291)</f>
        <v>0.96160312016676608</v>
      </c>
      <c r="C291" s="276">
        <v>0.98570000000000002</v>
      </c>
    </row>
    <row r="292" spans="1:6" s="255" customFormat="1">
      <c r="A292" s="88" t="s">
        <v>525</v>
      </c>
      <c r="B292" s="358">
        <f>(2*100*(1-C292)) / SUM($C$289:C292)</f>
        <v>1.1489307857775555</v>
      </c>
      <c r="C292" s="276">
        <v>0.97729999999999995</v>
      </c>
    </row>
    <row r="293" spans="1:6" s="255" customFormat="1">
      <c r="A293" s="88" t="s">
        <v>526</v>
      </c>
      <c r="B293" s="358">
        <f>(2*100*(1-C293)) / SUM($C$289:C293)</f>
        <v>1.2191405059433111</v>
      </c>
      <c r="C293" s="276">
        <v>0.97</v>
      </c>
    </row>
    <row r="294" spans="1:6" s="255" customFormat="1">
      <c r="A294" s="88" t="s">
        <v>528</v>
      </c>
      <c r="B294" s="332">
        <f>(2*100*(1-C294)) / SUM($C$289:C294)</f>
        <v>1.3396576052770266</v>
      </c>
      <c r="C294" s="276">
        <v>0.96060000000000001</v>
      </c>
      <c r="D294" s="360" t="s">
        <v>652</v>
      </c>
      <c r="E294" s="255" t="s">
        <v>660</v>
      </c>
    </row>
    <row r="295" spans="1:6" s="255" customFormat="1"/>
    <row r="296" spans="1:6" s="255" customFormat="1">
      <c r="A296" s="255" t="s">
        <v>654</v>
      </c>
    </row>
    <row r="297" spans="1:6" s="255" customFormat="1"/>
    <row r="298" spans="1:6" s="255" customFormat="1">
      <c r="A298" s="309" t="s">
        <v>435</v>
      </c>
      <c r="B298" s="309" t="s">
        <v>655</v>
      </c>
    </row>
    <row r="299" spans="1:6" s="255" customFormat="1">
      <c r="A299" s="309" t="s">
        <v>501</v>
      </c>
      <c r="B299" s="309" t="s">
        <v>455</v>
      </c>
    </row>
    <row r="300" spans="1:6" s="255" customFormat="1">
      <c r="A300" s="309" t="s">
        <v>500</v>
      </c>
      <c r="B300" s="309" t="s">
        <v>541</v>
      </c>
    </row>
    <row r="301" spans="1:6" s="255" customFormat="1"/>
    <row r="302" spans="1:6" s="255" customFormat="1">
      <c r="A302" s="348" t="s">
        <v>656</v>
      </c>
      <c r="B302" s="350"/>
      <c r="D302" s="362"/>
      <c r="E302" s="362"/>
      <c r="F302" s="362"/>
    </row>
    <row r="303" spans="1:6" s="255" customFormat="1">
      <c r="A303" s="351" t="s">
        <v>657</v>
      </c>
      <c r="B303" s="353"/>
      <c r="D303" s="362"/>
      <c r="E303" s="362"/>
      <c r="F303" s="362"/>
    </row>
    <row r="304" spans="1:6" s="255" customFormat="1">
      <c r="A304" s="351"/>
      <c r="B304" s="353"/>
      <c r="D304" s="362"/>
      <c r="E304" s="362"/>
      <c r="F304" s="362"/>
    </row>
    <row r="305" spans="1:8" s="255" customFormat="1">
      <c r="A305" s="351" t="s">
        <v>658</v>
      </c>
      <c r="B305" s="353"/>
      <c r="D305" s="362"/>
      <c r="E305" s="362"/>
      <c r="F305" s="362"/>
    </row>
    <row r="306" spans="1:8" s="255" customFormat="1">
      <c r="A306" s="351" t="s">
        <v>659</v>
      </c>
      <c r="B306" s="353"/>
      <c r="D306" s="363"/>
      <c r="E306" s="362"/>
      <c r="F306" s="362"/>
    </row>
    <row r="307" spans="1:8" s="255" customFormat="1">
      <c r="A307" s="351"/>
      <c r="B307" s="353"/>
      <c r="D307" s="362"/>
      <c r="E307" s="362"/>
      <c r="F307" s="362"/>
    </row>
    <row r="308" spans="1:8" s="255" customFormat="1">
      <c r="A308" s="351" t="s">
        <v>455</v>
      </c>
      <c r="B308" s="353"/>
    </row>
    <row r="309" spans="1:8" s="255" customFormat="1">
      <c r="A309" s="361">
        <f>(C292-C294) / (0.005 * SUM(C293:C294) )</f>
        <v>1.7300321143685835</v>
      </c>
      <c r="B309" s="353"/>
    </row>
    <row r="310" spans="1:8" s="255" customFormat="1">
      <c r="A310" s="355"/>
      <c r="B310" s="357"/>
    </row>
    <row r="311" spans="1:8" s="255" customFormat="1"/>
    <row r="312" spans="1:8" s="255" customFormat="1"/>
    <row r="313" spans="1:8" s="255" customFormat="1">
      <c r="A313" s="255" t="s">
        <v>661</v>
      </c>
    </row>
    <row r="314" spans="1:8" s="255" customFormat="1">
      <c r="A314" s="255" t="s">
        <v>665</v>
      </c>
    </row>
    <row r="315" spans="1:8" s="255" customFormat="1">
      <c r="A315" s="25" t="s">
        <v>83</v>
      </c>
      <c r="B315" s="25" t="s">
        <v>666</v>
      </c>
      <c r="C315" s="25" t="s">
        <v>650</v>
      </c>
      <c r="D315" s="234" t="s">
        <v>662</v>
      </c>
      <c r="E315" s="234" t="s">
        <v>487</v>
      </c>
      <c r="F315" s="234" t="s">
        <v>663</v>
      </c>
      <c r="G315" s="25" t="s">
        <v>664</v>
      </c>
      <c r="H315" s="234" t="s">
        <v>513</v>
      </c>
    </row>
    <row r="316" spans="1:8" s="255" customFormat="1">
      <c r="A316" s="88" t="s">
        <v>519</v>
      </c>
      <c r="B316" s="309">
        <v>100</v>
      </c>
      <c r="C316" s="88">
        <v>0.7</v>
      </c>
      <c r="D316" s="238">
        <f>100 / (100 +  C316 * (182.5/360) )</f>
        <v>0.99646393700133562</v>
      </c>
      <c r="E316" s="364">
        <f>C316*365/360</f>
        <v>0.70972222222222214</v>
      </c>
      <c r="F316" s="364">
        <f t="shared" ref="F316:F321" si="5">B316 * (E316/200) * D316</f>
        <v>0.35360629986644615</v>
      </c>
      <c r="G316" s="88">
        <v>1.6</v>
      </c>
      <c r="H316" s="364">
        <f t="shared" ref="H316:H321" si="6">B316 * (G316/200) * D316</f>
        <v>0.7971711496010685</v>
      </c>
    </row>
    <row r="317" spans="1:8" s="255" customFormat="1">
      <c r="A317" s="88" t="s">
        <v>521</v>
      </c>
      <c r="B317" s="309">
        <v>100</v>
      </c>
      <c r="C317" s="88">
        <v>0.9</v>
      </c>
      <c r="D317" s="238">
        <f>(100 - (C317/2) * SUM($D$316:D316) ) / ( 100 + C317/2 )</f>
        <v>0.99105615956544935</v>
      </c>
      <c r="E317" s="364">
        <f>(D316/D317 - 1 ) * 200</f>
        <v>1.0913160437361125</v>
      </c>
      <c r="F317" s="364">
        <f t="shared" si="5"/>
        <v>0.54077774358863584</v>
      </c>
      <c r="G317" s="88">
        <v>1.6</v>
      </c>
      <c r="H317" s="364">
        <f t="shared" si="6"/>
        <v>0.79284492765235948</v>
      </c>
    </row>
    <row r="318" spans="1:8" s="255" customFormat="1">
      <c r="A318" s="88" t="s">
        <v>523</v>
      </c>
      <c r="B318" s="309">
        <v>100</v>
      </c>
      <c r="C318" s="88">
        <v>1.1000000000000001</v>
      </c>
      <c r="D318" s="238">
        <f>(100 - (C318/2) * SUM($D$316:D317) ) / ( 100 + C318/2 )</f>
        <v>0.98365851762196188</v>
      </c>
      <c r="E318" s="364">
        <f>(D317/D318 - 1 ) * 200</f>
        <v>1.504107738805871</v>
      </c>
      <c r="F318" s="364">
        <f t="shared" si="5"/>
        <v>0.73976419434875207</v>
      </c>
      <c r="G318" s="88">
        <v>1.6</v>
      </c>
      <c r="H318" s="364">
        <f t="shared" si="6"/>
        <v>0.78692681409756959</v>
      </c>
    </row>
    <row r="319" spans="1:8" s="255" customFormat="1">
      <c r="A319" s="88" t="s">
        <v>525</v>
      </c>
      <c r="B319" s="309">
        <v>100</v>
      </c>
      <c r="C319" s="88">
        <v>1.3</v>
      </c>
      <c r="D319" s="238">
        <f>(100 - (C319/2) * SUM($D$316:D318) ) / ( 100 + C319/2 )</f>
        <v>0.9743540377623181</v>
      </c>
      <c r="E319" s="364">
        <f>(D318/D319 - 1 ) * 200</f>
        <v>1.9098765949617569</v>
      </c>
      <c r="F319" s="364">
        <f t="shared" si="5"/>
        <v>0.93044798596436762</v>
      </c>
      <c r="G319" s="88">
        <v>1.6</v>
      </c>
      <c r="H319" s="364">
        <f t="shared" si="6"/>
        <v>0.77948323020985455</v>
      </c>
    </row>
    <row r="320" spans="1:8" s="255" customFormat="1">
      <c r="A320" s="88" t="s">
        <v>526</v>
      </c>
      <c r="B320" s="309">
        <v>100</v>
      </c>
      <c r="C320" s="88">
        <v>1.45</v>
      </c>
      <c r="D320" s="238">
        <f>(100 - (C320/2) * SUM($D$316:D319) ) / ( 100 + C320/2 )</f>
        <v>0.96440296676431359</v>
      </c>
      <c r="E320" s="364">
        <f>(D319/D320 - 1 ) * 200</f>
        <v>2.0636749037368673</v>
      </c>
      <c r="F320" s="364">
        <f t="shared" si="5"/>
        <v>0.99510709980044709</v>
      </c>
      <c r="G320" s="88">
        <v>1.6</v>
      </c>
      <c r="H320" s="364">
        <f t="shared" si="6"/>
        <v>0.77152237341145091</v>
      </c>
    </row>
    <row r="321" spans="1:8" s="255" customFormat="1">
      <c r="A321" s="88" t="s">
        <v>528</v>
      </c>
      <c r="B321" s="309">
        <v>100</v>
      </c>
      <c r="C321" s="88">
        <v>1.6</v>
      </c>
      <c r="D321" s="238">
        <f>(100 - (C321/2) * SUM($D$316:D320) ) / ( 100 + C321/2 )</f>
        <v>0.95309574905781458</v>
      </c>
      <c r="E321" s="364">
        <f>(D320/D321 - 1 ) * 200</f>
        <v>2.372734894196471</v>
      </c>
      <c r="F321" s="364">
        <f t="shared" si="5"/>
        <v>1.1307217706499</v>
      </c>
      <c r="G321" s="88">
        <v>1.6</v>
      </c>
      <c r="H321" s="364">
        <f t="shared" si="6"/>
        <v>0.76247659924625166</v>
      </c>
    </row>
    <row r="322" spans="1:8" s="255" customFormat="1">
      <c r="E322" s="88" t="s">
        <v>495</v>
      </c>
      <c r="F322" s="276">
        <f>SUM(F316:F321)</f>
        <v>4.6904250942185488</v>
      </c>
      <c r="G322" s="88" t="s">
        <v>495</v>
      </c>
      <c r="H322" s="276">
        <f>SUM(H316:H321)</f>
        <v>4.6904250942185541</v>
      </c>
    </row>
    <row r="323" spans="1:8" s="255" customFormat="1"/>
    <row r="324" spans="1:8" s="255" customFormat="1"/>
    <row r="325" spans="1:8" s="255" customFormat="1">
      <c r="A325" s="255" t="s">
        <v>667</v>
      </c>
    </row>
    <row r="326" spans="1:8" s="255" customFormat="1"/>
    <row r="327" spans="1:8" s="255" customFormat="1">
      <c r="A327" s="87" t="s">
        <v>567</v>
      </c>
      <c r="B327" s="87"/>
      <c r="C327" s="87"/>
    </row>
    <row r="328" spans="1:8" s="255" customFormat="1">
      <c r="A328" s="25" t="s">
        <v>83</v>
      </c>
      <c r="B328" s="25" t="s">
        <v>347</v>
      </c>
      <c r="C328" s="234" t="s">
        <v>332</v>
      </c>
    </row>
    <row r="329" spans="1:8" s="255" customFormat="1">
      <c r="A329" s="88" t="s">
        <v>360</v>
      </c>
      <c r="B329" s="315">
        <v>0.82</v>
      </c>
      <c r="C329" s="331">
        <f>100 / (100 +  B329 * (182.5/360) )</f>
        <v>0.9958602642072607</v>
      </c>
    </row>
    <row r="330" spans="1:8" s="255" customFormat="1">
      <c r="A330" s="88" t="s">
        <v>361</v>
      </c>
      <c r="B330" s="315">
        <v>0.94</v>
      </c>
      <c r="C330" s="331">
        <f>(100 - (B330/2) * SUM($C$329:C329) ) / ( 100 + B330/2 )</f>
        <v>0.99066333906462212</v>
      </c>
    </row>
    <row r="331" spans="1:8" s="255" customFormat="1">
      <c r="A331" s="88" t="s">
        <v>363</v>
      </c>
      <c r="B331" s="315">
        <v>1.02</v>
      </c>
      <c r="C331" s="331">
        <f>(100 - (B331/2) * SUM($C$329:C330) ) / ( 100 + B331/2 )</f>
        <v>0.98484601494708313</v>
      </c>
    </row>
    <row r="332" spans="1:8" s="255" customFormat="1">
      <c r="A332" s="88" t="s">
        <v>365</v>
      </c>
      <c r="B332" s="315">
        <v>1.1499999999999999</v>
      </c>
      <c r="C332" s="331">
        <f>(100 - (B332/2) * SUM($C$329:C331) ) / ( 100 + B332/2 )</f>
        <v>0.9772951774250469</v>
      </c>
    </row>
    <row r="333" spans="1:8" s="255" customFormat="1">
      <c r="A333" s="88" t="s">
        <v>367</v>
      </c>
      <c r="B333" s="315">
        <v>1.24</v>
      </c>
      <c r="C333" s="331">
        <f>(100 - (B333/2) * SUM($C$329:C332) ) / ( 100 + B333/2 )</f>
        <v>0.96950733280362467</v>
      </c>
    </row>
    <row r="334" spans="1:8" s="255" customFormat="1">
      <c r="A334" s="88" t="s">
        <v>369</v>
      </c>
      <c r="B334" s="367">
        <v>1.36</v>
      </c>
      <c r="C334" s="331">
        <f>(100 - (B334/2) * SUM($C$329:C333) ) / ( 100 + B334/2 )</f>
        <v>0.96002823751147803</v>
      </c>
    </row>
    <row r="335" spans="1:8" s="255" customFormat="1">
      <c r="A335" s="87"/>
      <c r="B335" s="87"/>
      <c r="C335" s="87"/>
    </row>
    <row r="336" spans="1:8" s="255" customFormat="1">
      <c r="A336" s="87" t="s">
        <v>568</v>
      </c>
      <c r="B336" s="87"/>
      <c r="C336" s="87"/>
    </row>
    <row r="337" spans="1:3" s="255" customFormat="1">
      <c r="A337" s="25" t="s">
        <v>83</v>
      </c>
      <c r="B337" s="25" t="s">
        <v>347</v>
      </c>
      <c r="C337" s="234" t="s">
        <v>332</v>
      </c>
    </row>
    <row r="338" spans="1:3" s="255" customFormat="1">
      <c r="A338" s="88" t="s">
        <v>360</v>
      </c>
      <c r="B338" s="315">
        <v>1.2</v>
      </c>
      <c r="C338" s="331">
        <f>100 / (100 +  B338 * (182.5/360) )</f>
        <v>0.99395344984676548</v>
      </c>
    </row>
    <row r="339" spans="1:3" s="255" customFormat="1">
      <c r="A339" s="88" t="s">
        <v>361</v>
      </c>
      <c r="B339" s="315">
        <v>1.5</v>
      </c>
      <c r="C339" s="331">
        <f>(100 - (B339/2) * SUM($C$338:C338) ) / ( 100 + B339/2 )</f>
        <v>0.98515667407061969</v>
      </c>
    </row>
    <row r="340" spans="1:3" s="255" customFormat="1">
      <c r="A340" s="88" t="s">
        <v>363</v>
      </c>
      <c r="B340" s="315">
        <v>1.8</v>
      </c>
      <c r="C340" s="331">
        <f>(100 - (B340/2) * SUM($C$338:C339) ) / ( 100 + B340/2 )</f>
        <v>0.97342716440509758</v>
      </c>
    </row>
    <row r="341" spans="1:3" s="255" customFormat="1">
      <c r="A341" s="88" t="s">
        <v>365</v>
      </c>
      <c r="B341" s="315">
        <v>2.2000000000000002</v>
      </c>
      <c r="C341" s="331">
        <f>(100 - (B341/2) * SUM($C$338:C340) ) / ( 100 + B341/2 )</f>
        <v>0.95699514325267343</v>
      </c>
    </row>
    <row r="342" spans="1:3" s="255" customFormat="1">
      <c r="A342" s="88" t="s">
        <v>367</v>
      </c>
      <c r="B342" s="315">
        <v>2.5</v>
      </c>
      <c r="C342" s="331">
        <f>(100 - (B342/2) * SUM($C$338:C341) ) / ( 100 + B342/2 )</f>
        <v>0.93938848849907219</v>
      </c>
    </row>
    <row r="343" spans="1:3" s="255" customFormat="1">
      <c r="A343" s="88" t="s">
        <v>369</v>
      </c>
      <c r="B343" s="367">
        <v>3</v>
      </c>
      <c r="C343" s="331">
        <f>(100 - (B343/2) * SUM($C$338:C342) ) / ( 100 + B343/2 )</f>
        <v>0.91356274502353352</v>
      </c>
    </row>
    <row r="344" spans="1:3" s="255" customFormat="1"/>
    <row r="345" spans="1:3" s="255" customFormat="1">
      <c r="A345" s="255" t="s">
        <v>668</v>
      </c>
    </row>
    <row r="346" spans="1:3" s="255" customFormat="1"/>
    <row r="347" spans="1:3" s="255" customFormat="1">
      <c r="A347" s="309" t="s">
        <v>584</v>
      </c>
      <c r="B347" s="309" t="s">
        <v>672</v>
      </c>
    </row>
    <row r="348" spans="1:3" s="255" customFormat="1">
      <c r="A348" s="309" t="s">
        <v>585</v>
      </c>
      <c r="B348" s="309" t="s">
        <v>673</v>
      </c>
    </row>
    <row r="349" spans="1:3" s="255" customFormat="1">
      <c r="A349" s="309" t="s">
        <v>669</v>
      </c>
      <c r="B349" s="309" t="s">
        <v>589</v>
      </c>
    </row>
    <row r="350" spans="1:3" s="255" customFormat="1">
      <c r="A350" s="309" t="s">
        <v>670</v>
      </c>
      <c r="B350" s="309" t="s">
        <v>674</v>
      </c>
    </row>
    <row r="351" spans="1:3" s="255" customFormat="1">
      <c r="A351" s="309" t="s">
        <v>671</v>
      </c>
      <c r="B351" s="309" t="s">
        <v>675</v>
      </c>
    </row>
    <row r="352" spans="1:3" s="255" customFormat="1"/>
    <row r="353" spans="1:2" s="255" customFormat="1">
      <c r="A353" s="87" t="s">
        <v>578</v>
      </c>
      <c r="B353" s="87"/>
    </row>
    <row r="354" spans="1:2" s="255" customFormat="1">
      <c r="A354" s="87" t="s">
        <v>677</v>
      </c>
      <c r="B354" s="87"/>
    </row>
    <row r="355" spans="1:2" s="255" customFormat="1">
      <c r="A355" s="316">
        <f>2000000000 * (2.5/100) * (C330+C332+C334)</f>
        <v>146399337.70005736</v>
      </c>
      <c r="B355" s="87"/>
    </row>
    <row r="356" spans="1:2" s="255" customFormat="1">
      <c r="A356" s="87"/>
      <c r="B356" s="87"/>
    </row>
    <row r="357" spans="1:2" s="255" customFormat="1">
      <c r="A357" s="87" t="s">
        <v>676</v>
      </c>
      <c r="B357" s="87"/>
    </row>
    <row r="358" spans="1:2" s="255" customFormat="1">
      <c r="A358" s="87" t="s">
        <v>678</v>
      </c>
      <c r="B358" s="87"/>
    </row>
    <row r="359" spans="1:2" s="255" customFormat="1">
      <c r="A359" s="316">
        <f>25000000 * (2.8/100) * (C339+C341+C343) * 100</f>
        <v>199900019.36427784</v>
      </c>
      <c r="B359" s="87"/>
    </row>
    <row r="360" spans="1:2" s="255" customFormat="1">
      <c r="A360" s="87"/>
      <c r="B360" s="87"/>
    </row>
    <row r="361" spans="1:2" s="255" customFormat="1">
      <c r="A361" s="87" t="s">
        <v>579</v>
      </c>
      <c r="B361" s="87"/>
    </row>
    <row r="362" spans="1:2" s="255" customFormat="1">
      <c r="A362" s="317">
        <f>A355-A359</f>
        <v>-53500681.664220482</v>
      </c>
      <c r="B362" s="87"/>
    </row>
    <row r="363" spans="1:2" s="255" customFormat="1">
      <c r="A363" s="366">
        <f>A362/1000</f>
        <v>-53500.681664220479</v>
      </c>
      <c r="B363" s="87"/>
    </row>
    <row r="364" spans="1:2" s="255" customFormat="1"/>
    <row r="365" spans="1:2" s="255" customFormat="1"/>
    <row r="366" spans="1:2" s="255" customFormat="1">
      <c r="A366" s="255" t="s">
        <v>683</v>
      </c>
    </row>
    <row r="367" spans="1:2" s="255" customFormat="1"/>
    <row r="368" spans="1:2" s="255" customFormat="1">
      <c r="A368" s="309" t="s">
        <v>584</v>
      </c>
      <c r="B368" s="309" t="s">
        <v>679</v>
      </c>
    </row>
    <row r="369" spans="1:2" s="255" customFormat="1">
      <c r="A369" s="309" t="s">
        <v>585</v>
      </c>
      <c r="B369" s="309" t="s">
        <v>680</v>
      </c>
    </row>
    <row r="370" spans="1:2" s="255" customFormat="1">
      <c r="A370" s="309" t="s">
        <v>669</v>
      </c>
      <c r="B370" s="309" t="s">
        <v>589</v>
      </c>
    </row>
    <row r="371" spans="1:2" s="255" customFormat="1">
      <c r="A371" s="309" t="s">
        <v>670</v>
      </c>
      <c r="B371" s="309" t="s">
        <v>681</v>
      </c>
    </row>
    <row r="372" spans="1:2" s="255" customFormat="1">
      <c r="A372" s="309" t="s">
        <v>671</v>
      </c>
      <c r="B372" s="309" t="s">
        <v>455</v>
      </c>
    </row>
    <row r="373" spans="1:2" s="255" customFormat="1"/>
    <row r="374" spans="1:2" s="255" customFormat="1">
      <c r="A374" s="255" t="s">
        <v>682</v>
      </c>
    </row>
    <row r="375" spans="1:2" s="255" customFormat="1"/>
    <row r="376" spans="1:2" s="255" customFormat="1"/>
    <row r="377" spans="1:2" s="255" customFormat="1"/>
    <row r="378" spans="1:2" s="255" customFormat="1"/>
    <row r="379" spans="1:2" s="255" customFormat="1"/>
    <row r="380" spans="1:2" s="255" customFormat="1"/>
    <row r="381" spans="1:2" s="255" customFormat="1"/>
    <row r="382" spans="1:2" s="255" customFormat="1"/>
    <row r="383" spans="1:2" s="255" customFormat="1"/>
    <row r="384" spans="1:2" s="255" customFormat="1"/>
    <row r="385" s="255" customFormat="1"/>
    <row r="386" s="255" customFormat="1"/>
    <row r="387" s="255" customFormat="1"/>
    <row r="388" s="255" customFormat="1"/>
    <row r="389" s="255" customFormat="1"/>
    <row r="390" s="255" customFormat="1"/>
    <row r="391" s="255" customFormat="1"/>
    <row r="392" s="255" customFormat="1"/>
    <row r="393" s="255" customFormat="1"/>
    <row r="394" s="255" customFormat="1"/>
    <row r="395" s="255" customFormat="1"/>
    <row r="396" s="255" customFormat="1"/>
    <row r="397" s="255" customFormat="1"/>
    <row r="398" s="255" customFormat="1"/>
    <row r="399" s="255" customFormat="1"/>
    <row r="400" s="255" customFormat="1"/>
    <row r="401" s="255" customFormat="1"/>
    <row r="402" s="255" customFormat="1"/>
    <row r="403" s="255" customFormat="1"/>
    <row r="404" s="255" customFormat="1"/>
    <row r="405" s="255" customFormat="1"/>
    <row r="406" s="255" customFormat="1"/>
    <row r="407" s="255" customFormat="1"/>
    <row r="408" s="255" customFormat="1"/>
    <row r="409" s="255" customFormat="1"/>
    <row r="410" s="255" customFormat="1"/>
    <row r="411" s="255" customFormat="1"/>
    <row r="412" s="255" customFormat="1"/>
    <row r="413" s="255" customFormat="1"/>
    <row r="414" s="255" customFormat="1"/>
    <row r="415" s="255" customFormat="1"/>
    <row r="416" s="255" customFormat="1"/>
    <row r="417" s="255" customFormat="1"/>
    <row r="418" s="255" customFormat="1"/>
    <row r="419" s="255" customFormat="1"/>
    <row r="420" s="255" customFormat="1"/>
    <row r="421" s="255" customFormat="1"/>
    <row r="422" s="255" customFormat="1"/>
    <row r="423" s="255" customFormat="1"/>
    <row r="424" s="255" customFormat="1"/>
    <row r="425" s="255" customFormat="1"/>
    <row r="426" s="255" customFormat="1"/>
    <row r="427" s="255" customFormat="1"/>
    <row r="428" s="255" customFormat="1"/>
    <row r="429" s="255" customFormat="1"/>
    <row r="430" s="255" customFormat="1"/>
    <row r="431" s="255" customFormat="1"/>
    <row r="432" s="255" customFormat="1"/>
    <row r="433" s="255" customFormat="1"/>
    <row r="434" s="255" customFormat="1"/>
    <row r="435" s="255" customFormat="1"/>
    <row r="436" s="255" customFormat="1"/>
    <row r="437" s="255" customFormat="1"/>
    <row r="438" s="255" customFormat="1"/>
    <row r="439" s="255" customFormat="1"/>
    <row r="440" s="255" customFormat="1"/>
    <row r="441" s="255" customFormat="1"/>
    <row r="442" s="255" customFormat="1"/>
    <row r="443" s="255" customFormat="1"/>
    <row r="444" s="255" customFormat="1"/>
    <row r="445" s="255" customFormat="1"/>
    <row r="446" s="255" customFormat="1"/>
    <row r="447" s="255" customFormat="1"/>
    <row r="448" s="255" customFormat="1"/>
    <row r="449" s="255" customFormat="1"/>
    <row r="450" s="255" customFormat="1"/>
    <row r="451" s="255" customFormat="1"/>
    <row r="452" s="255" customFormat="1"/>
    <row r="453" s="255" customFormat="1"/>
    <row r="454" s="255" customFormat="1"/>
    <row r="455" s="255" customFormat="1"/>
    <row r="456" s="255" customFormat="1"/>
    <row r="457" s="255" customFormat="1"/>
    <row r="458" s="255" customFormat="1"/>
    <row r="459" s="255" customFormat="1"/>
    <row r="460" s="255" customFormat="1"/>
    <row r="461" s="255" customFormat="1"/>
    <row r="462" s="255" customFormat="1"/>
    <row r="463" s="255" customFormat="1"/>
    <row r="464" s="255" customFormat="1"/>
    <row r="465" s="255" customFormat="1"/>
    <row r="466" s="255" customFormat="1"/>
    <row r="467" s="255" customFormat="1"/>
    <row r="468" s="255" customFormat="1"/>
    <row r="469" s="255" customFormat="1"/>
    <row r="470" s="255" customFormat="1"/>
    <row r="471" s="255" customFormat="1"/>
    <row r="472" s="255" customFormat="1"/>
    <row r="473" s="255" customFormat="1"/>
    <row r="474" s="255" customFormat="1"/>
    <row r="475" s="255" customFormat="1"/>
    <row r="476" s="255" customFormat="1"/>
    <row r="477" s="255" customFormat="1"/>
    <row r="478" s="255" customFormat="1"/>
    <row r="479" s="255" customFormat="1"/>
    <row r="480" s="255" customFormat="1"/>
    <row r="481" s="255" customFormat="1"/>
    <row r="482" s="255" customFormat="1"/>
    <row r="483" s="255" customFormat="1"/>
    <row r="484" s="255" customFormat="1"/>
    <row r="485" s="255" customFormat="1"/>
    <row r="486" s="255" customFormat="1"/>
    <row r="487" s="255" customFormat="1"/>
    <row r="488" s="255" customFormat="1"/>
    <row r="489" s="255" customFormat="1"/>
    <row r="490" s="255" customFormat="1"/>
    <row r="491" s="255" customFormat="1"/>
    <row r="492" s="255" customFormat="1"/>
    <row r="493" s="255" customFormat="1"/>
    <row r="494" s="255" customFormat="1"/>
    <row r="495" s="255" customFormat="1"/>
    <row r="496" s="255" customFormat="1"/>
    <row r="497" s="255" customFormat="1"/>
    <row r="498" s="255" customFormat="1"/>
    <row r="499" s="255" customFormat="1"/>
    <row r="500" s="255" customFormat="1"/>
    <row r="501" s="255" customFormat="1"/>
    <row r="502" s="255" customFormat="1"/>
    <row r="503" s="255" customFormat="1"/>
    <row r="504" s="255" customFormat="1"/>
    <row r="505" s="255" customFormat="1"/>
    <row r="506" s="255" customFormat="1"/>
    <row r="507" s="255" customFormat="1"/>
    <row r="508" s="255" customFormat="1"/>
    <row r="509" s="255" customFormat="1"/>
    <row r="510" s="255" customFormat="1"/>
    <row r="511" s="255" customFormat="1"/>
    <row r="512" s="255" customFormat="1"/>
    <row r="513" s="255" customFormat="1"/>
    <row r="514" s="255" customFormat="1"/>
    <row r="515" s="255" customFormat="1"/>
    <row r="516" s="255" customFormat="1"/>
    <row r="517" s="255" customFormat="1"/>
    <row r="518" s="255" customFormat="1"/>
    <row r="519" s="255" customFormat="1"/>
    <row r="520" s="255" customFormat="1"/>
    <row r="521" s="255" customFormat="1"/>
    <row r="522" s="255" customFormat="1"/>
    <row r="523" s="255" customFormat="1"/>
    <row r="524" s="255" customFormat="1"/>
    <row r="525" s="255" customFormat="1"/>
    <row r="526" s="255" customFormat="1"/>
    <row r="527" s="255" customFormat="1"/>
    <row r="528" s="255" customFormat="1"/>
    <row r="529" s="255" customFormat="1"/>
    <row r="530" s="255" customFormat="1"/>
    <row r="531" s="255" customFormat="1"/>
    <row r="532" s="255" customFormat="1"/>
    <row r="533" s="255" customFormat="1"/>
    <row r="534" s="255" customFormat="1"/>
    <row r="535" s="255" customFormat="1"/>
    <row r="536" s="255" customFormat="1"/>
    <row r="537" s="255" customFormat="1"/>
    <row r="538" s="255" customFormat="1"/>
    <row r="539" s="255" customFormat="1"/>
    <row r="540" s="255" customFormat="1"/>
    <row r="541" s="255" customFormat="1"/>
    <row r="542" s="255" customFormat="1"/>
    <row r="543" s="255" customFormat="1"/>
    <row r="544" s="255" customFormat="1"/>
    <row r="545" s="255" customFormat="1"/>
    <row r="546" s="255" customFormat="1"/>
    <row r="547" s="255" customFormat="1"/>
    <row r="548" s="255" customFormat="1"/>
    <row r="549" s="255" customFormat="1"/>
    <row r="550" s="255" customFormat="1"/>
    <row r="551" s="255" customFormat="1"/>
    <row r="552" s="255" customFormat="1"/>
    <row r="553" s="255" customFormat="1"/>
    <row r="554" s="255" customFormat="1"/>
    <row r="555" s="255" customFormat="1"/>
    <row r="556" s="255" customFormat="1"/>
    <row r="557" s="255" customFormat="1"/>
    <row r="558" s="255" customFormat="1"/>
    <row r="559" s="255" customFormat="1"/>
    <row r="560" s="255" customFormat="1"/>
    <row r="561" s="255" customFormat="1"/>
    <row r="562" s="255" customFormat="1"/>
    <row r="563" s="255" customFormat="1"/>
    <row r="564" s="255" customFormat="1"/>
    <row r="565" s="255" customFormat="1"/>
    <row r="566" s="255" customFormat="1"/>
    <row r="567" s="255" customFormat="1"/>
    <row r="568" s="255" customFormat="1"/>
    <row r="569" s="255" customFormat="1"/>
    <row r="570" s="255" customFormat="1"/>
    <row r="571" s="255" customFormat="1"/>
    <row r="572" s="255" customFormat="1"/>
    <row r="573" s="255" customFormat="1"/>
    <row r="574" s="255" customFormat="1"/>
    <row r="575" s="255" customFormat="1"/>
    <row r="576" s="255" customFormat="1"/>
    <row r="577" s="255" customFormat="1"/>
    <row r="578" s="255" customFormat="1"/>
    <row r="579" s="255" customFormat="1"/>
    <row r="580" s="255" customFormat="1"/>
    <row r="581" s="255" customFormat="1"/>
    <row r="582" s="255" customFormat="1"/>
    <row r="583" s="255" customFormat="1"/>
    <row r="584" s="255" customFormat="1"/>
    <row r="585" s="255" customFormat="1"/>
    <row r="586" s="255" customFormat="1"/>
    <row r="587" s="255" customFormat="1"/>
    <row r="588" s="255" customFormat="1"/>
    <row r="589" s="255" customFormat="1"/>
    <row r="590" s="255" customFormat="1"/>
    <row r="591" s="255" customFormat="1"/>
    <row r="592" s="255" customFormat="1"/>
    <row r="593" s="255" customFormat="1"/>
    <row r="594" s="255" customFormat="1"/>
    <row r="595" s="255" customFormat="1"/>
    <row r="596" s="255" customFormat="1"/>
    <row r="597" s="255" customFormat="1"/>
    <row r="598" s="255" customFormat="1"/>
    <row r="599" s="255" customFormat="1"/>
    <row r="600" s="255" customFormat="1"/>
    <row r="601" s="255" customFormat="1"/>
    <row r="602" s="255" customFormat="1"/>
    <row r="603" s="255" customFormat="1"/>
    <row r="604" s="255" customFormat="1"/>
    <row r="605" s="255" customFormat="1"/>
    <row r="606" s="255" customFormat="1"/>
    <row r="607" s="255" customFormat="1"/>
    <row r="608" s="255" customFormat="1"/>
    <row r="609" s="255" customFormat="1"/>
    <row r="610" s="255" customFormat="1"/>
    <row r="611" s="255" customFormat="1"/>
    <row r="612" s="255" customFormat="1"/>
    <row r="613" s="255" customFormat="1"/>
    <row r="614" s="255" customFormat="1"/>
    <row r="615" s="255" customFormat="1"/>
    <row r="616" s="255" customFormat="1"/>
    <row r="617" s="255" customFormat="1"/>
    <row r="618" s="255" customFormat="1"/>
    <row r="619" s="255" customFormat="1"/>
    <row r="620" s="255" customFormat="1"/>
    <row r="621" s="255" customFormat="1"/>
    <row r="622" s="255" customFormat="1"/>
    <row r="623" s="255" customFormat="1"/>
    <row r="624" s="255" customFormat="1"/>
    <row r="625" s="255" customFormat="1"/>
    <row r="626" s="255" customFormat="1"/>
    <row r="627" s="255" customFormat="1"/>
    <row r="628" s="255" customFormat="1"/>
    <row r="629" s="255" customFormat="1"/>
    <row r="630" s="255" customFormat="1"/>
    <row r="631" s="255" customFormat="1"/>
    <row r="632" s="255" customFormat="1"/>
    <row r="633" s="255" customFormat="1"/>
    <row r="634" s="255" customFormat="1"/>
    <row r="635" s="255" customFormat="1"/>
    <row r="636" s="255" customFormat="1"/>
    <row r="637" s="255" customFormat="1"/>
    <row r="638" s="255" customFormat="1"/>
    <row r="639" s="255" customFormat="1"/>
    <row r="640" s="255" customFormat="1"/>
    <row r="641" s="255" customFormat="1"/>
    <row r="642" s="255" customFormat="1"/>
    <row r="643" s="255" customFormat="1"/>
    <row r="644" s="255" customFormat="1"/>
    <row r="645" s="255" customFormat="1"/>
    <row r="646" s="255" customFormat="1"/>
    <row r="647" s="255" customFormat="1"/>
    <row r="648" s="255" customFormat="1"/>
    <row r="649" s="255" customFormat="1"/>
    <row r="650" s="255" customFormat="1"/>
    <row r="651" s="255" customFormat="1"/>
    <row r="652" s="255" customFormat="1"/>
    <row r="653" s="255" customFormat="1"/>
    <row r="654" s="255" customFormat="1"/>
    <row r="655" s="255" customFormat="1"/>
    <row r="656" s="255" customFormat="1"/>
    <row r="657" s="255" customFormat="1"/>
    <row r="658" s="255" customFormat="1"/>
    <row r="659" s="255" customFormat="1"/>
    <row r="660" s="255" customFormat="1"/>
    <row r="661" s="255" customFormat="1"/>
    <row r="662" s="255" customFormat="1"/>
    <row r="663" s="255" customFormat="1"/>
    <row r="664" s="255" customFormat="1"/>
    <row r="665" s="255" customFormat="1"/>
    <row r="666" s="255" customFormat="1"/>
    <row r="667" s="255" customFormat="1"/>
    <row r="668" s="255" customFormat="1"/>
    <row r="669" s="255" customFormat="1"/>
    <row r="670" s="255" customFormat="1"/>
    <row r="671" s="255" customFormat="1"/>
    <row r="672" s="255" customFormat="1"/>
    <row r="673" s="255" customFormat="1"/>
    <row r="674" s="255" customFormat="1"/>
    <row r="675" s="255" customFormat="1"/>
    <row r="676" s="255" customFormat="1"/>
    <row r="677" s="255" customFormat="1"/>
    <row r="678" s="255" customFormat="1"/>
    <row r="679" s="255" customFormat="1"/>
    <row r="680" s="255" customFormat="1"/>
    <row r="681" s="255" customFormat="1"/>
    <row r="682" s="255" customFormat="1"/>
    <row r="683" s="255" customFormat="1"/>
    <row r="684" s="255" customFormat="1"/>
    <row r="685" s="255" customFormat="1"/>
    <row r="686" s="255" customFormat="1"/>
    <row r="687" s="255" customFormat="1"/>
    <row r="688" s="255" customFormat="1"/>
    <row r="689" s="255" customFormat="1"/>
    <row r="690" s="255" customFormat="1"/>
    <row r="691" s="255" customFormat="1"/>
    <row r="692" s="255" customFormat="1"/>
    <row r="693" s="255" customFormat="1"/>
    <row r="694" s="255" customFormat="1"/>
    <row r="695" s="255" customFormat="1"/>
    <row r="696" s="255" customFormat="1"/>
    <row r="697" s="255" customFormat="1"/>
    <row r="698" s="255" customFormat="1"/>
    <row r="699" s="255" customFormat="1"/>
    <row r="700" s="255" customFormat="1"/>
    <row r="701" s="255" customFormat="1"/>
    <row r="702" s="255" customFormat="1"/>
    <row r="703" s="255" customFormat="1"/>
    <row r="704" s="255" customFormat="1"/>
    <row r="705" s="255" customFormat="1"/>
    <row r="706" s="255" customFormat="1"/>
    <row r="707" s="255" customFormat="1"/>
    <row r="708" s="255" customFormat="1"/>
    <row r="709" s="255" customFormat="1"/>
    <row r="710" s="255" customFormat="1"/>
    <row r="711" s="255" customFormat="1"/>
    <row r="712" s="255" customFormat="1"/>
    <row r="713" s="255" customFormat="1"/>
    <row r="714" s="255" customFormat="1"/>
    <row r="715" s="255" customFormat="1"/>
    <row r="716" s="255" customFormat="1"/>
    <row r="717" s="255" customFormat="1"/>
    <row r="718" s="255" customFormat="1"/>
    <row r="719" s="255" customFormat="1"/>
    <row r="720" s="255" customFormat="1"/>
    <row r="721" s="255" customFormat="1"/>
    <row r="722" s="255" customFormat="1"/>
    <row r="723" s="255" customFormat="1"/>
    <row r="724" s="255" customFormat="1"/>
    <row r="725" s="255" customFormat="1"/>
    <row r="726" s="255" customFormat="1"/>
    <row r="727" s="255" customFormat="1"/>
    <row r="728" s="255" customFormat="1"/>
    <row r="729" s="255" customFormat="1"/>
    <row r="730" s="255" customFormat="1"/>
    <row r="731" s="255" customFormat="1"/>
    <row r="732" s="255" customFormat="1"/>
    <row r="733" s="255" customFormat="1"/>
    <row r="734" s="255" customFormat="1"/>
    <row r="735" s="255" customFormat="1"/>
    <row r="736" s="255" customFormat="1"/>
    <row r="737" s="255" customFormat="1"/>
    <row r="738" s="255" customFormat="1"/>
    <row r="739" s="255" customFormat="1"/>
    <row r="740" s="255" customFormat="1"/>
    <row r="741" s="255" customFormat="1"/>
    <row r="742" s="255" customFormat="1"/>
    <row r="743" s="255" customFormat="1"/>
    <row r="744" s="255" customFormat="1"/>
    <row r="745" s="255" customFormat="1"/>
    <row r="746" s="255" customFormat="1"/>
    <row r="747" s="255" customFormat="1"/>
    <row r="748" s="255" customFormat="1"/>
    <row r="749" s="255" customFormat="1"/>
    <row r="750" s="255" customFormat="1"/>
    <row r="751" s="255" customFormat="1"/>
    <row r="752" s="255" customFormat="1"/>
    <row r="753" s="255" customFormat="1"/>
    <row r="754" s="255" customFormat="1"/>
    <row r="755" s="255" customFormat="1"/>
    <row r="756" s="255" customFormat="1"/>
    <row r="757" s="255" customFormat="1"/>
    <row r="758" s="255" customFormat="1"/>
    <row r="759" s="255" customFormat="1"/>
    <row r="760" s="255" customFormat="1"/>
    <row r="761" s="255" customFormat="1"/>
    <row r="762" s="255" customFormat="1"/>
    <row r="763" s="255" customFormat="1"/>
    <row r="764" s="255" customFormat="1"/>
    <row r="765" s="255" customFormat="1"/>
    <row r="766" s="255" customFormat="1"/>
    <row r="767" s="255" customFormat="1"/>
    <row r="768" s="255" customFormat="1"/>
    <row r="769" s="255" customFormat="1"/>
    <row r="770" s="255" customFormat="1"/>
    <row r="771" s="255" customFormat="1"/>
    <row r="772" s="255" customFormat="1"/>
    <row r="773" s="255" customFormat="1"/>
    <row r="774" s="255" customFormat="1"/>
    <row r="775" s="255" customFormat="1"/>
    <row r="776" s="255" customFormat="1"/>
    <row r="777" s="255" customFormat="1"/>
    <row r="778" s="255" customFormat="1"/>
    <row r="779" s="255" customFormat="1"/>
    <row r="780" s="255" customFormat="1"/>
    <row r="781" s="255" customFormat="1"/>
    <row r="782" s="255" customFormat="1"/>
    <row r="783" s="255" customFormat="1"/>
    <row r="784" s="255" customFormat="1"/>
    <row r="785" s="255" customFormat="1"/>
    <row r="786" s="255" customFormat="1"/>
    <row r="787" s="255" customFormat="1"/>
    <row r="788" s="255" customFormat="1"/>
    <row r="789" s="255" customFormat="1"/>
    <row r="790" s="255" customFormat="1"/>
    <row r="791" s="255" customFormat="1"/>
    <row r="792" s="255" customFormat="1"/>
    <row r="793" s="255" customFormat="1"/>
    <row r="794" s="255" customFormat="1"/>
    <row r="795" s="255" customFormat="1"/>
    <row r="796" s="255" customFormat="1"/>
    <row r="797" s="255" customFormat="1"/>
    <row r="798" s="255" customFormat="1"/>
    <row r="799" s="255" customFormat="1"/>
    <row r="800" s="255" customFormat="1"/>
    <row r="801" s="255" customFormat="1"/>
    <row r="802" s="255" customFormat="1"/>
    <row r="803" s="255" customFormat="1"/>
    <row r="804" s="255" customFormat="1"/>
    <row r="805" s="255" customFormat="1"/>
    <row r="806" s="255" customFormat="1"/>
    <row r="807" s="255" customFormat="1"/>
    <row r="808" s="255" customFormat="1"/>
    <row r="809" s="255" customFormat="1"/>
    <row r="810" s="255" customFormat="1"/>
    <row r="811" s="255" customFormat="1"/>
    <row r="812" s="255" customFormat="1"/>
    <row r="813" s="255" customFormat="1"/>
    <row r="814" s="255" customFormat="1"/>
    <row r="815" s="255" customFormat="1"/>
    <row r="816" s="255" customFormat="1"/>
    <row r="817" s="255" customFormat="1"/>
    <row r="818" s="255" customFormat="1"/>
    <row r="819" s="255" customFormat="1"/>
    <row r="820" s="255" customFormat="1"/>
    <row r="821" s="255" customFormat="1"/>
    <row r="822" s="255" customFormat="1"/>
    <row r="823" s="255" customFormat="1"/>
    <row r="824" s="255" customFormat="1"/>
    <row r="825" s="255" customFormat="1"/>
    <row r="826" s="255" customFormat="1"/>
    <row r="827" s="255" customFormat="1"/>
    <row r="828" s="255" customFormat="1"/>
    <row r="829" s="255" customFormat="1"/>
    <row r="830" s="255" customFormat="1"/>
    <row r="831" s="255" customFormat="1"/>
    <row r="832" s="255" customFormat="1"/>
    <row r="833" s="255" customFormat="1"/>
    <row r="834" s="255" customFormat="1"/>
    <row r="835" s="255" customFormat="1"/>
    <row r="836" s="255" customFormat="1"/>
    <row r="837" s="255" customFormat="1"/>
    <row r="838" s="255" customFormat="1"/>
    <row r="839" s="255" customFormat="1"/>
    <row r="840" s="255" customFormat="1"/>
    <row r="841" s="255" customFormat="1"/>
    <row r="842" s="255" customFormat="1"/>
    <row r="843" s="255" customFormat="1"/>
    <row r="844" s="255" customFormat="1"/>
    <row r="845" s="255" customFormat="1"/>
    <row r="846" s="255" customFormat="1"/>
    <row r="847" s="255" customFormat="1"/>
    <row r="848" s="255" customFormat="1"/>
    <row r="849" s="255" customFormat="1"/>
    <row r="850" s="255" customFormat="1"/>
    <row r="851" s="255" customFormat="1"/>
    <row r="852" s="255" customFormat="1"/>
    <row r="853" s="255" customFormat="1"/>
    <row r="854" s="255" customFormat="1"/>
    <row r="855" s="255" customFormat="1"/>
    <row r="856" s="255" customFormat="1"/>
    <row r="857" s="255" customFormat="1"/>
    <row r="858" s="255" customFormat="1"/>
    <row r="859" s="255" customFormat="1"/>
    <row r="860" s="255" customFormat="1"/>
    <row r="861" s="255" customFormat="1"/>
    <row r="862" s="255" customFormat="1"/>
    <row r="863" s="255" customFormat="1"/>
    <row r="864" s="255" customFormat="1"/>
    <row r="865" s="255" customFormat="1"/>
    <row r="866" s="255" customFormat="1"/>
    <row r="867" s="255" customFormat="1"/>
    <row r="868" s="255" customFormat="1"/>
    <row r="869" s="255" customFormat="1"/>
    <row r="870" s="255" customFormat="1"/>
    <row r="871" s="255" customFormat="1"/>
    <row r="872" s="255" customFormat="1"/>
    <row r="873" s="255" customFormat="1"/>
    <row r="874" s="255" customFormat="1"/>
    <row r="875" s="255" customFormat="1"/>
    <row r="876" s="255" customFormat="1"/>
    <row r="877" s="255" customFormat="1"/>
    <row r="878" s="255" customFormat="1"/>
    <row r="879" s="255" customFormat="1"/>
    <row r="880" s="255" customFormat="1"/>
    <row r="881" s="255" customFormat="1"/>
    <row r="882" s="255" customFormat="1"/>
    <row r="883" s="255" customFormat="1"/>
    <row r="884" s="255" customFormat="1"/>
    <row r="885" s="255" customFormat="1"/>
    <row r="886" s="255" customFormat="1"/>
    <row r="887" s="255" customFormat="1"/>
    <row r="888" s="255" customFormat="1"/>
    <row r="889" s="255" customFormat="1"/>
    <row r="890" s="255" customFormat="1"/>
    <row r="891" s="255" customFormat="1"/>
    <row r="892" s="255" customFormat="1"/>
    <row r="893" s="255" customFormat="1"/>
    <row r="894" s="255" customFormat="1"/>
    <row r="895" s="255" customFormat="1"/>
    <row r="896" s="255" customFormat="1"/>
    <row r="897" s="255" customFormat="1"/>
    <row r="898" s="255" customFormat="1"/>
    <row r="899" s="255" customFormat="1"/>
    <row r="900" s="255" customFormat="1"/>
    <row r="901" s="255" customFormat="1"/>
    <row r="902" s="255" customFormat="1"/>
    <row r="903" s="255" customFormat="1"/>
    <row r="904" s="255" customFormat="1"/>
    <row r="905" s="255" customFormat="1"/>
    <row r="906" s="255" customFormat="1"/>
    <row r="907" s="255" customFormat="1"/>
    <row r="908" s="255" customFormat="1"/>
    <row r="909" s="255" customFormat="1"/>
    <row r="910" s="255" customFormat="1"/>
    <row r="911" s="255" customFormat="1"/>
    <row r="912" s="255" customFormat="1"/>
    <row r="913" s="255" customFormat="1"/>
    <row r="914" s="255" customFormat="1"/>
    <row r="915" s="255" customFormat="1"/>
    <row r="916" s="255" customFormat="1"/>
    <row r="917" s="255" customFormat="1"/>
    <row r="918" s="255" customFormat="1"/>
    <row r="919" s="255" customFormat="1"/>
    <row r="920" s="255" customFormat="1"/>
    <row r="921" s="255" customFormat="1"/>
    <row r="922" s="255" customFormat="1"/>
    <row r="923" s="255" customFormat="1"/>
    <row r="924" s="255" customFormat="1"/>
    <row r="925" s="255" customFormat="1"/>
    <row r="926" s="255" customFormat="1"/>
    <row r="927" s="255" customFormat="1"/>
    <row r="928" s="255" customFormat="1"/>
    <row r="929" s="255" customFormat="1"/>
    <row r="930" s="255" customFormat="1"/>
    <row r="931" s="255" customFormat="1"/>
    <row r="932" s="255" customFormat="1"/>
    <row r="933" s="255" customFormat="1"/>
    <row r="934" s="255" customFormat="1"/>
    <row r="935" s="255" customFormat="1"/>
    <row r="936" s="255" customFormat="1"/>
    <row r="937" s="255" customFormat="1"/>
    <row r="938" s="255" customFormat="1"/>
    <row r="939" s="255" customFormat="1"/>
    <row r="940" s="255" customFormat="1"/>
    <row r="941" s="255" customFormat="1"/>
    <row r="942" s="255" customFormat="1"/>
    <row r="943" s="255" customFormat="1"/>
    <row r="944" s="255" customFormat="1"/>
    <row r="945" s="255" customFormat="1"/>
    <row r="946" s="255" customFormat="1"/>
    <row r="947" s="255" customFormat="1"/>
    <row r="948" s="255" customFormat="1"/>
    <row r="949" s="255" customFormat="1"/>
    <row r="950" s="255" customFormat="1"/>
    <row r="951" s="255" customFormat="1"/>
    <row r="952" s="255" customFormat="1"/>
    <row r="953" s="255" customFormat="1"/>
    <row r="954" s="255" customFormat="1"/>
    <row r="955" s="255" customFormat="1"/>
    <row r="956" s="255" customFormat="1"/>
    <row r="957" s="255" customFormat="1"/>
    <row r="958" s="255" customFormat="1"/>
    <row r="959" s="255" customFormat="1"/>
    <row r="960" s="255" customFormat="1"/>
    <row r="961" s="255" customFormat="1"/>
    <row r="962" s="255" customFormat="1"/>
    <row r="963" s="255" customFormat="1"/>
    <row r="964" s="255" customFormat="1"/>
    <row r="965" s="255" customFormat="1"/>
    <row r="966" s="255" customFormat="1"/>
    <row r="967" s="255" customFormat="1"/>
    <row r="968" s="255" customFormat="1"/>
    <row r="969" s="255" customFormat="1"/>
    <row r="970" s="255" customFormat="1"/>
    <row r="971" s="255" customFormat="1"/>
    <row r="972" s="255" customFormat="1"/>
    <row r="973" s="255" customFormat="1"/>
    <row r="974" s="255" customFormat="1"/>
    <row r="975" s="255" customFormat="1"/>
    <row r="976" s="255" customFormat="1"/>
    <row r="977" s="255" customFormat="1"/>
    <row r="978" s="255" customFormat="1"/>
    <row r="979" s="255" customFormat="1"/>
    <row r="980" s="255" customFormat="1"/>
    <row r="981" s="255" customFormat="1"/>
    <row r="982" s="255" customFormat="1"/>
    <row r="983" s="255" customFormat="1"/>
    <row r="984" s="255" customFormat="1"/>
    <row r="985" s="255" customFormat="1"/>
    <row r="986" s="255" customFormat="1"/>
    <row r="987" s="255" customFormat="1"/>
    <row r="988" s="255" customFormat="1"/>
    <row r="989" s="255" customFormat="1"/>
    <row r="990" s="255" customFormat="1"/>
    <row r="991" s="255" customFormat="1"/>
    <row r="992" s="255" customFormat="1"/>
    <row r="993" s="255" customFormat="1"/>
    <row r="994" s="255" customFormat="1"/>
    <row r="995" s="255" customFormat="1"/>
    <row r="996" s="255" customFormat="1"/>
    <row r="997" s="255" customFormat="1"/>
    <row r="998" s="255" customFormat="1"/>
    <row r="999" s="255" customFormat="1"/>
    <row r="1000" s="255" customFormat="1"/>
    <row r="1001" s="255" customFormat="1"/>
    <row r="1002" s="255" customFormat="1"/>
    <row r="1003" s="255" customFormat="1"/>
    <row r="1004" s="255" customFormat="1"/>
    <row r="1005" s="255" customFormat="1"/>
    <row r="1006" s="255" customFormat="1"/>
    <row r="1007" s="255" customFormat="1"/>
    <row r="1008" s="255" customFormat="1"/>
    <row r="1009" s="255" customFormat="1"/>
    <row r="1010" s="255" customFormat="1"/>
    <row r="1011" s="255" customFormat="1"/>
    <row r="1012" s="255" customFormat="1"/>
    <row r="1013" s="255" customFormat="1"/>
    <row r="1014" s="255" customFormat="1"/>
    <row r="1015" s="255" customFormat="1"/>
    <row r="1016" s="255" customFormat="1"/>
    <row r="1017" s="255" customFormat="1"/>
    <row r="1018" s="255" customFormat="1"/>
    <row r="1019" s="255" customFormat="1"/>
    <row r="1020" s="255" customFormat="1"/>
    <row r="1021" s="255" customFormat="1"/>
    <row r="1022" s="255" customFormat="1"/>
    <row r="1023" s="255" customFormat="1"/>
    <row r="1024" s="255" customFormat="1"/>
    <row r="1025" s="255" customFormat="1"/>
    <row r="1026" s="255" customFormat="1"/>
    <row r="1027" s="255" customFormat="1"/>
    <row r="1028" s="255" customFormat="1"/>
    <row r="1029" s="255" customFormat="1"/>
    <row r="1030" s="255" customFormat="1"/>
    <row r="1031" s="255" customFormat="1"/>
    <row r="1032" s="255" customFormat="1"/>
    <row r="1033" s="255" customFormat="1"/>
    <row r="1034" s="255" customFormat="1"/>
    <row r="1035" s="255" customFormat="1"/>
    <row r="1036" s="255" customFormat="1"/>
    <row r="1037" s="255" customFormat="1"/>
    <row r="1038" s="255" customFormat="1"/>
    <row r="1039" s="255" customFormat="1"/>
    <row r="1040" s="255" customFormat="1"/>
    <row r="1041" s="255" customFormat="1"/>
    <row r="1042" s="255" customFormat="1"/>
    <row r="1043" s="255" customFormat="1"/>
    <row r="1044" s="255" customFormat="1"/>
    <row r="1045" s="255" customFormat="1"/>
    <row r="1046" s="255" customFormat="1"/>
    <row r="1047" s="255" customFormat="1"/>
    <row r="1048" s="255" customFormat="1"/>
    <row r="1049" s="255" customFormat="1"/>
    <row r="1050" s="255" customFormat="1"/>
    <row r="1051" s="255" customFormat="1"/>
    <row r="1052" s="255" customFormat="1"/>
    <row r="1053" s="255" customFormat="1"/>
    <row r="1054" s="255" customFormat="1"/>
    <row r="1055" s="255" customFormat="1"/>
    <row r="1056" s="255" customFormat="1"/>
    <row r="1057" s="255" customFormat="1"/>
    <row r="1058" s="255" customFormat="1"/>
    <row r="1059" s="255" customFormat="1"/>
    <row r="1060" s="255" customFormat="1"/>
    <row r="1061" s="255" customFormat="1"/>
    <row r="1062" s="255" customFormat="1"/>
    <row r="1063" s="255" customFormat="1"/>
    <row r="1064" s="255" customFormat="1"/>
    <row r="1065" s="255" customFormat="1"/>
    <row r="1066" s="255" customFormat="1"/>
    <row r="1067" s="255" customFormat="1"/>
    <row r="1068" s="255" customFormat="1"/>
    <row r="1069" s="255" customFormat="1"/>
    <row r="1070" s="255" customFormat="1"/>
    <row r="1071" s="255" customFormat="1"/>
    <row r="1072" s="255" customFormat="1"/>
    <row r="1073" s="255" customFormat="1"/>
    <row r="1074" s="255" customFormat="1"/>
    <row r="1075" s="255" customFormat="1"/>
    <row r="1076" s="255" customFormat="1"/>
    <row r="1077" s="255" customFormat="1"/>
    <row r="1078" s="255" customFormat="1"/>
    <row r="1079" s="255" customFormat="1"/>
    <row r="1080" s="255" customFormat="1"/>
    <row r="1081" s="255" customFormat="1"/>
    <row r="1082" s="255" customFormat="1"/>
    <row r="1083" s="255" customFormat="1"/>
    <row r="1084" s="255" customFormat="1"/>
    <row r="1085" s="255" customFormat="1"/>
    <row r="1086" s="255" customFormat="1"/>
    <row r="1087" s="255" customFormat="1"/>
    <row r="1088" s="255" customFormat="1"/>
    <row r="1089" s="255" customFormat="1"/>
    <row r="1090" s="255" customFormat="1"/>
    <row r="1091" s="255" customFormat="1"/>
    <row r="1092" s="255" customFormat="1"/>
    <row r="1093" s="255" customFormat="1"/>
    <row r="1094" s="255" customFormat="1"/>
    <row r="1095" s="255" customFormat="1"/>
    <row r="1096" s="255" customFormat="1"/>
    <row r="1097" s="255" customFormat="1"/>
    <row r="1098" s="255" customFormat="1"/>
    <row r="1099" s="255" customFormat="1"/>
    <row r="1100" s="255" customFormat="1"/>
    <row r="1101" s="255" customFormat="1"/>
    <row r="1102" s="255" customFormat="1"/>
    <row r="1103" s="255" customFormat="1"/>
    <row r="1104" s="255" customFormat="1"/>
    <row r="1105" s="255" customFormat="1"/>
    <row r="1106" s="255" customFormat="1"/>
    <row r="1107" s="255" customFormat="1"/>
    <row r="1108" s="255" customFormat="1"/>
    <row r="1109" s="255" customFormat="1"/>
    <row r="1110" s="255" customFormat="1"/>
    <row r="1111" s="255" customFormat="1"/>
    <row r="1112" s="255" customFormat="1"/>
    <row r="1113" s="255" customFormat="1"/>
    <row r="1114" s="255" customFormat="1"/>
    <row r="1115" s="255" customFormat="1"/>
    <row r="1116" s="255" customFormat="1"/>
    <row r="1117" s="255" customFormat="1"/>
    <row r="1118" s="255" customFormat="1"/>
    <row r="1119" s="255" customFormat="1"/>
    <row r="1120" s="255" customFormat="1"/>
    <row r="1121" s="255" customFormat="1"/>
    <row r="1122" s="255" customFormat="1"/>
    <row r="1123" s="255" customFormat="1"/>
    <row r="1124" s="255" customFormat="1"/>
    <row r="1125" s="255" customFormat="1"/>
    <row r="1126" s="255" customFormat="1"/>
    <row r="1127" s="255" customFormat="1"/>
    <row r="1128" s="255" customFormat="1"/>
    <row r="1129" s="255" customFormat="1"/>
    <row r="1130" s="255" customFormat="1"/>
    <row r="1131" s="255" customFormat="1"/>
    <row r="1132" s="255" customFormat="1"/>
    <row r="1133" s="255" customFormat="1"/>
    <row r="1134" s="255" customFormat="1"/>
    <row r="1135" s="255" customFormat="1"/>
    <row r="1136" s="255" customFormat="1"/>
    <row r="1137" s="255" customFormat="1"/>
    <row r="1138" s="255" customFormat="1"/>
    <row r="1139" s="255" customFormat="1"/>
    <row r="1140" s="255" customFormat="1"/>
    <row r="1141" s="255" customFormat="1"/>
    <row r="1142" s="255" customFormat="1"/>
    <row r="1143" s="255" customFormat="1"/>
    <row r="1144" s="255" customFormat="1"/>
    <row r="1145" s="255" customFormat="1"/>
    <row r="1146" s="255" customFormat="1"/>
    <row r="1147" s="255" customFormat="1"/>
    <row r="1148" s="255" customFormat="1"/>
    <row r="1149" s="255" customFormat="1"/>
    <row r="1150" s="255" customFormat="1"/>
    <row r="1151" s="255" customFormat="1"/>
    <row r="1152" s="255" customFormat="1"/>
    <row r="1153" s="255" customFormat="1"/>
    <row r="1154" s="255" customFormat="1"/>
    <row r="1155" s="255" customFormat="1"/>
    <row r="1156" s="255" customFormat="1"/>
    <row r="1157" s="255" customFormat="1"/>
    <row r="1158" s="255" customFormat="1"/>
    <row r="1159" s="255" customFormat="1"/>
    <row r="1160" s="255" customFormat="1"/>
    <row r="1161" s="255" customFormat="1"/>
    <row r="1162" s="255" customFormat="1"/>
    <row r="1163" s="255" customFormat="1"/>
    <row r="1164" s="255" customFormat="1"/>
    <row r="1165" s="255" customFormat="1"/>
    <row r="1166" s="255" customFormat="1"/>
    <row r="1167" s="255" customFormat="1"/>
    <row r="1168" s="255" customFormat="1"/>
    <row r="1169" s="255" customFormat="1"/>
    <row r="1170" s="255" customFormat="1"/>
    <row r="1171" s="255" customFormat="1"/>
    <row r="1172" s="255" customFormat="1"/>
    <row r="1173" s="255" customFormat="1"/>
    <row r="1174" s="255" customFormat="1"/>
    <row r="1175" s="255" customFormat="1"/>
    <row r="1176" s="255" customFormat="1"/>
    <row r="1177" s="255" customFormat="1"/>
    <row r="1178" s="255" customFormat="1"/>
    <row r="1179" s="255" customFormat="1"/>
    <row r="1180" s="255" customFormat="1"/>
    <row r="1181" s="255" customFormat="1"/>
    <row r="1182" s="255" customFormat="1"/>
    <row r="1183" s="255" customFormat="1"/>
    <row r="1184" s="255" customFormat="1"/>
    <row r="1185" s="255" customFormat="1"/>
    <row r="1186" s="255" customFormat="1"/>
    <row r="1187" s="255" customFormat="1"/>
    <row r="1188" s="255" customFormat="1"/>
    <row r="1189" s="255" customFormat="1"/>
    <row r="1190" s="255" customFormat="1"/>
    <row r="1191" s="255" customFormat="1"/>
    <row r="1192" s="255" customFormat="1"/>
    <row r="1193" s="255" customFormat="1"/>
    <row r="1194" s="255" customFormat="1"/>
    <row r="1195" s="255" customFormat="1"/>
    <row r="1196" s="255" customFormat="1"/>
    <row r="1197" s="255" customFormat="1"/>
    <row r="1198" s="255" customFormat="1"/>
    <row r="1199" s="255" customFormat="1"/>
    <row r="1200" s="255" customFormat="1"/>
    <row r="1201" s="255" customFormat="1"/>
    <row r="1202" s="255" customFormat="1"/>
    <row r="1203" s="255" customFormat="1"/>
    <row r="1204" s="255" customFormat="1"/>
    <row r="1205" s="255" customFormat="1"/>
    <row r="1206" s="255" customFormat="1"/>
    <row r="1207" s="255" customFormat="1"/>
    <row r="1208" s="255" customFormat="1"/>
    <row r="1209" s="255" customFormat="1"/>
    <row r="1210" s="255" customFormat="1"/>
    <row r="1211" s="255" customFormat="1"/>
    <row r="1212" s="255" customFormat="1"/>
    <row r="1213" s="255" customFormat="1"/>
    <row r="1214" s="255" customFormat="1"/>
    <row r="1215" s="255" customFormat="1"/>
    <row r="1216" s="255" customFormat="1"/>
    <row r="1217" s="255" customFormat="1"/>
    <row r="1218" s="255" customFormat="1"/>
    <row r="1219" s="255" customFormat="1"/>
    <row r="1220" s="255" customFormat="1"/>
    <row r="1221" s="255" customFormat="1"/>
    <row r="1222" s="255" customFormat="1"/>
    <row r="1223" s="255" customFormat="1"/>
    <row r="1224" s="255" customFormat="1"/>
    <row r="1225" s="255" customFormat="1"/>
    <row r="1226" s="255" customFormat="1"/>
    <row r="1227" s="255" customFormat="1"/>
    <row r="1228" s="255" customFormat="1"/>
    <row r="1229" s="255" customFormat="1"/>
    <row r="1230" s="255" customFormat="1"/>
    <row r="1231" s="255" customFormat="1"/>
    <row r="1232" s="255" customFormat="1"/>
    <row r="1233" s="255" customFormat="1"/>
    <row r="1234" s="255" customFormat="1"/>
    <row r="1235" s="255" customFormat="1"/>
    <row r="1236" s="255" customFormat="1"/>
    <row r="1237" s="255" customFormat="1"/>
    <row r="1238" s="255" customFormat="1"/>
    <row r="1239" s="255" customFormat="1"/>
    <row r="1240" s="255" customFormat="1"/>
    <row r="1241" s="255" customFormat="1"/>
    <row r="1242" s="255" customFormat="1"/>
    <row r="1243" s="255" customFormat="1"/>
    <row r="1244" s="255" customFormat="1"/>
    <row r="1245" s="255" customFormat="1"/>
    <row r="1246" s="255" customFormat="1"/>
    <row r="1247" s="255" customFormat="1"/>
    <row r="1248" s="255" customFormat="1"/>
    <row r="1249" s="255" customFormat="1"/>
    <row r="1250" s="255" customFormat="1"/>
    <row r="1251" s="255" customFormat="1"/>
    <row r="1252" s="255" customFormat="1"/>
    <row r="1253" s="255" customFormat="1"/>
    <row r="1254" s="255" customFormat="1"/>
    <row r="1255" s="255" customFormat="1"/>
    <row r="1256" s="255" customFormat="1"/>
    <row r="1257" s="255" customFormat="1"/>
    <row r="1258" s="255" customFormat="1"/>
    <row r="1259" s="255" customFormat="1"/>
    <row r="1260" s="255" customFormat="1"/>
    <row r="1261" s="255" customFormat="1"/>
    <row r="1262" s="255" customFormat="1"/>
    <row r="1263" s="255" customFormat="1"/>
    <row r="1264" s="255" customFormat="1"/>
    <row r="1265" s="255" customFormat="1"/>
    <row r="1266" s="255" customFormat="1"/>
    <row r="1267" s="255" customFormat="1"/>
    <row r="1268" s="255" customFormat="1"/>
    <row r="1269" s="255" customFormat="1"/>
    <row r="1270" s="255" customFormat="1"/>
    <row r="1271" s="255" customFormat="1"/>
    <row r="1272" s="255" customFormat="1"/>
    <row r="1273" s="255" customFormat="1"/>
    <row r="1274" s="255" customFormat="1"/>
    <row r="1275" s="255" customFormat="1"/>
    <row r="1276" s="255" customFormat="1"/>
    <row r="1277" s="255" customFormat="1"/>
    <row r="1278" s="255" customFormat="1"/>
    <row r="1279" s="255" customFormat="1"/>
    <row r="1280" s="255" customFormat="1"/>
    <row r="1281" s="255" customFormat="1"/>
    <row r="1282" s="255" customFormat="1"/>
    <row r="1283" s="255" customFormat="1"/>
    <row r="1284" s="255" customFormat="1"/>
    <row r="1285" s="255" customFormat="1"/>
    <row r="1286" s="255" customFormat="1"/>
    <row r="1287" s="255" customFormat="1"/>
    <row r="1288" s="255" customFormat="1"/>
    <row r="1289" s="255" customFormat="1"/>
    <row r="1290" s="255" customFormat="1"/>
    <row r="1291" s="255" customFormat="1"/>
    <row r="1292" s="255" customFormat="1"/>
    <row r="1293" s="255" customFormat="1"/>
    <row r="1294" s="255" customFormat="1"/>
    <row r="1295" s="255" customFormat="1"/>
    <row r="1296" s="255" customFormat="1"/>
    <row r="1297" s="255" customFormat="1"/>
    <row r="1298" s="255" customFormat="1"/>
    <row r="1299" s="255" customFormat="1"/>
    <row r="1300" s="255" customFormat="1"/>
    <row r="1301" s="255" customFormat="1"/>
    <row r="1302" s="255" customFormat="1"/>
    <row r="1303" s="255" customFormat="1"/>
    <row r="1304" s="255" customFormat="1"/>
    <row r="1305" s="255" customFormat="1"/>
    <row r="1306" s="255" customFormat="1"/>
    <row r="1307" s="255" customFormat="1"/>
    <row r="1308" s="255" customFormat="1"/>
    <row r="1309" s="255" customFormat="1"/>
    <row r="1310" s="255" customFormat="1"/>
    <row r="1311" s="255" customFormat="1"/>
    <row r="1312" s="255" customFormat="1"/>
    <row r="1313" s="255" customFormat="1"/>
    <row r="1314" s="255" customFormat="1"/>
    <row r="1315" s="255" customFormat="1"/>
    <row r="1316" s="255" customFormat="1"/>
    <row r="1317" s="255" customFormat="1"/>
    <row r="1318" s="255" customFormat="1"/>
    <row r="1319" s="255" customFormat="1"/>
    <row r="1320" s="255" customFormat="1"/>
    <row r="1321" s="255" customFormat="1"/>
    <row r="1322" s="255" customFormat="1"/>
    <row r="1323" s="255" customFormat="1"/>
    <row r="1324" s="255" customFormat="1"/>
    <row r="1325" s="255" customFormat="1"/>
    <row r="1326" s="255" customFormat="1"/>
    <row r="1327" s="255" customFormat="1"/>
    <row r="1328" s="255" customFormat="1"/>
    <row r="1329" s="255" customFormat="1"/>
    <row r="1330" s="255" customFormat="1"/>
    <row r="1331" s="255" customFormat="1"/>
    <row r="1332" s="255" customFormat="1"/>
    <row r="1333" s="255" customFormat="1"/>
    <row r="1334" s="255" customFormat="1"/>
    <row r="1335" s="255" customFormat="1"/>
    <row r="1336" s="255" customFormat="1"/>
    <row r="1337" s="255" customFormat="1"/>
    <row r="1338" s="255" customFormat="1"/>
    <row r="1339" s="255" customFormat="1"/>
    <row r="1340" s="255" customFormat="1"/>
    <row r="1341" s="255" customFormat="1"/>
    <row r="1342" s="255" customFormat="1"/>
    <row r="1343" s="255" customFormat="1"/>
    <row r="1344" s="255" customFormat="1"/>
    <row r="1345" s="255" customFormat="1"/>
    <row r="1346" s="255" customFormat="1"/>
    <row r="1347" s="255" customFormat="1"/>
    <row r="1348" s="255" customFormat="1"/>
    <row r="1349" s="255" customFormat="1"/>
    <row r="1350" s="255" customFormat="1"/>
    <row r="1351" s="255" customFormat="1"/>
    <row r="1352" s="255" customFormat="1"/>
    <row r="1353" s="255" customFormat="1"/>
    <row r="1354" s="255" customFormat="1"/>
    <row r="1355" s="255" customFormat="1"/>
    <row r="1356" s="255" customFormat="1"/>
    <row r="1357" s="255" customFormat="1"/>
    <row r="1358" s="255" customFormat="1"/>
    <row r="1359" s="255" customFormat="1"/>
    <row r="1360" s="255" customFormat="1"/>
    <row r="1361" s="255" customFormat="1"/>
    <row r="1362" s="255" customFormat="1"/>
    <row r="1363" s="255" customFormat="1"/>
    <row r="1364" s="255" customFormat="1"/>
    <row r="1365" s="255" customFormat="1"/>
    <row r="1366" s="255" customFormat="1"/>
    <row r="1367" s="255" customFormat="1"/>
    <row r="1368" s="255" customFormat="1"/>
    <row r="1369" s="255" customFormat="1"/>
    <row r="1370" s="255" customFormat="1"/>
    <row r="1371" s="255" customFormat="1"/>
    <row r="1372" s="255" customFormat="1"/>
    <row r="1373" s="255" customFormat="1"/>
    <row r="1374" s="255" customFormat="1"/>
    <row r="1375" s="255" customFormat="1"/>
    <row r="1376" s="255" customFormat="1"/>
    <row r="1377" s="255" customFormat="1"/>
    <row r="1378" s="255" customFormat="1"/>
    <row r="1379" s="255" customFormat="1"/>
    <row r="1380" s="255" customFormat="1"/>
    <row r="1381" s="255" customFormat="1"/>
    <row r="1382" s="255" customFormat="1"/>
    <row r="1383" s="255" customFormat="1"/>
    <row r="1384" s="255" customFormat="1"/>
    <row r="1385" s="255" customFormat="1"/>
    <row r="1386" s="255" customFormat="1"/>
    <row r="1387" s="255" customFormat="1"/>
    <row r="1388" s="255" customFormat="1"/>
    <row r="1389" s="255" customFormat="1"/>
    <row r="1390" s="255" customFormat="1"/>
    <row r="1391" s="255" customFormat="1"/>
    <row r="1392" s="255" customFormat="1"/>
    <row r="1393" s="255" customFormat="1"/>
    <row r="1394" s="255" customFormat="1"/>
    <row r="1395" s="255" customFormat="1"/>
    <row r="1396" s="255" customFormat="1"/>
    <row r="1397" s="255" customFormat="1"/>
    <row r="1398" s="255" customFormat="1"/>
    <row r="1399" s="255" customFormat="1"/>
    <row r="1400" s="255" customFormat="1"/>
    <row r="1401" s="255" customFormat="1"/>
    <row r="1402" s="255" customFormat="1"/>
    <row r="1403" s="255" customFormat="1"/>
    <row r="1404" s="255" customFormat="1"/>
    <row r="1405" s="255" customFormat="1"/>
    <row r="1406" s="255" customFormat="1"/>
    <row r="1407" s="255" customFormat="1"/>
    <row r="1408" s="255" customFormat="1"/>
    <row r="1409" s="255" customFormat="1"/>
    <row r="1410" s="255" customFormat="1"/>
    <row r="1411" s="255" customFormat="1"/>
    <row r="1412" s="255" customFormat="1"/>
    <row r="1413" s="255" customFormat="1"/>
    <row r="1414" s="255" customFormat="1"/>
    <row r="1415" s="255" customFormat="1"/>
    <row r="1416" s="255" customFormat="1"/>
    <row r="1417" s="255" customFormat="1"/>
    <row r="1418" s="255" customFormat="1"/>
    <row r="1419" s="255" customFormat="1"/>
    <row r="1420" s="255" customFormat="1"/>
    <row r="1421" s="255" customFormat="1"/>
    <row r="1422" s="255" customFormat="1"/>
    <row r="1423" s="255" customFormat="1"/>
    <row r="1424" s="255" customFormat="1"/>
    <row r="1425" s="255" customFormat="1"/>
    <row r="1426" s="255" customFormat="1"/>
    <row r="1427" s="255" customFormat="1"/>
    <row r="1428" s="255" customFormat="1"/>
    <row r="1429" s="255" customFormat="1"/>
    <row r="1430" s="255" customFormat="1"/>
    <row r="1431" s="255" customFormat="1"/>
    <row r="1432" s="255" customFormat="1"/>
    <row r="1433" s="255" customFormat="1"/>
    <row r="1434" s="255" customFormat="1"/>
    <row r="1435" s="255" customFormat="1"/>
    <row r="1436" s="255" customFormat="1"/>
    <row r="1437" s="255" customFormat="1"/>
    <row r="1438" s="255" customFormat="1"/>
    <row r="1439" s="255" customFormat="1"/>
    <row r="1440" s="255" customFormat="1"/>
    <row r="1441" s="255" customFormat="1"/>
    <row r="1442" s="255" customFormat="1"/>
    <row r="1443" s="255" customFormat="1"/>
    <row r="1444" s="255" customFormat="1"/>
    <row r="1445" s="255" customFormat="1"/>
    <row r="1446" s="255" customFormat="1"/>
    <row r="1447" s="255" customFormat="1"/>
    <row r="1448" s="255" customFormat="1"/>
    <row r="1449" s="255" customFormat="1"/>
    <row r="1450" s="255" customFormat="1"/>
    <row r="1451" s="255" customFormat="1"/>
    <row r="1452" s="255" customFormat="1"/>
    <row r="1453" s="255" customFormat="1"/>
    <row r="1454" s="255" customFormat="1"/>
    <row r="1455" s="255" customFormat="1"/>
    <row r="1456" s="255" customFormat="1"/>
    <row r="1457" s="255" customFormat="1"/>
    <row r="1458" s="255" customFormat="1"/>
    <row r="1459" s="255" customFormat="1"/>
    <row r="1460" s="255" customFormat="1"/>
    <row r="1461" s="255" customFormat="1"/>
    <row r="1462" s="255" customFormat="1"/>
    <row r="1463" s="255" customFormat="1"/>
    <row r="1464" s="255" customFormat="1"/>
    <row r="1465" s="255" customFormat="1"/>
    <row r="1466" s="255" customFormat="1"/>
    <row r="1467" s="255" customFormat="1"/>
    <row r="1468" s="255" customFormat="1"/>
    <row r="1469" s="255" customFormat="1"/>
    <row r="1470" s="255" customFormat="1"/>
    <row r="1471" s="255" customFormat="1"/>
    <row r="1472" s="255" customFormat="1"/>
    <row r="1473" s="255" customFormat="1"/>
    <row r="1474" s="255" customFormat="1"/>
    <row r="1475" s="255" customFormat="1"/>
    <row r="1476" s="255" customFormat="1"/>
    <row r="1477" s="255" customFormat="1"/>
    <row r="1478" s="255" customFormat="1"/>
    <row r="1479" s="255" customFormat="1"/>
    <row r="1480" s="255" customFormat="1"/>
    <row r="1481" s="255" customFormat="1"/>
    <row r="1482" s="255" customFormat="1"/>
    <row r="1483" s="255" customFormat="1"/>
    <row r="1484" s="255" customFormat="1"/>
    <row r="1485" s="255" customFormat="1"/>
    <row r="1486" s="255" customFormat="1"/>
    <row r="1487" s="255" customFormat="1"/>
    <row r="1488" s="255" customFormat="1"/>
    <row r="1489" s="255" customFormat="1"/>
    <row r="1490" s="255" customFormat="1"/>
    <row r="1491" s="255" customFormat="1"/>
    <row r="1492" s="255" customFormat="1"/>
    <row r="1493" s="255" customFormat="1"/>
    <row r="1494" s="255" customFormat="1"/>
    <row r="1495" s="255" customFormat="1"/>
    <row r="1496" s="255" customFormat="1"/>
    <row r="1497" s="255" customFormat="1"/>
    <row r="1498" s="255" customFormat="1"/>
    <row r="1499" s="255" customFormat="1"/>
    <row r="1500" s="255" customFormat="1"/>
    <row r="1501" s="255" customFormat="1"/>
    <row r="1502" s="255" customFormat="1"/>
    <row r="1503" s="255" customFormat="1"/>
    <row r="1504" s="255" customFormat="1"/>
    <row r="1505" s="255" customFormat="1"/>
    <row r="1506" s="255" customFormat="1"/>
    <row r="1507" s="255" customFormat="1"/>
    <row r="1508" s="255" customFormat="1"/>
    <row r="1509" s="255" customFormat="1"/>
    <row r="1510" s="255" customFormat="1"/>
    <row r="1511" s="255" customFormat="1"/>
    <row r="1512" s="255" customFormat="1"/>
    <row r="1513" s="255" customFormat="1"/>
    <row r="1514" s="255" customFormat="1"/>
    <row r="1515" s="255" customFormat="1"/>
    <row r="1516" s="255" customFormat="1"/>
    <row r="1517" s="255" customFormat="1"/>
    <row r="1518" s="255" customFormat="1"/>
    <row r="1519" s="255" customFormat="1"/>
    <row r="1520" s="255" customFormat="1"/>
    <row r="1521" s="255" customFormat="1"/>
    <row r="1522" s="255" customFormat="1"/>
    <row r="1523" s="255" customFormat="1"/>
    <row r="1524" s="255" customFormat="1"/>
    <row r="1525" s="255" customFormat="1"/>
    <row r="1526" s="255" customFormat="1"/>
    <row r="1527" s="255" customFormat="1"/>
    <row r="1528" s="255" customFormat="1"/>
    <row r="1529" s="255" customFormat="1"/>
    <row r="1530" s="255" customFormat="1"/>
    <row r="1531" s="255" customFormat="1"/>
    <row r="1532" s="255" customFormat="1"/>
    <row r="1533" s="255" customFormat="1"/>
    <row r="1534" s="255" customFormat="1"/>
    <row r="1535" s="255" customFormat="1"/>
    <row r="1536" s="255" customFormat="1"/>
    <row r="1537" s="255" customFormat="1"/>
    <row r="1538" s="255" customFormat="1"/>
    <row r="1539" s="255" customFormat="1"/>
    <row r="1540" s="255" customFormat="1"/>
    <row r="1541" s="255" customFormat="1"/>
    <row r="1542" s="255" customFormat="1"/>
    <row r="1543" s="255" customFormat="1"/>
    <row r="1544" s="255" customFormat="1"/>
    <row r="1545" s="255" customFormat="1"/>
    <row r="1546" s="255" customFormat="1"/>
    <row r="1547" s="255" customFormat="1"/>
    <row r="1548" s="255" customFormat="1"/>
    <row r="1549" s="255" customFormat="1"/>
    <row r="1550" s="255" customFormat="1"/>
    <row r="1551" s="255" customFormat="1"/>
    <row r="1552" s="255" customFormat="1"/>
    <row r="1553" s="255" customFormat="1"/>
    <row r="1554" s="255" customFormat="1"/>
    <row r="1555" s="255" customFormat="1"/>
    <row r="1556" s="255" customFormat="1"/>
    <row r="1557" s="255" customFormat="1"/>
    <row r="1558" s="255" customFormat="1"/>
    <row r="1559" s="255" customFormat="1"/>
    <row r="1560" s="255" customFormat="1"/>
    <row r="1561" s="255" customFormat="1"/>
    <row r="1562" s="255" customFormat="1"/>
    <row r="1563" s="255" customFormat="1"/>
    <row r="1564" s="255" customFormat="1"/>
    <row r="1565" s="255" customFormat="1"/>
    <row r="1566" s="255" customFormat="1"/>
    <row r="1567" s="255" customFormat="1"/>
    <row r="1568" s="255" customFormat="1"/>
    <row r="1569" s="255" customFormat="1"/>
    <row r="1570" s="255" customFormat="1"/>
    <row r="1571" s="255" customFormat="1"/>
    <row r="1572" s="255" customFormat="1"/>
    <row r="1573" s="255" customFormat="1"/>
    <row r="1574" s="255" customFormat="1"/>
    <row r="1575" s="255" customFormat="1"/>
    <row r="1576" s="255" customFormat="1"/>
    <row r="1577" s="255" customFormat="1"/>
    <row r="1578" s="255" customFormat="1"/>
    <row r="1579" s="255" customFormat="1"/>
    <row r="1580" s="255" customFormat="1"/>
    <row r="1581" s="255" customFormat="1"/>
    <row r="1582" s="255" customFormat="1"/>
    <row r="1583" s="255" customFormat="1"/>
    <row r="1584" s="255" customFormat="1"/>
    <row r="1585" s="255" customFormat="1"/>
    <row r="1586" s="255" customFormat="1"/>
    <row r="1587" s="255" customFormat="1"/>
    <row r="1588" s="255" customFormat="1"/>
    <row r="1589" s="255" customFormat="1"/>
    <row r="1590" s="255" customFormat="1"/>
    <row r="1591" s="255" customFormat="1"/>
    <row r="1592" s="255" customFormat="1"/>
    <row r="1593" s="255" customFormat="1"/>
    <row r="1594" s="255" customFormat="1"/>
    <row r="1595" s="255" customFormat="1"/>
    <row r="1596" s="255" customFormat="1"/>
    <row r="1597" s="255" customFormat="1"/>
    <row r="1598" s="255" customFormat="1"/>
    <row r="1599" s="255" customFormat="1"/>
    <row r="1600" s="255" customFormat="1"/>
    <row r="1601" s="255" customFormat="1"/>
    <row r="1602" s="255" customFormat="1"/>
    <row r="1603" s="255" customFormat="1"/>
    <row r="1604" s="255" customFormat="1"/>
    <row r="1605" s="255" customFormat="1"/>
    <row r="1606" s="255" customFormat="1"/>
    <row r="1607" s="255" customFormat="1"/>
    <row r="1608" s="255" customFormat="1"/>
    <row r="1609" s="255" customFormat="1"/>
    <row r="1610" s="255" customFormat="1"/>
    <row r="1611" s="255" customFormat="1"/>
    <row r="1612" s="255" customFormat="1"/>
    <row r="1613" s="255" customFormat="1"/>
    <row r="1614" s="255" customFormat="1"/>
    <row r="1615" s="255" customFormat="1"/>
    <row r="1616" s="255" customFormat="1"/>
    <row r="1617" s="255" customFormat="1"/>
    <row r="1618" s="255" customFormat="1"/>
    <row r="1619" s="255" customFormat="1"/>
    <row r="1620" s="255" customFormat="1"/>
    <row r="1621" s="255" customFormat="1"/>
    <row r="1622" s="255" customFormat="1"/>
    <row r="1623" s="255" customFormat="1"/>
    <row r="1624" s="255" customFormat="1"/>
    <row r="1625" s="255" customFormat="1"/>
    <row r="1626" s="255" customFormat="1"/>
    <row r="1627" s="255" customFormat="1"/>
    <row r="1628" s="255" customFormat="1"/>
    <row r="1629" s="255" customFormat="1"/>
    <row r="1630" s="255" customFormat="1"/>
    <row r="1631" s="255" customFormat="1"/>
    <row r="1632" s="255" customFormat="1"/>
    <row r="1633" s="255" customFormat="1"/>
    <row r="1634" s="255" customFormat="1"/>
    <row r="1635" s="255" customFormat="1"/>
    <row r="1636" s="255" customFormat="1"/>
    <row r="1637" s="255" customFormat="1"/>
    <row r="1638" s="255" customFormat="1"/>
    <row r="1639" s="255" customFormat="1"/>
    <row r="1640" s="255" customFormat="1"/>
    <row r="1641" s="255" customFormat="1"/>
    <row r="1642" s="255" customFormat="1"/>
    <row r="1643" s="255" customFormat="1"/>
    <row r="1644" s="255" customFormat="1"/>
    <row r="1645" s="255" customFormat="1"/>
    <row r="1646" s="255" customFormat="1"/>
    <row r="1647" s="255" customFormat="1"/>
    <row r="1648" s="255" customFormat="1"/>
    <row r="1649" s="255" customFormat="1"/>
    <row r="1650" s="255" customFormat="1"/>
    <row r="1651" s="255" customFormat="1"/>
    <row r="1652" s="255" customFormat="1"/>
    <row r="1653" s="255" customFormat="1"/>
    <row r="1654" s="255" customFormat="1"/>
    <row r="1655" s="255" customFormat="1"/>
    <row r="1656" s="255" customFormat="1"/>
    <row r="1657" s="255" customFormat="1"/>
    <row r="1658" s="255" customFormat="1"/>
    <row r="1659" s="255" customFormat="1"/>
    <row r="1660" s="255" customFormat="1"/>
    <row r="1661" s="255" customFormat="1"/>
    <row r="1662" s="255" customFormat="1"/>
    <row r="1663" s="255" customFormat="1"/>
    <row r="1664" s="255" customFormat="1"/>
    <row r="1665" s="255" customFormat="1"/>
    <row r="1666" s="255" customFormat="1"/>
    <row r="1667" s="255" customFormat="1"/>
    <row r="1668" s="255" customFormat="1"/>
    <row r="1669" s="255" customFormat="1"/>
    <row r="1670" s="255" customFormat="1"/>
    <row r="1671" s="255" customFormat="1"/>
    <row r="1672" s="255" customFormat="1"/>
    <row r="1673" s="255" customFormat="1"/>
    <row r="1674" s="255" customFormat="1"/>
    <row r="1675" s="255" customFormat="1"/>
    <row r="1676" s="255" customFormat="1"/>
    <row r="1677" s="255" customFormat="1"/>
    <row r="1678" s="255" customFormat="1"/>
    <row r="1679" s="255" customFormat="1"/>
    <row r="1680" s="255" customFormat="1"/>
    <row r="1681" s="255" customFormat="1"/>
    <row r="1682" s="255" customFormat="1"/>
    <row r="1683" s="255" customFormat="1"/>
    <row r="1684" s="255" customFormat="1"/>
    <row r="1685" s="255" customFormat="1"/>
    <row r="1686" s="255" customFormat="1"/>
    <row r="1687" s="255" customFormat="1"/>
    <row r="1688" s="255" customFormat="1"/>
    <row r="1689" s="255" customFormat="1"/>
    <row r="1690" s="255" customFormat="1"/>
    <row r="1691" s="255" customFormat="1"/>
    <row r="1692" s="255" customFormat="1"/>
    <row r="1693" s="255" customFormat="1"/>
    <row r="1694" s="255" customFormat="1"/>
    <row r="1695" s="255" customFormat="1"/>
    <row r="1696" s="255" customFormat="1"/>
    <row r="1697" s="255" customFormat="1"/>
    <row r="1698" s="255" customFormat="1"/>
    <row r="1699" s="255" customFormat="1"/>
    <row r="1700" s="255" customFormat="1"/>
    <row r="1701" s="255" customFormat="1"/>
    <row r="1702" s="255" customFormat="1"/>
    <row r="1703" s="255" customFormat="1"/>
    <row r="1704" s="255" customFormat="1"/>
    <row r="1705" s="255" customFormat="1"/>
    <row r="1706" s="255" customFormat="1"/>
    <row r="1707" s="255" customFormat="1"/>
    <row r="1708" s="255" customFormat="1"/>
    <row r="1709" s="255" customFormat="1"/>
    <row r="1710" s="255" customFormat="1"/>
    <row r="1711" s="255" customFormat="1"/>
    <row r="1712" s="255" customFormat="1"/>
    <row r="1713" s="255" customFormat="1"/>
    <row r="1714" s="255" customFormat="1"/>
    <row r="1715" s="255" customFormat="1"/>
    <row r="1716" s="255" customFormat="1"/>
    <row r="1717" s="255" customFormat="1"/>
    <row r="1718" s="255" customFormat="1"/>
    <row r="1719" s="255" customFormat="1"/>
    <row r="1720" s="255" customFormat="1"/>
    <row r="1721" s="255" customFormat="1"/>
    <row r="1722" s="255" customFormat="1"/>
    <row r="1723" s="255" customFormat="1"/>
    <row r="1724" s="255" customFormat="1"/>
    <row r="1725" s="255" customFormat="1"/>
    <row r="1726" s="255" customFormat="1"/>
    <row r="1727" s="255" customFormat="1"/>
    <row r="1728" s="255" customFormat="1"/>
    <row r="1729" s="255" customFormat="1"/>
    <row r="1730" s="255" customFormat="1"/>
    <row r="1731" s="255" customFormat="1"/>
    <row r="1732" s="255" customFormat="1"/>
    <row r="1733" s="255" customFormat="1"/>
    <row r="1734" s="255" customFormat="1"/>
    <row r="1735" s="255" customFormat="1"/>
    <row r="1736" s="255" customFormat="1"/>
    <row r="1737" s="255" customFormat="1"/>
    <row r="1738" s="255" customFormat="1"/>
    <row r="1739" s="255" customFormat="1"/>
    <row r="1740" s="255" customFormat="1"/>
    <row r="1741" s="255" customFormat="1"/>
    <row r="1742" s="255" customFormat="1"/>
    <row r="1743" s="255" customFormat="1"/>
    <row r="1744" s="255" customFormat="1"/>
    <row r="1745" s="255" customFormat="1"/>
    <row r="1746" s="255" customFormat="1"/>
    <row r="1747" s="255" customFormat="1"/>
    <row r="1748" s="255" customFormat="1"/>
    <row r="1749" s="255" customFormat="1"/>
    <row r="1750" s="255" customFormat="1"/>
    <row r="1751" s="255" customFormat="1"/>
    <row r="1752" s="255" customFormat="1"/>
    <row r="1753" s="255" customFormat="1"/>
    <row r="1754" s="255" customFormat="1"/>
    <row r="1755" s="255" customFormat="1"/>
    <row r="1756" s="255" customFormat="1"/>
    <row r="1757" s="255" customFormat="1"/>
    <row r="1758" s="255" customFormat="1"/>
    <row r="1759" s="255" customFormat="1"/>
    <row r="1760" s="255" customFormat="1"/>
    <row r="1761" s="255" customFormat="1"/>
    <row r="1762" s="255" customFormat="1"/>
    <row r="1763" s="255" customFormat="1"/>
    <row r="1764" s="255" customFormat="1"/>
    <row r="1765" s="255" customFormat="1"/>
    <row r="1766" s="255" customFormat="1"/>
    <row r="1767" s="255" customFormat="1"/>
    <row r="1768" s="255" customFormat="1"/>
    <row r="1769" s="255" customFormat="1"/>
    <row r="1770" s="255" customFormat="1"/>
    <row r="1771" s="255" customFormat="1"/>
    <row r="1772" s="255" customFormat="1"/>
    <row r="1773" s="255" customFormat="1"/>
    <row r="1774" s="255" customFormat="1"/>
    <row r="1775" s="255" customFormat="1"/>
    <row r="1776" s="255" customFormat="1"/>
    <row r="1777" s="255" customFormat="1"/>
    <row r="1778" s="255" customFormat="1"/>
    <row r="1779" s="255" customFormat="1"/>
    <row r="1780" s="255" customFormat="1"/>
    <row r="1781" s="255" customFormat="1"/>
    <row r="1782" s="255" customFormat="1"/>
    <row r="1783" s="255" customFormat="1"/>
    <row r="1784" s="255" customFormat="1"/>
    <row r="1785" s="255" customFormat="1"/>
    <row r="1786" s="255" customFormat="1"/>
    <row r="1787" s="255" customFormat="1"/>
    <row r="1788" s="255" customFormat="1"/>
    <row r="1789" s="255" customFormat="1"/>
    <row r="1790" s="255" customFormat="1"/>
    <row r="1791" s="255" customFormat="1"/>
    <row r="1792" s="255" customFormat="1"/>
    <row r="1793" s="255" customFormat="1"/>
    <row r="1794" s="255" customFormat="1"/>
    <row r="1795" s="255" customFormat="1"/>
    <row r="1796" s="255" customFormat="1"/>
    <row r="1797" s="255" customFormat="1"/>
    <row r="1798" s="255" customFormat="1"/>
    <row r="1799" s="255" customFormat="1"/>
    <row r="1800" s="255" customFormat="1"/>
    <row r="1801" s="255" customFormat="1"/>
    <row r="1802" s="255" customFormat="1"/>
    <row r="1803" s="255" customFormat="1"/>
    <row r="1804" s="255" customFormat="1"/>
    <row r="1805" s="255" customFormat="1"/>
    <row r="1806" s="255" customFormat="1"/>
    <row r="1807" s="255" customFormat="1"/>
    <row r="1808" s="255" customFormat="1"/>
    <row r="1809" s="255" customFormat="1"/>
    <row r="1810" s="255" customFormat="1"/>
    <row r="1811" s="255" customFormat="1"/>
    <row r="1812" s="255" customFormat="1"/>
    <row r="1813" s="255" customFormat="1"/>
    <row r="1814" s="255" customFormat="1"/>
    <row r="1815" s="255" customFormat="1"/>
    <row r="1816" s="255" customFormat="1"/>
    <row r="1817" s="255" customFormat="1"/>
    <row r="1818" s="255" customFormat="1"/>
    <row r="1819" s="255" customFormat="1"/>
    <row r="1820" s="255" customFormat="1"/>
    <row r="1821" s="255" customFormat="1"/>
    <row r="1822" s="255" customFormat="1"/>
    <row r="1823" s="255" customFormat="1"/>
    <row r="1824" s="255" customFormat="1"/>
    <row r="1825" s="255" customFormat="1"/>
    <row r="1826" s="255" customFormat="1"/>
    <row r="1827" s="255" customFormat="1"/>
    <row r="1828" s="255" customFormat="1"/>
    <row r="1829" s="255" customFormat="1"/>
    <row r="1830" s="255" customFormat="1"/>
    <row r="1831" s="255" customFormat="1"/>
    <row r="1832" s="255" customFormat="1"/>
    <row r="1833" s="255" customFormat="1"/>
    <row r="1834" s="255" customFormat="1"/>
    <row r="1835" s="255" customFormat="1"/>
    <row r="1836" s="255" customFormat="1"/>
    <row r="1837" s="255" customFormat="1"/>
    <row r="1838" s="255" customFormat="1"/>
    <row r="1839" s="255" customFormat="1"/>
    <row r="1840" s="255" customFormat="1"/>
    <row r="1841" s="255" customFormat="1"/>
    <row r="1842" s="255" customFormat="1"/>
    <row r="1843" s="255" customFormat="1"/>
    <row r="1844" s="255" customFormat="1"/>
    <row r="1845" s="255" customFormat="1"/>
    <row r="1846" s="255" customFormat="1"/>
    <row r="1847" s="255" customFormat="1"/>
    <row r="1848" s="255" customFormat="1"/>
    <row r="1849" s="255" customFormat="1"/>
    <row r="1850" s="255" customFormat="1"/>
    <row r="1851" s="255" customFormat="1"/>
    <row r="1852" s="255" customFormat="1"/>
    <row r="1853" s="255" customFormat="1"/>
    <row r="1854" s="255" customFormat="1"/>
    <row r="1855" s="255" customFormat="1"/>
    <row r="1856" s="255" customFormat="1"/>
    <row r="1857" s="255" customFormat="1"/>
    <row r="1858" s="255" customFormat="1"/>
    <row r="1859" s="255" customFormat="1"/>
    <row r="1860" s="255" customFormat="1"/>
    <row r="1861" s="255" customFormat="1"/>
    <row r="1862" s="255" customFormat="1"/>
    <row r="1863" s="255" customFormat="1"/>
    <row r="1864" s="255" customFormat="1"/>
    <row r="1865" s="255" customFormat="1"/>
    <row r="1866" s="255" customFormat="1"/>
    <row r="1867" s="255" customFormat="1"/>
    <row r="1868" s="255" customFormat="1"/>
    <row r="1869" s="255" customFormat="1"/>
    <row r="1870" s="255" customFormat="1"/>
    <row r="1871" s="255" customFormat="1"/>
    <row r="1872" s="255" customFormat="1"/>
    <row r="1873" s="255" customFormat="1"/>
    <row r="1874" s="255" customFormat="1"/>
    <row r="1875" s="255" customFormat="1"/>
    <row r="1876" s="255" customFormat="1"/>
    <row r="1877" s="255" customFormat="1"/>
    <row r="1878" s="255" customFormat="1"/>
    <row r="1879" s="255" customFormat="1"/>
    <row r="1880" s="255" customFormat="1"/>
    <row r="1881" s="255" customFormat="1"/>
    <row r="1882" s="255" customFormat="1"/>
    <row r="1883" s="255" customFormat="1"/>
    <row r="1884" s="255" customFormat="1"/>
    <row r="1885" s="255" customFormat="1"/>
    <row r="1886" s="255" customFormat="1"/>
    <row r="1887" s="255" customFormat="1"/>
    <row r="1888" s="255" customFormat="1"/>
    <row r="1889" s="255" customFormat="1"/>
    <row r="1890" s="255" customFormat="1"/>
    <row r="1891" s="255" customFormat="1"/>
    <row r="1892" s="255" customFormat="1"/>
    <row r="1893" s="255" customFormat="1"/>
    <row r="1894" s="255" customFormat="1"/>
    <row r="1895" s="255" customFormat="1"/>
    <row r="1896" s="255" customFormat="1"/>
    <row r="1897" s="255" customFormat="1"/>
    <row r="1898" s="255" customFormat="1"/>
    <row r="1899" s="255" customFormat="1"/>
    <row r="1900" s="255" customFormat="1"/>
    <row r="1901" s="255" customFormat="1"/>
    <row r="1902" s="255" customFormat="1"/>
    <row r="1903" s="255" customFormat="1"/>
    <row r="1904" s="255" customFormat="1"/>
    <row r="1905" s="255" customFormat="1"/>
    <row r="1906" s="255" customFormat="1"/>
    <row r="1907" s="255" customFormat="1"/>
    <row r="1908" s="255" customFormat="1"/>
    <row r="1909" s="255" customFormat="1"/>
    <row r="1910" s="255" customFormat="1"/>
    <row r="1911" s="255" customFormat="1"/>
    <row r="1912" s="255" customFormat="1"/>
    <row r="1913" s="255" customFormat="1"/>
    <row r="1914" s="255" customFormat="1"/>
    <row r="1915" s="255" customFormat="1"/>
    <row r="1916" s="255" customFormat="1"/>
    <row r="1917" s="255" customFormat="1"/>
    <row r="1918" s="255" customFormat="1"/>
    <row r="1919" s="255" customFormat="1"/>
    <row r="1920" s="255" customFormat="1"/>
    <row r="1921" s="255" customFormat="1"/>
    <row r="1922" s="255" customFormat="1"/>
    <row r="1923" s="255" customFormat="1"/>
    <row r="1924" s="255" customFormat="1"/>
    <row r="1925" s="255" customFormat="1"/>
    <row r="1926" s="255" customFormat="1"/>
    <row r="1927" s="255" customFormat="1"/>
    <row r="1928" s="255" customFormat="1"/>
    <row r="1929" s="255" customFormat="1"/>
    <row r="1930" s="255" customFormat="1"/>
    <row r="1931" s="255" customFormat="1"/>
    <row r="1932" s="255" customFormat="1"/>
    <row r="1933" s="255" customFormat="1"/>
    <row r="1934" s="255" customFormat="1"/>
    <row r="1935" s="255" customFormat="1"/>
    <row r="1936" s="255" customFormat="1"/>
    <row r="1937" s="255" customFormat="1"/>
    <row r="1938" s="255" customFormat="1"/>
    <row r="1939" s="255" customFormat="1"/>
    <row r="1940" s="255" customFormat="1"/>
    <row r="1941" s="255" customFormat="1"/>
    <row r="1942" s="255" customFormat="1"/>
    <row r="1943" s="255" customFormat="1"/>
    <row r="1944" s="255" customFormat="1"/>
    <row r="1945" s="255" customFormat="1"/>
    <row r="1946" s="255" customFormat="1"/>
    <row r="1947" s="255" customFormat="1"/>
    <row r="1948" s="255" customFormat="1"/>
    <row r="1949" s="255" customFormat="1"/>
    <row r="1950" s="255" customFormat="1"/>
    <row r="1951" s="255" customFormat="1"/>
    <row r="1952" s="255" customFormat="1"/>
    <row r="1953" s="255" customFormat="1"/>
    <row r="1954" s="255" customFormat="1"/>
    <row r="1955" s="255" customFormat="1"/>
    <row r="1956" s="255" customFormat="1"/>
    <row r="1957" s="255" customFormat="1"/>
    <row r="1958" s="255" customFormat="1"/>
    <row r="1959" s="255" customFormat="1"/>
    <row r="1960" s="255" customFormat="1"/>
    <row r="1961" s="255" customFormat="1"/>
    <row r="1962" s="255" customFormat="1"/>
    <row r="1963" s="255" customFormat="1"/>
    <row r="1964" s="255" customFormat="1"/>
    <row r="1965" s="255" customFormat="1"/>
    <row r="1966" s="255" customFormat="1"/>
    <row r="1967" s="255" customFormat="1"/>
    <row r="1968" s="255" customFormat="1"/>
    <row r="1969" s="255" customFormat="1"/>
    <row r="1970" s="255" customFormat="1"/>
    <row r="1971" s="255" customFormat="1"/>
    <row r="1972" s="255" customFormat="1"/>
    <row r="1973" s="255" customFormat="1"/>
    <row r="1974" s="255" customFormat="1"/>
    <row r="1975" s="255" customFormat="1"/>
    <row r="1976" s="255" customFormat="1"/>
    <row r="1977" s="255" customFormat="1"/>
    <row r="1978" s="255" customFormat="1"/>
    <row r="1979" s="255" customFormat="1"/>
    <row r="1980" s="255" customFormat="1"/>
    <row r="1981" s="255" customFormat="1"/>
    <row r="1982" s="255" customFormat="1"/>
    <row r="1983" s="255" customFormat="1"/>
    <row r="1984" s="255" customFormat="1"/>
    <row r="1985" s="255" customFormat="1"/>
    <row r="1986" s="255" customFormat="1"/>
    <row r="1987" s="255" customFormat="1"/>
    <row r="1988" s="255" customFormat="1"/>
    <row r="1989" s="255" customFormat="1"/>
    <row r="1990" s="255" customFormat="1"/>
    <row r="1991" s="255" customFormat="1"/>
    <row r="1992" s="255" customFormat="1"/>
    <row r="1993" s="255" customFormat="1"/>
    <row r="1994" s="255" customFormat="1"/>
    <row r="1995" s="255" customFormat="1"/>
    <row r="1996" s="255" customFormat="1"/>
    <row r="1997" s="255" customFormat="1"/>
    <row r="1998" s="255" customFormat="1"/>
    <row r="1999" s="255" customFormat="1"/>
    <row r="2000" s="255" customFormat="1"/>
    <row r="2001" s="255" customFormat="1"/>
    <row r="2002" s="255" customFormat="1"/>
    <row r="2003" s="255" customFormat="1"/>
    <row r="2004" s="255" customFormat="1"/>
    <row r="2005" s="255" customFormat="1"/>
    <row r="2006" s="255" customFormat="1"/>
    <row r="2007" s="255" customFormat="1"/>
    <row r="2008" s="255" customFormat="1"/>
    <row r="2009" s="255" customFormat="1"/>
    <row r="2010" s="255" customFormat="1"/>
    <row r="2011" s="255" customFormat="1"/>
    <row r="2012" s="255" customFormat="1"/>
    <row r="2013" s="255" customFormat="1"/>
    <row r="2014" s="255" customFormat="1"/>
    <row r="2015" s="255" customFormat="1"/>
    <row r="2016" s="255" customFormat="1"/>
    <row r="2017" s="255" customFormat="1"/>
    <row r="2018" s="255" customFormat="1"/>
    <row r="2019" s="255" customFormat="1"/>
    <row r="2020" s="255" customFormat="1"/>
    <row r="2021" s="255" customFormat="1"/>
    <row r="2022" s="255" customFormat="1"/>
    <row r="2023" s="255" customFormat="1"/>
    <row r="2024" s="255" customFormat="1"/>
    <row r="2025" s="255" customFormat="1"/>
    <row r="2026" s="255" customFormat="1"/>
    <row r="2027" s="255" customFormat="1"/>
    <row r="2028" s="255" customFormat="1"/>
    <row r="2029" s="255" customFormat="1"/>
    <row r="2030" s="255" customFormat="1"/>
    <row r="2031" s="255" customFormat="1"/>
    <row r="2032" s="255" customFormat="1"/>
    <row r="2033" s="255" customFormat="1"/>
    <row r="2034" s="255" customFormat="1"/>
    <row r="2035" s="255" customFormat="1"/>
    <row r="2036" s="255" customFormat="1"/>
    <row r="2037" s="255" customFormat="1"/>
    <row r="2038" s="255" customFormat="1"/>
    <row r="2039" s="255" customFormat="1"/>
    <row r="2040" s="255" customFormat="1"/>
    <row r="2041" s="255" customFormat="1"/>
    <row r="2042" s="255" customFormat="1"/>
    <row r="2043" s="255" customFormat="1"/>
    <row r="2044" s="255" customFormat="1"/>
    <row r="2045" s="255" customFormat="1"/>
    <row r="2046" s="255" customFormat="1"/>
    <row r="2047" s="255" customFormat="1"/>
    <row r="2048" s="255" customFormat="1"/>
    <row r="2049" s="255" customFormat="1"/>
    <row r="2050" s="255" customFormat="1"/>
    <row r="2051" s="255" customFormat="1"/>
    <row r="2052" s="255" customFormat="1"/>
    <row r="2053" s="255" customFormat="1"/>
    <row r="2054" s="255" customFormat="1"/>
    <row r="2055" s="255" customFormat="1"/>
    <row r="2056" s="255" customFormat="1"/>
    <row r="2057" s="255" customFormat="1"/>
    <row r="2058" s="255" customFormat="1"/>
    <row r="2059" s="255" customFormat="1"/>
    <row r="2060" s="255" customFormat="1"/>
    <row r="2061" s="255" customFormat="1"/>
    <row r="2062" s="255" customFormat="1"/>
    <row r="2063" s="255" customFormat="1"/>
    <row r="2064" s="255" customFormat="1"/>
    <row r="2065" s="255" customFormat="1"/>
    <row r="2066" s="255" customFormat="1"/>
    <row r="2067" s="255" customFormat="1"/>
    <row r="2068" s="255" customFormat="1"/>
    <row r="2069" s="255" customFormat="1"/>
    <row r="2070" s="255" customFormat="1"/>
    <row r="2071" s="255" customFormat="1"/>
    <row r="2072" s="255" customFormat="1"/>
    <row r="2073" s="255" customFormat="1"/>
    <row r="2074" s="255" customFormat="1"/>
    <row r="2075" s="255" customFormat="1"/>
    <row r="2076" s="255" customFormat="1"/>
    <row r="2077" s="255" customFormat="1"/>
    <row r="2078" s="255" customFormat="1"/>
    <row r="2079" s="255" customFormat="1"/>
    <row r="2080" s="255" customFormat="1"/>
    <row r="2081" s="255" customFormat="1"/>
    <row r="2082" s="255" customFormat="1"/>
    <row r="2083" s="255" customFormat="1"/>
    <row r="2084" s="255" customFormat="1"/>
    <row r="2085" s="255" customFormat="1"/>
    <row r="2086" s="255" customFormat="1"/>
    <row r="2087" s="255" customFormat="1"/>
    <row r="2088" s="255" customFormat="1"/>
    <row r="2089" s="255" customFormat="1"/>
    <row r="2090" s="255" customFormat="1"/>
    <row r="2091" s="255" customFormat="1"/>
    <row r="2092" s="255" customFormat="1"/>
    <row r="2093" s="255" customFormat="1"/>
    <row r="2094" s="255" customFormat="1"/>
    <row r="2095" s="255" customFormat="1"/>
    <row r="2096" s="255" customFormat="1"/>
    <row r="2097" s="255" customFormat="1"/>
    <row r="2098" s="255" customFormat="1"/>
    <row r="2099" s="255" customFormat="1"/>
    <row r="2100" s="255" customFormat="1"/>
    <row r="2101" s="255" customFormat="1"/>
    <row r="2102" s="255" customFormat="1"/>
    <row r="2103" s="255" customFormat="1"/>
    <row r="2104" s="255" customFormat="1"/>
    <row r="2105" s="255" customFormat="1"/>
    <row r="2106" s="255" customFormat="1"/>
    <row r="2107" s="255" customFormat="1"/>
    <row r="2108" s="255" customFormat="1"/>
    <row r="2109" s="255" customFormat="1"/>
    <row r="2110" s="255" customFormat="1"/>
    <row r="2111" s="255" customFormat="1"/>
    <row r="2112" s="255" customFormat="1"/>
    <row r="2113" s="255" customFormat="1"/>
    <row r="2114" s="255" customFormat="1"/>
    <row r="2115" s="255" customFormat="1"/>
    <row r="2116" s="255" customFormat="1"/>
    <row r="2117" s="255" customFormat="1"/>
    <row r="2118" s="255" customFormat="1"/>
    <row r="2119" s="255" customFormat="1"/>
    <row r="2120" s="255" customFormat="1"/>
    <row r="2121" s="255" customFormat="1"/>
    <row r="2122" s="255" customFormat="1"/>
    <row r="2123" s="255" customFormat="1"/>
    <row r="2124" s="255" customFormat="1"/>
    <row r="2125" s="255" customFormat="1"/>
    <row r="2126" s="255" customFormat="1"/>
    <row r="2127" s="255" customFormat="1"/>
    <row r="2128" s="255" customFormat="1"/>
    <row r="2129" s="255" customFormat="1"/>
    <row r="2130" s="255" customFormat="1"/>
    <row r="2131" s="255" customFormat="1"/>
    <row r="2132" s="255" customFormat="1"/>
    <row r="2133" s="255" customFormat="1"/>
    <row r="2134" s="255" customFormat="1"/>
    <row r="2135" s="255" customFormat="1"/>
    <row r="2136" s="255" customFormat="1"/>
    <row r="2137" s="255" customFormat="1"/>
    <row r="2138" s="255" customFormat="1"/>
    <row r="2139" s="255" customFormat="1"/>
    <row r="2140" s="255" customFormat="1"/>
    <row r="2141" s="255" customFormat="1"/>
    <row r="2142" s="255" customFormat="1"/>
    <row r="2143" s="255" customFormat="1"/>
    <row r="2144" s="255" customFormat="1"/>
    <row r="2145" s="255" customFormat="1"/>
    <row r="2146" s="255" customFormat="1"/>
    <row r="2147" s="255" customFormat="1"/>
    <row r="2148" s="255" customFormat="1"/>
    <row r="2149" s="255" customFormat="1"/>
    <row r="2150" s="255" customFormat="1"/>
    <row r="2151" s="255" customFormat="1"/>
    <row r="2152" s="255" customFormat="1"/>
    <row r="2153" s="255" customFormat="1"/>
    <row r="2154" s="255" customFormat="1"/>
    <row r="2155" s="255" customFormat="1"/>
    <row r="2156" s="255" customFormat="1"/>
    <row r="2157" s="255" customFormat="1"/>
    <row r="2158" s="255" customFormat="1"/>
    <row r="2159" s="255" customFormat="1"/>
    <row r="2160" s="255" customFormat="1"/>
    <row r="2161" s="255" customFormat="1"/>
    <row r="2162" s="255" customFormat="1"/>
    <row r="2163" s="255" customFormat="1"/>
    <row r="2164" s="255" customFormat="1"/>
    <row r="2165" s="255" customFormat="1"/>
    <row r="2166" s="255" customFormat="1"/>
    <row r="2167" s="255" customFormat="1"/>
    <row r="2168" s="255" customFormat="1"/>
    <row r="2169" s="255" customFormat="1"/>
    <row r="2170" s="255" customFormat="1"/>
    <row r="2171" s="255" customFormat="1"/>
    <row r="2172" s="255" customFormat="1"/>
    <row r="2173" s="255" customFormat="1"/>
    <row r="2174" s="255" customFormat="1"/>
    <row r="2175" s="255" customFormat="1"/>
    <row r="2176" s="255" customFormat="1"/>
    <row r="2177" s="255" customFormat="1"/>
    <row r="2178" s="255" customFormat="1"/>
    <row r="2179" s="255" customFormat="1"/>
    <row r="2180" s="255" customFormat="1"/>
    <row r="2181" s="255" customFormat="1"/>
    <row r="2182" s="255" customFormat="1"/>
    <row r="2183" s="255" customFormat="1"/>
    <row r="2184" s="255" customFormat="1"/>
    <row r="2185" s="255" customFormat="1"/>
    <row r="2186" s="255" customFormat="1"/>
    <row r="2187" s="255" customFormat="1"/>
    <row r="2188" s="255" customFormat="1"/>
    <row r="2189" s="255" customFormat="1"/>
    <row r="2190" s="255" customFormat="1"/>
    <row r="2191" s="255" customFormat="1"/>
    <row r="2192" s="255" customFormat="1"/>
    <row r="2193" s="255" customFormat="1"/>
    <row r="2194" s="255" customFormat="1"/>
    <row r="2195" s="255" customFormat="1"/>
    <row r="2196" s="255" customFormat="1"/>
    <row r="2197" s="255" customFormat="1"/>
    <row r="2198" s="255" customFormat="1"/>
    <row r="2199" s="255" customFormat="1"/>
    <row r="2200" s="255" customFormat="1"/>
    <row r="2201" s="255" customFormat="1"/>
    <row r="2202" s="255" customFormat="1"/>
    <row r="2203" s="255" customFormat="1"/>
    <row r="2204" s="255" customFormat="1"/>
    <row r="2205" s="255" customFormat="1"/>
    <row r="2206" s="255" customFormat="1"/>
    <row r="2207" s="255" customFormat="1"/>
    <row r="2208" s="255" customFormat="1"/>
    <row r="2209" s="255" customFormat="1"/>
    <row r="2210" s="255" customFormat="1"/>
    <row r="2211" s="255" customFormat="1"/>
    <row r="2212" s="255" customFormat="1"/>
    <row r="2213" s="255" customFormat="1"/>
    <row r="2214" s="255" customFormat="1"/>
    <row r="2215" s="255" customFormat="1"/>
    <row r="2216" s="255" customFormat="1"/>
    <row r="2217" s="255" customFormat="1"/>
    <row r="2218" s="255" customFormat="1"/>
    <row r="2219" s="255" customFormat="1"/>
    <row r="2220" s="255" customFormat="1"/>
    <row r="2221" s="255" customFormat="1"/>
    <row r="2222" s="255" customFormat="1"/>
    <row r="2223" s="255" customFormat="1"/>
    <row r="2224" s="255" customFormat="1"/>
    <row r="2225" s="255" customFormat="1"/>
    <row r="2226" s="255" customFormat="1"/>
    <row r="2227" s="255" customFormat="1"/>
    <row r="2228" s="255" customFormat="1"/>
    <row r="2229" s="255" customFormat="1"/>
    <row r="2230" s="255" customFormat="1"/>
    <row r="2231" s="255" customFormat="1"/>
    <row r="2232" s="255" customFormat="1"/>
    <row r="2233" s="255" customFormat="1"/>
    <row r="2234" s="255" customFormat="1"/>
    <row r="2235" s="255" customFormat="1"/>
    <row r="2236" s="255" customFormat="1"/>
    <row r="2237" s="255" customFormat="1"/>
    <row r="2238" s="255" customFormat="1"/>
    <row r="2239" s="255" customFormat="1"/>
    <row r="2240" s="255" customFormat="1"/>
    <row r="2241" s="255" customFormat="1"/>
    <row r="2242" s="255" customFormat="1"/>
    <row r="2243" s="255" customFormat="1"/>
    <row r="2244" s="255" customFormat="1"/>
    <row r="2245" s="255" customFormat="1"/>
    <row r="2246" s="255" customFormat="1"/>
    <row r="2247" s="255" customFormat="1"/>
    <row r="2248" s="255" customFormat="1"/>
    <row r="2249" s="255" customFormat="1"/>
    <row r="2250" s="255" customFormat="1"/>
    <row r="2251" s="255" customFormat="1"/>
    <row r="2252" s="255" customFormat="1"/>
    <row r="2253" s="255" customFormat="1"/>
    <row r="2254" s="255" customFormat="1"/>
    <row r="2255" s="255" customFormat="1"/>
    <row r="2256" s="255" customFormat="1"/>
    <row r="2257" s="255" customFormat="1"/>
    <row r="2258" s="255" customFormat="1"/>
    <row r="2259" s="255" customFormat="1"/>
    <row r="2260" s="255" customFormat="1"/>
    <row r="2261" s="255" customFormat="1"/>
    <row r="2262" s="255" customFormat="1"/>
    <row r="2263" s="255" customFormat="1"/>
    <row r="2264" s="255" customFormat="1"/>
    <row r="2265" s="255" customFormat="1"/>
    <row r="2266" s="255" customFormat="1"/>
    <row r="2267" s="255" customFormat="1"/>
    <row r="2268" s="255" customFormat="1"/>
    <row r="2269" s="255" customFormat="1"/>
    <row r="2270" s="255" customFormat="1"/>
    <row r="2271" s="255" customFormat="1"/>
    <row r="2272" s="255" customFormat="1"/>
    <row r="2273" s="255" customFormat="1"/>
    <row r="2274" s="255" customFormat="1"/>
    <row r="2275" s="255" customFormat="1"/>
    <row r="2276" s="255" customFormat="1"/>
    <row r="2277" s="255" customFormat="1"/>
    <row r="2278" s="255" customFormat="1"/>
    <row r="2279" s="255" customFormat="1"/>
    <row r="2280" s="255" customFormat="1"/>
    <row r="2281" s="255" customFormat="1"/>
    <row r="2282" s="255" customFormat="1"/>
    <row r="2283" s="255" customFormat="1"/>
    <row r="2284" s="255" customFormat="1"/>
    <row r="2285" s="255" customFormat="1"/>
    <row r="2286" s="255" customFormat="1"/>
    <row r="2287" s="255" customFormat="1"/>
    <row r="2288" s="255" customFormat="1"/>
    <row r="2289" s="255" customFormat="1"/>
    <row r="2290" s="255" customFormat="1"/>
    <row r="2291" s="255" customFormat="1"/>
    <row r="2292" s="255" customFormat="1"/>
    <row r="2293" s="255" customFormat="1"/>
    <row r="2294" s="255" customFormat="1"/>
    <row r="2295" s="255" customFormat="1"/>
    <row r="2296" s="255" customFormat="1"/>
    <row r="2297" s="255" customFormat="1"/>
    <row r="2298" s="255" customFormat="1"/>
    <row r="2299" s="255" customFormat="1"/>
    <row r="2300" s="255" customFormat="1"/>
    <row r="2301" s="255" customFormat="1"/>
    <row r="2302" s="255" customFormat="1"/>
    <row r="2303" s="255" customFormat="1"/>
    <row r="2304" s="255" customFormat="1"/>
    <row r="2305" s="255" customFormat="1"/>
    <row r="2306" s="255" customFormat="1"/>
    <row r="2307" s="255" customFormat="1"/>
    <row r="2308" s="255" customFormat="1"/>
    <row r="2309" s="255" customFormat="1"/>
    <row r="2310" s="255" customFormat="1"/>
    <row r="2311" s="255" customFormat="1"/>
    <row r="2312" s="255" customFormat="1"/>
    <row r="2313" s="255" customFormat="1"/>
    <row r="2314" s="255" customFormat="1"/>
    <row r="2315" s="255" customFormat="1"/>
    <row r="2316" s="255" customFormat="1"/>
    <row r="2317" s="255" customFormat="1"/>
    <row r="2318" s="255" customFormat="1"/>
    <row r="2319" s="255" customFormat="1"/>
    <row r="2320" s="255" customFormat="1"/>
    <row r="2321" s="255" customFormat="1"/>
    <row r="2322" s="255" customFormat="1"/>
    <row r="2323" s="255" customFormat="1"/>
    <row r="2324" s="255" customFormat="1"/>
    <row r="2325" s="255" customFormat="1"/>
    <row r="2326" s="255" customFormat="1"/>
    <row r="2327" s="255" customFormat="1"/>
    <row r="2328" s="255" customFormat="1"/>
    <row r="2329" s="255" customFormat="1"/>
    <row r="2330" s="255" customFormat="1"/>
    <row r="2331" s="255" customFormat="1"/>
    <row r="2332" s="255" customFormat="1"/>
    <row r="2333" s="255" customFormat="1"/>
    <row r="2334" s="255" customFormat="1"/>
    <row r="2335" s="255" customFormat="1"/>
    <row r="2336" s="255" customFormat="1"/>
    <row r="2337" s="255" customFormat="1"/>
    <row r="2338" s="255" customFormat="1"/>
    <row r="2339" s="255" customFormat="1"/>
    <row r="2340" s="255" customFormat="1"/>
    <row r="2341" s="255" customFormat="1"/>
    <row r="2342" s="255" customFormat="1"/>
    <row r="2343" s="255" customFormat="1"/>
    <row r="2344" s="255" customFormat="1"/>
    <row r="2345" s="255" customFormat="1"/>
    <row r="2346" s="255" customFormat="1"/>
    <row r="2347" s="255" customFormat="1"/>
    <row r="2348" s="255" customFormat="1"/>
    <row r="2349" s="255" customFormat="1"/>
    <row r="2350" s="255" customFormat="1"/>
    <row r="2351" s="255" customFormat="1"/>
    <row r="2352" s="255" customFormat="1"/>
    <row r="2353" s="255" customFormat="1"/>
    <row r="2354" s="255" customFormat="1"/>
    <row r="2355" s="255" customFormat="1"/>
    <row r="2356" s="255" customFormat="1"/>
    <row r="2357" s="255" customFormat="1"/>
    <row r="2358" s="255" customFormat="1"/>
    <row r="2359" s="255" customFormat="1"/>
    <row r="2360" s="255" customFormat="1"/>
    <row r="2361" s="255" customFormat="1"/>
    <row r="2362" s="255" customFormat="1"/>
    <row r="2363" s="255" customFormat="1"/>
    <row r="2364" s="255" customFormat="1"/>
    <row r="2365" s="255" customFormat="1"/>
    <row r="2366" s="255" customFormat="1"/>
    <row r="2367" s="255" customFormat="1"/>
    <row r="2368" s="255" customFormat="1"/>
    <row r="2369" s="255" customFormat="1"/>
    <row r="2370" s="255" customFormat="1"/>
    <row r="2371" s="255" customFormat="1"/>
    <row r="2372" s="255" customFormat="1"/>
    <row r="2373" s="255" customFormat="1"/>
    <row r="2374" s="255" customFormat="1"/>
    <row r="2375" s="255" customFormat="1"/>
    <row r="2376" s="255" customFormat="1"/>
    <row r="2377" s="255" customFormat="1"/>
    <row r="2378" s="255" customFormat="1"/>
    <row r="2379" s="255" customFormat="1"/>
    <row r="2380" s="255" customFormat="1"/>
    <row r="2381" s="255" customFormat="1"/>
    <row r="2382" s="255" customFormat="1"/>
    <row r="2383" s="255" customFormat="1"/>
    <row r="2384" s="255" customFormat="1"/>
    <row r="2385" s="255" customFormat="1"/>
    <row r="2386" s="255" customFormat="1"/>
    <row r="2387" s="255" customFormat="1"/>
    <row r="2388" s="255" customFormat="1"/>
    <row r="2389" s="255" customFormat="1"/>
    <row r="2390" s="255" customFormat="1"/>
    <row r="2391" s="255" customFormat="1"/>
    <row r="2392" s="255" customFormat="1"/>
    <row r="2393" s="255" customFormat="1"/>
    <row r="2394" s="255" customFormat="1"/>
    <row r="2395" s="255" customFormat="1"/>
    <row r="2396" s="255" customFormat="1"/>
    <row r="2397" s="255" customFormat="1"/>
    <row r="2398" s="255" customFormat="1"/>
    <row r="2399" s="255" customFormat="1"/>
    <row r="2400" s="255" customFormat="1"/>
    <row r="2401" s="255" customFormat="1"/>
    <row r="2402" s="255" customFormat="1"/>
    <row r="2403" s="255" customFormat="1"/>
    <row r="2404" s="255" customFormat="1"/>
    <row r="2405" s="255" customFormat="1"/>
    <row r="2406" s="255" customFormat="1"/>
    <row r="2407" s="255" customFormat="1"/>
    <row r="2408" s="255" customFormat="1"/>
    <row r="2409" s="255" customFormat="1"/>
    <row r="2410" s="255" customFormat="1"/>
    <row r="2411" s="255" customFormat="1"/>
    <row r="2412" s="255" customFormat="1"/>
    <row r="2413" s="255" customFormat="1"/>
    <row r="2414" s="255" customFormat="1"/>
    <row r="2415" s="255" customFormat="1"/>
    <row r="2416" s="255" customFormat="1"/>
    <row r="2417" s="255" customFormat="1"/>
    <row r="2418" s="255" customFormat="1"/>
    <row r="2419" s="255" customFormat="1"/>
    <row r="2420" s="255" customFormat="1"/>
    <row r="2421" s="255" customFormat="1"/>
    <row r="2422" s="255" customFormat="1"/>
    <row r="2423" s="255" customFormat="1"/>
    <row r="2424" s="255" customFormat="1"/>
    <row r="2425" s="255" customFormat="1"/>
    <row r="2426" s="255" customFormat="1"/>
    <row r="2427" s="255" customFormat="1"/>
    <row r="2428" s="255" customFormat="1"/>
    <row r="2429" s="255" customFormat="1"/>
    <row r="2430" s="255" customFormat="1"/>
    <row r="2431" s="255" customFormat="1"/>
    <row r="2432" s="255" customFormat="1"/>
    <row r="2433" s="255" customFormat="1"/>
    <row r="2434" s="255" customFormat="1"/>
    <row r="2435" s="255" customFormat="1"/>
    <row r="2436" s="255" customFormat="1"/>
    <row r="2437" s="255" customFormat="1"/>
    <row r="2438" s="255" customFormat="1"/>
    <row r="2439" s="255" customFormat="1"/>
    <row r="2440" s="255" customFormat="1"/>
    <row r="2441" s="255" customFormat="1"/>
    <row r="2442" s="255" customFormat="1"/>
    <row r="2443" s="255" customFormat="1"/>
    <row r="2444" s="255" customFormat="1"/>
    <row r="2445" s="255" customFormat="1"/>
    <row r="2446" s="255" customFormat="1"/>
    <row r="2447" s="255" customFormat="1"/>
    <row r="2448" s="255" customFormat="1"/>
    <row r="2449" s="255" customFormat="1"/>
    <row r="2450" s="255" customFormat="1"/>
    <row r="2451" s="255" customFormat="1"/>
    <row r="2452" s="255" customFormat="1"/>
    <row r="2453" s="255" customFormat="1"/>
    <row r="2454" s="255" customFormat="1"/>
    <row r="2455" s="255" customFormat="1"/>
    <row r="2456" s="255" customFormat="1"/>
    <row r="2457" s="255" customFormat="1"/>
    <row r="2458" s="255" customFormat="1"/>
    <row r="2459" s="255" customFormat="1"/>
    <row r="2460" s="255" customFormat="1"/>
    <row r="2461" s="255" customFormat="1"/>
    <row r="2462" s="255" customFormat="1"/>
    <row r="2463" s="255" customFormat="1"/>
    <row r="2464" s="255" customFormat="1"/>
    <row r="2465" s="255" customFormat="1"/>
    <row r="2466" s="255" customFormat="1"/>
    <row r="2467" s="255" customFormat="1"/>
    <row r="2468" s="255" customFormat="1"/>
    <row r="2469" s="255" customFormat="1"/>
    <row r="2470" s="255" customFormat="1"/>
    <row r="2471" s="255" customFormat="1"/>
    <row r="2472" s="255" customFormat="1"/>
    <row r="2473" s="255" customFormat="1"/>
    <row r="2474" s="255" customFormat="1"/>
    <row r="2475" s="255" customFormat="1"/>
    <row r="2476" s="255" customFormat="1"/>
    <row r="2477" s="255" customFormat="1"/>
    <row r="2478" s="255" customFormat="1"/>
    <row r="2479" s="255" customFormat="1"/>
    <row r="2480" s="255" customFormat="1"/>
    <row r="2481" s="255" customFormat="1"/>
    <row r="2482" s="255" customFormat="1"/>
    <row r="2483" s="255" customFormat="1"/>
    <row r="2484" s="255" customFormat="1"/>
    <row r="2485" s="255" customFormat="1"/>
    <row r="2486" s="255" customFormat="1"/>
    <row r="2487" s="255" customFormat="1"/>
    <row r="2488" s="255" customFormat="1"/>
    <row r="2489" s="255" customFormat="1"/>
    <row r="2490" s="255" customFormat="1"/>
    <row r="2491" s="255" customFormat="1"/>
    <row r="2492" s="255" customFormat="1"/>
    <row r="2493" s="255" customFormat="1"/>
    <row r="2494" s="255" customFormat="1"/>
    <row r="2495" s="255" customFormat="1"/>
    <row r="2496" s="255" customFormat="1"/>
    <row r="2497" s="255" customFormat="1"/>
    <row r="2498" s="255" customFormat="1"/>
    <row r="2499" s="255" customFormat="1"/>
    <row r="2500" s="255" customFormat="1"/>
    <row r="2501" s="255" customFormat="1"/>
    <row r="2502" s="255" customFormat="1"/>
    <row r="2503" s="255" customFormat="1"/>
    <row r="2504" s="255" customFormat="1"/>
    <row r="2505" s="255" customFormat="1"/>
    <row r="2506" s="255" customFormat="1"/>
    <row r="2507" s="255" customFormat="1"/>
    <row r="2508" s="255" customFormat="1"/>
    <row r="2509" s="255" customFormat="1"/>
    <row r="2510" s="255" customFormat="1"/>
    <row r="2511" s="255" customFormat="1"/>
    <row r="2512" s="255" customFormat="1"/>
    <row r="2513" s="255" customFormat="1"/>
    <row r="2514" s="255" customFormat="1"/>
    <row r="2515" s="255" customFormat="1"/>
    <row r="2516" s="255" customFormat="1"/>
    <row r="2517" s="255" customFormat="1"/>
    <row r="2518" s="255" customFormat="1"/>
    <row r="2519" s="255" customFormat="1"/>
    <row r="2520" s="255" customFormat="1"/>
    <row r="2521" s="255" customFormat="1"/>
    <row r="2522" s="255" customFormat="1"/>
    <row r="2523" s="255" customFormat="1"/>
    <row r="2524" s="255" customFormat="1"/>
    <row r="2525" s="255" customFormat="1"/>
    <row r="2526" s="255" customFormat="1"/>
    <row r="2527" s="255" customFormat="1"/>
    <row r="2528" s="255" customFormat="1"/>
    <row r="2529" s="255" customFormat="1"/>
    <row r="2530" s="255" customFormat="1"/>
    <row r="2531" s="255" customFormat="1"/>
    <row r="2532" s="255" customFormat="1"/>
    <row r="2533" s="255" customFormat="1"/>
    <row r="2534" s="255" customFormat="1"/>
    <row r="2535" s="255" customFormat="1"/>
    <row r="2536" s="255" customFormat="1"/>
    <row r="2537" s="255" customFormat="1"/>
    <row r="2538" s="255" customFormat="1"/>
    <row r="2539" s="255" customFormat="1"/>
    <row r="2540" s="255" customFormat="1"/>
    <row r="2541" s="255" customFormat="1"/>
    <row r="2542" s="255" customFormat="1"/>
    <row r="2543" s="255" customFormat="1"/>
    <row r="2544" s="255" customFormat="1"/>
    <row r="2545" s="255" customFormat="1"/>
    <row r="2546" s="255" customFormat="1"/>
    <row r="2547" s="255" customFormat="1"/>
    <row r="2548" s="255" customFormat="1"/>
    <row r="2549" s="255" customFormat="1"/>
    <row r="2550" s="255" customFormat="1"/>
    <row r="2551" s="255" customFormat="1"/>
    <row r="2552" s="255" customFormat="1"/>
    <row r="2553" s="255" customFormat="1"/>
    <row r="2554" s="255" customFormat="1"/>
    <row r="2555" s="255" customFormat="1"/>
    <row r="2556" s="255" customFormat="1"/>
    <row r="2557" s="255" customFormat="1"/>
    <row r="2558" s="255" customFormat="1"/>
    <row r="2559" s="255" customFormat="1"/>
    <row r="2560" s="255" customFormat="1"/>
    <row r="2561" s="255" customFormat="1"/>
    <row r="2562" s="255" customFormat="1"/>
    <row r="2563" s="255" customFormat="1"/>
    <row r="2564" s="255" customFormat="1"/>
    <row r="2565" s="255" customFormat="1"/>
    <row r="2566" s="255" customFormat="1"/>
    <row r="2567" s="255" customFormat="1"/>
    <row r="2568" s="255" customFormat="1"/>
    <row r="2569" s="255" customFormat="1"/>
    <row r="2570" s="255" customFormat="1"/>
    <row r="2571" s="255" customFormat="1"/>
    <row r="2572" s="255" customFormat="1"/>
    <row r="2573" s="255" customFormat="1"/>
    <row r="2574" s="255" customFormat="1"/>
    <row r="2575" s="255" customFormat="1"/>
    <row r="2576" s="255" customFormat="1"/>
    <row r="2577" s="255" customFormat="1"/>
    <row r="2578" s="255" customFormat="1"/>
    <row r="2579" s="255" customFormat="1"/>
    <row r="2580" s="255" customFormat="1"/>
    <row r="2581" s="255" customFormat="1"/>
    <row r="2582" s="255" customFormat="1"/>
    <row r="2583" s="255" customFormat="1"/>
    <row r="2584" s="255" customFormat="1"/>
    <row r="2585" s="255" customFormat="1"/>
    <row r="2586" s="255" customFormat="1"/>
    <row r="2587" s="255" customFormat="1"/>
    <row r="2588" s="255" customFormat="1"/>
    <row r="2589" s="255" customFormat="1"/>
    <row r="2590" s="255" customFormat="1"/>
    <row r="2591" s="255" customFormat="1"/>
    <row r="2592" s="255" customFormat="1"/>
    <row r="2593" s="255" customFormat="1"/>
    <row r="2594" s="255" customFormat="1"/>
    <row r="2595" s="255" customFormat="1"/>
    <row r="2596" s="255" customFormat="1"/>
    <row r="2597" s="255" customFormat="1"/>
    <row r="2598" s="255" customFormat="1"/>
    <row r="2599" s="255" customFormat="1"/>
    <row r="2600" s="255" customFormat="1"/>
    <row r="2601" s="255" customFormat="1"/>
    <row r="2602" s="255" customFormat="1"/>
    <row r="2603" s="255" customFormat="1"/>
    <row r="2604" s="255" customFormat="1"/>
    <row r="2605" s="255" customFormat="1"/>
    <row r="2606" s="255" customFormat="1"/>
    <row r="2607" s="255" customFormat="1"/>
    <row r="2608" s="255" customFormat="1"/>
    <row r="2609" s="255" customFormat="1"/>
    <row r="2610" s="255" customFormat="1"/>
    <row r="2611" s="255" customFormat="1"/>
    <row r="2612" s="255" customFormat="1"/>
    <row r="2613" s="255" customFormat="1"/>
    <row r="2614" s="255" customFormat="1"/>
    <row r="2615" s="255" customFormat="1"/>
    <row r="2616" s="255" customFormat="1"/>
    <row r="2617" s="255" customFormat="1"/>
    <row r="2618" s="255" customFormat="1"/>
    <row r="2619" s="255" customFormat="1"/>
    <row r="2620" s="255" customFormat="1"/>
    <row r="2621" s="255" customFormat="1"/>
    <row r="2622" s="255" customFormat="1"/>
    <row r="2623" s="255" customFormat="1"/>
    <row r="2624" s="255" customFormat="1"/>
    <row r="2625" s="255" customFormat="1"/>
    <row r="2626" s="255" customFormat="1"/>
    <row r="2627" s="255" customFormat="1"/>
    <row r="2628" s="255" customFormat="1"/>
    <row r="2629" s="255" customFormat="1"/>
    <row r="2630" s="255" customFormat="1"/>
    <row r="2631" s="255" customFormat="1"/>
    <row r="2632" s="255" customFormat="1"/>
    <row r="2633" s="255" customFormat="1"/>
    <row r="2634" s="255" customFormat="1"/>
    <row r="2635" s="255" customFormat="1"/>
    <row r="2636" s="255" customFormat="1"/>
    <row r="2637" s="255" customFormat="1"/>
    <row r="2638" s="255" customFormat="1"/>
    <row r="2639" s="255" customFormat="1"/>
    <row r="2640" s="255" customFormat="1"/>
    <row r="2641" s="255" customFormat="1"/>
    <row r="2642" s="255" customFormat="1"/>
    <row r="2643" s="255" customFormat="1"/>
    <row r="2644" s="255" customFormat="1"/>
    <row r="2645" s="255" customFormat="1"/>
    <row r="2646" s="255" customFormat="1"/>
    <row r="2647" s="255" customFormat="1"/>
    <row r="2648" s="255" customFormat="1"/>
    <row r="2649" s="255" customFormat="1"/>
    <row r="2650" s="255" customFormat="1"/>
    <row r="2651" s="255" customFormat="1"/>
    <row r="2652" s="255" customFormat="1"/>
    <row r="2653" s="255" customFormat="1"/>
    <row r="2654" s="255" customFormat="1"/>
    <row r="2655" s="255" customFormat="1"/>
    <row r="2656" s="255" customFormat="1"/>
    <row r="2657" s="255" customFormat="1"/>
    <row r="2658" s="255" customFormat="1"/>
    <row r="2659" s="255" customFormat="1"/>
    <row r="2660" s="255" customFormat="1"/>
    <row r="2661" s="255" customFormat="1"/>
    <row r="2662" s="255" customFormat="1"/>
    <row r="2663" s="255" customFormat="1"/>
    <row r="2664" s="255" customFormat="1"/>
    <row r="2665" s="255" customFormat="1"/>
    <row r="2666" s="255" customFormat="1"/>
    <row r="2667" s="255" customFormat="1"/>
    <row r="2668" s="255" customFormat="1"/>
    <row r="2669" s="255" customFormat="1"/>
    <row r="2670" s="255" customFormat="1"/>
    <row r="2671" s="255" customFormat="1"/>
    <row r="2672" s="255" customFormat="1"/>
    <row r="2673" s="255" customFormat="1"/>
    <row r="2674" s="255" customFormat="1"/>
    <row r="2675" s="255" customFormat="1"/>
    <row r="2676" s="255" customFormat="1"/>
    <row r="2677" s="255" customFormat="1"/>
    <row r="2678" s="255" customFormat="1"/>
    <row r="2679" s="255" customFormat="1"/>
    <row r="2680" s="255" customFormat="1"/>
    <row r="2681" s="255" customFormat="1"/>
    <row r="2682" s="255" customFormat="1"/>
    <row r="2683" s="255" customFormat="1"/>
    <row r="2684" s="255" customFormat="1"/>
    <row r="2685" s="255" customFormat="1"/>
    <row r="2686" s="255" customFormat="1"/>
    <row r="2687" s="255" customFormat="1"/>
    <row r="2688" s="255" customFormat="1"/>
    <row r="2689" s="255" customFormat="1"/>
    <row r="2690" s="255" customFormat="1"/>
    <row r="2691" s="255" customFormat="1"/>
    <row r="2692" s="255" customFormat="1"/>
    <row r="2693" s="255" customFormat="1"/>
    <row r="2694" s="255" customFormat="1"/>
    <row r="2695" s="255" customFormat="1"/>
    <row r="2696" s="255" customFormat="1"/>
    <row r="2697" s="255" customFormat="1"/>
    <row r="2698" s="255" customFormat="1"/>
    <row r="2699" s="255" customFormat="1"/>
    <row r="2700" s="255" customFormat="1"/>
    <row r="2701" s="255" customFormat="1"/>
    <row r="2702" s="255" customFormat="1"/>
    <row r="2703" s="255" customFormat="1"/>
    <row r="2704" s="255" customFormat="1"/>
    <row r="2705" s="255" customFormat="1"/>
    <row r="2706" s="255" customFormat="1"/>
    <row r="2707" s="255" customFormat="1"/>
    <row r="2708" s="255" customFormat="1"/>
    <row r="2709" s="255" customFormat="1"/>
    <row r="2710" s="255" customFormat="1"/>
    <row r="2711" s="255" customFormat="1"/>
    <row r="2712" s="255" customFormat="1"/>
    <row r="2713" s="255" customFormat="1"/>
    <row r="2714" s="255" customFormat="1"/>
    <row r="2715" s="255" customFormat="1"/>
    <row r="2716" s="255" customFormat="1"/>
    <row r="2717" s="255" customFormat="1"/>
    <row r="2718" s="255" customFormat="1"/>
    <row r="2719" s="255" customFormat="1"/>
    <row r="2720" s="255" customFormat="1"/>
    <row r="2721" s="255" customFormat="1"/>
    <row r="2722" s="255" customFormat="1"/>
    <row r="2723" s="255" customFormat="1"/>
    <row r="2724" s="255" customFormat="1"/>
    <row r="2725" s="255" customFormat="1"/>
    <row r="2726" s="255" customFormat="1"/>
    <row r="2727" s="255" customFormat="1"/>
    <row r="2728" s="255" customFormat="1"/>
    <row r="2729" s="255" customFormat="1"/>
    <row r="2730" s="255" customFormat="1"/>
    <row r="2731" s="255" customFormat="1"/>
    <row r="2732" s="255" customFormat="1"/>
    <row r="2733" s="255" customFormat="1"/>
    <row r="2734" s="255" customFormat="1"/>
    <row r="2735" s="255" customFormat="1"/>
    <row r="2736" s="255" customFormat="1"/>
    <row r="2737" s="255" customFormat="1"/>
    <row r="2738" s="255" customFormat="1"/>
    <row r="2739" s="255" customFormat="1"/>
    <row r="2740" s="255" customFormat="1"/>
    <row r="2741" s="255" customFormat="1"/>
    <row r="2742" s="255" customFormat="1"/>
    <row r="2743" s="255" customFormat="1"/>
    <row r="2744" s="255" customFormat="1"/>
    <row r="2745" s="255" customFormat="1"/>
    <row r="2746" s="255" customFormat="1"/>
    <row r="2747" s="255" customFormat="1"/>
    <row r="2748" s="255" customFormat="1"/>
    <row r="2749" s="255" customFormat="1"/>
    <row r="2750" s="255" customFormat="1"/>
    <row r="2751" s="255" customFormat="1"/>
    <row r="2752" s="255" customFormat="1"/>
    <row r="2753" s="255" customFormat="1"/>
    <row r="2754" s="255" customFormat="1"/>
    <row r="2755" s="255" customFormat="1"/>
    <row r="2756" s="255" customFormat="1"/>
    <row r="2757" s="255" customFormat="1"/>
    <row r="2758" s="255" customFormat="1"/>
    <row r="2759" s="255" customFormat="1"/>
    <row r="2760" s="255" customFormat="1"/>
    <row r="2761" s="255" customFormat="1"/>
    <row r="2762" s="255" customFormat="1"/>
    <row r="2763" s="255" customFormat="1"/>
    <row r="2764" s="255" customFormat="1"/>
    <row r="2765" s="255" customFormat="1"/>
    <row r="2766" s="255" customFormat="1"/>
    <row r="2767" s="255" customFormat="1"/>
    <row r="2768" s="255" customFormat="1"/>
    <row r="2769" s="255" customFormat="1"/>
    <row r="2770" s="255" customFormat="1"/>
    <row r="2771" s="255" customFormat="1"/>
    <row r="2772" s="255" customFormat="1"/>
    <row r="2773" s="255" customFormat="1"/>
    <row r="2774" s="255" customFormat="1"/>
    <row r="2775" s="255" customFormat="1"/>
    <row r="2776" s="255" customFormat="1"/>
    <row r="2777" s="255" customFormat="1"/>
    <row r="2778" s="255" customFormat="1"/>
    <row r="2779" s="255" customFormat="1"/>
    <row r="2780" s="255" customFormat="1"/>
    <row r="2781" s="255" customFormat="1"/>
    <row r="2782" s="255" customFormat="1"/>
    <row r="2783" s="255" customFormat="1"/>
    <row r="2784" s="255" customFormat="1"/>
    <row r="2785" s="255" customFormat="1"/>
    <row r="2786" s="255" customFormat="1"/>
    <row r="2787" s="255" customFormat="1"/>
    <row r="2788" s="255" customFormat="1"/>
    <row r="2789" s="255" customFormat="1"/>
    <row r="2790" s="255" customFormat="1"/>
    <row r="2791" s="255" customFormat="1"/>
    <row r="2792" s="255" customFormat="1"/>
    <row r="2793" s="255" customFormat="1"/>
    <row r="2794" s="255" customFormat="1"/>
    <row r="2795" s="255" customFormat="1"/>
    <row r="2796" s="255" customFormat="1"/>
    <row r="2797" s="255" customFormat="1"/>
    <row r="2798" s="255" customFormat="1"/>
    <row r="2799" s="255" customFormat="1"/>
    <row r="2800" s="255" customFormat="1"/>
    <row r="2801" s="255" customFormat="1"/>
    <row r="2802" s="255" customFormat="1"/>
    <row r="2803" s="255" customFormat="1"/>
    <row r="2804" s="255" customFormat="1"/>
    <row r="2805" s="255" customFormat="1"/>
    <row r="2806" s="255" customFormat="1"/>
    <row r="2807" s="255" customFormat="1"/>
    <row r="2808" s="255" customFormat="1"/>
    <row r="2809" s="255" customFormat="1"/>
    <row r="2810" s="255" customFormat="1"/>
    <row r="2811" s="255" customFormat="1"/>
    <row r="2812" s="255" customFormat="1"/>
    <row r="2813" s="255" customFormat="1"/>
    <row r="2814" s="255" customFormat="1"/>
    <row r="2815" s="255" customFormat="1"/>
    <row r="2816" s="255" customFormat="1"/>
    <row r="2817" s="255" customFormat="1"/>
    <row r="2818" s="255" customFormat="1"/>
    <row r="2819" s="255" customFormat="1"/>
    <row r="2820" s="255" customFormat="1"/>
    <row r="2821" s="255" customFormat="1"/>
    <row r="2822" s="255" customFormat="1"/>
    <row r="2823" s="255" customFormat="1"/>
    <row r="2824" s="255" customFormat="1"/>
    <row r="2825" s="255" customFormat="1"/>
    <row r="2826" s="255" customFormat="1"/>
    <row r="2827" s="255" customFormat="1"/>
    <row r="2828" s="255" customFormat="1"/>
    <row r="2829" s="255" customFormat="1"/>
    <row r="2830" s="255" customFormat="1"/>
    <row r="2831" s="255" customFormat="1"/>
    <row r="2832" s="255" customFormat="1"/>
    <row r="2833" s="255" customFormat="1"/>
    <row r="2834" s="255" customFormat="1"/>
    <row r="2835" s="255" customFormat="1"/>
    <row r="2836" s="255" customFormat="1"/>
    <row r="2837" s="255" customFormat="1"/>
    <row r="2838" s="255" customFormat="1"/>
    <row r="2839" s="255" customFormat="1"/>
    <row r="2840" s="255" customFormat="1"/>
    <row r="2841" s="255" customFormat="1"/>
    <row r="2842" s="255" customFormat="1"/>
    <row r="2843" s="255" customFormat="1"/>
    <row r="2844" s="255" customFormat="1"/>
    <row r="2845" s="255" customFormat="1"/>
    <row r="2846" s="255" customFormat="1"/>
    <row r="2847" s="255" customFormat="1"/>
    <row r="2848" s="255" customFormat="1"/>
    <row r="2849" s="255" customFormat="1"/>
    <row r="2850" s="255" customFormat="1"/>
    <row r="2851" s="255" customFormat="1"/>
    <row r="2852" s="255" customFormat="1"/>
    <row r="2853" s="255" customFormat="1"/>
    <row r="2854" s="255" customFormat="1"/>
    <row r="2855" s="255" customFormat="1"/>
    <row r="2856" s="255" customFormat="1"/>
    <row r="2857" s="255" customFormat="1"/>
    <row r="2858" s="255" customFormat="1"/>
    <row r="2859" s="255" customFormat="1"/>
    <row r="2860" s="255" customFormat="1"/>
    <row r="2861" s="255" customFormat="1"/>
    <row r="2862" s="255" customFormat="1"/>
    <row r="2863" s="255" customFormat="1"/>
    <row r="2864" s="255" customFormat="1"/>
    <row r="2865" s="255" customFormat="1"/>
    <row r="2866" s="255" customFormat="1"/>
    <row r="2867" s="255" customFormat="1"/>
    <row r="2868" s="255" customFormat="1"/>
    <row r="2869" s="255" customFormat="1"/>
    <row r="2870" s="255" customFormat="1"/>
    <row r="2871" s="255" customFormat="1"/>
    <row r="2872" s="255" customFormat="1"/>
    <row r="2873" s="255" customFormat="1"/>
    <row r="2874" s="255" customFormat="1"/>
    <row r="2875" s="255" customFormat="1"/>
    <row r="2876" s="255" customFormat="1"/>
    <row r="2877" s="255" customFormat="1"/>
    <row r="2878" s="255" customFormat="1"/>
    <row r="2879" s="255" customFormat="1"/>
    <row r="2880" s="255" customFormat="1"/>
    <row r="2881" s="255" customFormat="1"/>
    <row r="2882" s="255" customFormat="1"/>
    <row r="2883" s="255" customFormat="1"/>
    <row r="2884" s="255" customFormat="1"/>
    <row r="2885" s="255" customFormat="1"/>
    <row r="2886" s="255" customFormat="1"/>
    <row r="2887" s="255" customFormat="1"/>
    <row r="2888" s="255" customFormat="1"/>
    <row r="2889" s="255" customFormat="1"/>
    <row r="2890" s="255" customFormat="1"/>
    <row r="2891" s="255" customFormat="1"/>
    <row r="2892" s="255" customFormat="1"/>
    <row r="2893" s="255" customFormat="1"/>
    <row r="2894" s="255" customFormat="1"/>
    <row r="2895" s="255" customFormat="1"/>
    <row r="2896" s="255" customFormat="1"/>
    <row r="2897" s="255" customFormat="1"/>
    <row r="2898" s="255" customFormat="1"/>
    <row r="2899" s="255" customFormat="1"/>
    <row r="2900" s="255" customFormat="1"/>
    <row r="2901" s="255" customFormat="1"/>
    <row r="2902" s="255" customFormat="1"/>
    <row r="2903" s="255" customFormat="1"/>
    <row r="2904" s="255" customFormat="1"/>
    <row r="2905" s="255" customFormat="1"/>
    <row r="2906" s="255" customFormat="1"/>
    <row r="2907" s="255" customFormat="1"/>
    <row r="2908" s="255" customFormat="1"/>
    <row r="2909" s="255" customFormat="1"/>
    <row r="2910" s="255" customFormat="1"/>
    <row r="2911" s="255" customFormat="1"/>
    <row r="2912" s="255" customFormat="1"/>
    <row r="2913" s="255" customFormat="1"/>
    <row r="2914" s="255" customFormat="1"/>
    <row r="2915" s="255" customFormat="1"/>
    <row r="2916" s="255" customFormat="1"/>
    <row r="2917" s="255" customFormat="1"/>
    <row r="2918" s="255" customFormat="1"/>
    <row r="2919" s="255" customFormat="1"/>
    <row r="2920" s="255" customFormat="1"/>
    <row r="2921" s="255" customFormat="1"/>
    <row r="2922" s="255" customFormat="1"/>
    <row r="2923" s="255" customFormat="1"/>
    <row r="2924" s="255" customFormat="1"/>
    <row r="2925" s="255" customFormat="1"/>
    <row r="2926" s="255" customFormat="1"/>
    <row r="2927" s="255" customFormat="1"/>
    <row r="2928" s="255" customFormat="1"/>
    <row r="2929" s="255" customFormat="1"/>
    <row r="2930" s="255" customFormat="1"/>
    <row r="2931" s="255" customFormat="1"/>
    <row r="2932" s="255" customFormat="1"/>
    <row r="2933" s="255" customFormat="1"/>
    <row r="2934" s="255" customFormat="1"/>
    <row r="2935" s="255" customFormat="1"/>
    <row r="2936" s="255" customFormat="1"/>
    <row r="2937" s="255" customFormat="1"/>
    <row r="2938" s="255" customFormat="1"/>
    <row r="2939" s="255" customFormat="1"/>
    <row r="2940" s="255" customFormat="1"/>
    <row r="2941" s="255" customFormat="1"/>
    <row r="2942" s="255" customFormat="1"/>
    <row r="2943" s="255" customFormat="1"/>
    <row r="2944" s="255" customFormat="1"/>
    <row r="2945" s="255" customFormat="1"/>
    <row r="2946" s="255" customFormat="1"/>
    <row r="2947" s="255" customFormat="1"/>
    <row r="2948" s="255" customFormat="1"/>
    <row r="2949" s="255" customFormat="1"/>
    <row r="2950" s="255" customFormat="1"/>
    <row r="2951" s="255" customFormat="1"/>
    <row r="2952" s="255" customFormat="1"/>
    <row r="2953" s="255" customFormat="1"/>
    <row r="2954" s="255" customFormat="1"/>
    <row r="2955" s="255" customFormat="1"/>
    <row r="2956" s="255" customFormat="1"/>
    <row r="2957" s="255" customFormat="1"/>
    <row r="2958" s="255" customFormat="1"/>
    <row r="2959" s="255" customFormat="1"/>
    <row r="2960" s="255" customFormat="1"/>
    <row r="2961" s="255" customFormat="1"/>
    <row r="2962" s="255" customFormat="1"/>
    <row r="2963" s="255" customFormat="1"/>
    <row r="2964" s="255" customFormat="1"/>
    <row r="2965" s="255" customFormat="1"/>
    <row r="2966" s="255" customFormat="1"/>
    <row r="2967" s="255" customFormat="1"/>
    <row r="2968" s="255" customFormat="1"/>
    <row r="2969" s="255" customFormat="1"/>
    <row r="2970" s="255" customFormat="1"/>
    <row r="2971" s="255" customFormat="1"/>
    <row r="2972" s="255" customFormat="1"/>
    <row r="2973" s="255" customFormat="1"/>
    <row r="2974" s="255" customFormat="1"/>
    <row r="2975" s="255" customFormat="1"/>
    <row r="2976" s="255" customFormat="1"/>
    <row r="2977" s="255" customFormat="1"/>
    <row r="2978" s="255" customFormat="1"/>
    <row r="2979" s="255" customFormat="1"/>
    <row r="2980" s="255" customFormat="1"/>
    <row r="2981" s="255" customFormat="1"/>
    <row r="2982" s="255" customFormat="1"/>
    <row r="2983" s="255" customFormat="1"/>
    <row r="2984" s="255" customFormat="1"/>
    <row r="2985" s="255" customFormat="1"/>
    <row r="2986" s="255" customFormat="1"/>
    <row r="2987" s="255" customFormat="1"/>
    <row r="2988" s="255" customFormat="1"/>
    <row r="2989" s="255" customFormat="1"/>
    <row r="2990" s="255" customFormat="1"/>
    <row r="2991" s="255" customFormat="1"/>
    <row r="2992" s="255" customFormat="1"/>
    <row r="2993" s="255" customFormat="1"/>
    <row r="2994" s="255" customFormat="1"/>
    <row r="2995" s="255" customFormat="1"/>
    <row r="2996" s="255" customFormat="1"/>
    <row r="2997" s="255" customFormat="1"/>
    <row r="2998" s="255" customFormat="1"/>
    <row r="2999" s="255" customFormat="1"/>
    <row r="3000" s="255" customFormat="1"/>
    <row r="3001" s="255" customFormat="1"/>
    <row r="3002" s="255" customFormat="1"/>
    <row r="3003" s="255" customFormat="1"/>
    <row r="3004" s="255" customFormat="1"/>
    <row r="3005" s="255" customFormat="1"/>
    <row r="3006" s="255" customFormat="1"/>
    <row r="3007" s="255" customFormat="1"/>
    <row r="3008" s="255" customFormat="1"/>
    <row r="3009" s="255" customFormat="1"/>
    <row r="3010" s="255" customFormat="1"/>
    <row r="3011" s="255" customFormat="1"/>
    <row r="3012" s="255" customFormat="1"/>
    <row r="3013" s="255" customFormat="1"/>
    <row r="3014" s="255" customFormat="1"/>
    <row r="3015" s="255" customFormat="1"/>
    <row r="3016" s="255" customFormat="1"/>
    <row r="3017" s="255" customFormat="1"/>
    <row r="3018" s="255" customFormat="1"/>
    <row r="3019" s="255" customFormat="1"/>
    <row r="3020" s="255" customFormat="1"/>
    <row r="3021" s="255" customFormat="1"/>
    <row r="3022" s="255" customFormat="1"/>
    <row r="3023" s="255" customFormat="1"/>
    <row r="3024" s="255" customFormat="1"/>
    <row r="3025" s="255" customFormat="1"/>
    <row r="3026" s="255" customFormat="1"/>
    <row r="3027" s="255" customFormat="1"/>
    <row r="3028" s="255" customFormat="1"/>
    <row r="3029" s="255" customFormat="1"/>
    <row r="3030" s="255" customFormat="1"/>
    <row r="3031" s="255" customFormat="1"/>
    <row r="3032" s="255" customFormat="1"/>
    <row r="3033" s="255" customFormat="1"/>
    <row r="3034" s="255" customFormat="1"/>
    <row r="3035" s="255" customFormat="1"/>
    <row r="3036" s="255" customFormat="1"/>
    <row r="3037" s="255" customFormat="1"/>
    <row r="3038" s="255" customFormat="1"/>
    <row r="3039" s="255" customFormat="1"/>
    <row r="3040" s="255" customFormat="1"/>
    <row r="3041" s="255" customFormat="1"/>
    <row r="3042" s="255" customFormat="1"/>
    <row r="3043" s="255" customFormat="1"/>
    <row r="3044" s="255" customFormat="1"/>
    <row r="3045" s="255" customFormat="1"/>
    <row r="3046" s="255" customFormat="1"/>
    <row r="3047" s="255" customFormat="1"/>
    <row r="3048" s="255" customFormat="1"/>
    <row r="3049" s="255" customFormat="1"/>
    <row r="3050" s="255" customFormat="1"/>
    <row r="3051" s="255" customFormat="1"/>
    <row r="3052" s="255" customFormat="1"/>
    <row r="3053" s="255" customFormat="1"/>
    <row r="3054" s="255" customFormat="1"/>
    <row r="3055" s="255" customFormat="1"/>
    <row r="3056" s="255" customFormat="1"/>
    <row r="3057" s="255" customFormat="1"/>
    <row r="3058" s="255" customFormat="1"/>
    <row r="3059" s="255" customFormat="1"/>
    <row r="3060" s="255" customFormat="1"/>
    <row r="3061" s="255" customFormat="1"/>
    <row r="3062" s="255" customFormat="1"/>
    <row r="3063" s="255" customFormat="1"/>
    <row r="3064" s="255" customFormat="1"/>
    <row r="3065" s="255" customFormat="1"/>
    <row r="3066" s="255" customFormat="1"/>
    <row r="3067" s="255" customFormat="1"/>
    <row r="3068" s="255" customFormat="1"/>
    <row r="3069" s="255" customFormat="1"/>
    <row r="3070" s="255" customFormat="1"/>
    <row r="3071" s="255" customFormat="1"/>
    <row r="3072" s="255" customFormat="1"/>
    <row r="3073" s="255" customFormat="1"/>
    <row r="3074" s="255" customFormat="1"/>
    <row r="3075" s="255" customFormat="1"/>
    <row r="3076" s="255" customFormat="1"/>
    <row r="3077" s="255" customFormat="1"/>
    <row r="3078" s="255" customFormat="1"/>
    <row r="3079" s="255" customFormat="1"/>
    <row r="3080" s="255" customFormat="1"/>
    <row r="3081" s="255" customFormat="1"/>
    <row r="3082" s="255" customFormat="1"/>
    <row r="3083" s="255" customFormat="1"/>
    <row r="3084" s="255" customFormat="1"/>
    <row r="3085" s="255" customFormat="1"/>
    <row r="3086" s="255" customFormat="1"/>
    <row r="3087" s="255" customFormat="1"/>
    <row r="3088" s="255" customFormat="1"/>
    <row r="3089" s="255" customFormat="1"/>
    <row r="3090" s="255" customFormat="1"/>
    <row r="3091" s="255" customFormat="1"/>
    <row r="3092" s="255" customFormat="1"/>
    <row r="3093" s="255" customFormat="1"/>
    <row r="3094" s="255" customFormat="1"/>
    <row r="3095" s="255" customFormat="1"/>
    <row r="3096" s="255" customFormat="1"/>
    <row r="3097" s="255" customFormat="1"/>
    <row r="3098" s="255" customFormat="1"/>
    <row r="3099" s="255" customFormat="1"/>
    <row r="3100" s="255" customFormat="1"/>
    <row r="3101" s="255" customFormat="1"/>
    <row r="3102" s="255" customFormat="1"/>
    <row r="3103" s="255" customFormat="1"/>
    <row r="3104" s="255" customFormat="1"/>
    <row r="3105" s="255" customFormat="1"/>
    <row r="3106" s="255" customFormat="1"/>
    <row r="3107" s="255" customFormat="1"/>
    <row r="3108" s="255" customFormat="1"/>
    <row r="3109" s="255" customFormat="1"/>
    <row r="3110" s="255" customFormat="1"/>
    <row r="3111" s="255" customFormat="1"/>
    <row r="3112" s="255" customFormat="1"/>
    <row r="3113" s="255" customFormat="1"/>
    <row r="3114" s="255" customFormat="1"/>
    <row r="3115" s="255" customFormat="1"/>
    <row r="3116" s="255" customFormat="1"/>
    <row r="3117" s="255" customFormat="1"/>
    <row r="3118" s="255" customFormat="1"/>
    <row r="3119" s="255" customFormat="1"/>
    <row r="3120" s="255" customFormat="1"/>
    <row r="3121" s="255" customFormat="1"/>
    <row r="3122" s="255" customFormat="1"/>
    <row r="3123" s="255" customFormat="1"/>
    <row r="3124" s="255" customFormat="1"/>
    <row r="3125" s="255" customFormat="1"/>
    <row r="3126" s="255" customFormat="1"/>
    <row r="3127" s="255" customFormat="1"/>
    <row r="3128" s="255" customFormat="1"/>
    <row r="3129" s="255" customFormat="1"/>
    <row r="3130" s="255" customFormat="1"/>
    <row r="3131" s="255" customFormat="1"/>
    <row r="3132" s="255" customFormat="1"/>
    <row r="3133" s="255" customFormat="1"/>
    <row r="3134" s="255" customFormat="1"/>
    <row r="3135" s="255" customFormat="1"/>
    <row r="3136" s="255" customFormat="1"/>
    <row r="3137" s="255" customFormat="1"/>
    <row r="3138" s="255" customFormat="1"/>
    <row r="3139" s="255" customFormat="1"/>
    <row r="3140" s="255" customFormat="1"/>
    <row r="3141" s="255" customFormat="1"/>
    <row r="3142" s="255" customFormat="1"/>
    <row r="3143" s="255" customFormat="1"/>
    <row r="3144" s="255" customFormat="1"/>
    <row r="3145" s="255" customFormat="1"/>
    <row r="3146" s="255" customFormat="1"/>
    <row r="3147" s="255" customFormat="1"/>
    <row r="3148" s="255" customFormat="1"/>
    <row r="3149" s="255" customFormat="1"/>
    <row r="3150" s="255" customFormat="1"/>
    <row r="3151" s="255" customFormat="1"/>
    <row r="3152" s="255" customFormat="1"/>
    <row r="3153" s="255" customFormat="1"/>
    <row r="3154" s="255" customFormat="1"/>
    <row r="3155" s="255" customFormat="1"/>
    <row r="3156" s="255" customFormat="1"/>
    <row r="3157" s="255" customFormat="1"/>
    <row r="3158" s="255" customFormat="1"/>
    <row r="3159" s="255" customFormat="1"/>
    <row r="3160" s="255" customFormat="1"/>
    <row r="3161" s="255" customFormat="1"/>
    <row r="3162" s="255" customFormat="1"/>
    <row r="3163" s="255" customFormat="1"/>
    <row r="3164" s="255" customFormat="1"/>
    <row r="3165" s="255" customFormat="1"/>
    <row r="3166" s="255" customFormat="1"/>
    <row r="3167" s="255" customFormat="1"/>
    <row r="3168" s="255" customFormat="1"/>
    <row r="3169" s="255" customFormat="1"/>
    <row r="3170" s="255" customFormat="1"/>
    <row r="3171" s="255" customFormat="1"/>
    <row r="3172" s="255" customFormat="1"/>
    <row r="3173" s="255" customFormat="1"/>
    <row r="3174" s="255" customFormat="1"/>
    <row r="3175" s="255" customFormat="1"/>
    <row r="3176" s="255" customFormat="1"/>
    <row r="3177" s="255" customFormat="1"/>
    <row r="3178" s="255" customFormat="1"/>
    <row r="3179" s="255" customFormat="1"/>
    <row r="3180" s="255" customFormat="1"/>
    <row r="3181" s="255" customFormat="1"/>
    <row r="3182" s="255" customFormat="1"/>
    <row r="3183" s="255" customFormat="1"/>
    <row r="3184" s="255" customFormat="1"/>
    <row r="3185" s="255" customFormat="1"/>
    <row r="3186" s="255" customFormat="1"/>
    <row r="3187" s="255" customFormat="1"/>
    <row r="3188" s="255" customFormat="1"/>
    <row r="3189" s="255" customFormat="1"/>
    <row r="3190" s="255" customFormat="1"/>
    <row r="3191" s="255" customFormat="1"/>
    <row r="3192" s="255" customFormat="1"/>
    <row r="3193" s="255" customFormat="1"/>
    <row r="3194" s="255" customFormat="1"/>
    <row r="3195" s="255" customFormat="1"/>
    <row r="3196" s="255" customFormat="1"/>
    <row r="3197" s="255" customFormat="1"/>
    <row r="3198" s="255" customFormat="1"/>
    <row r="3199" s="255" customFormat="1"/>
    <row r="3200" s="255" customFormat="1"/>
    <row r="3201" s="255" customFormat="1"/>
    <row r="3202" s="255" customFormat="1"/>
    <row r="3203" s="255" customFormat="1"/>
    <row r="3204" s="255" customFormat="1"/>
    <row r="3205" s="255" customFormat="1"/>
    <row r="3206" s="255" customFormat="1"/>
    <row r="3207" s="255" customFormat="1"/>
    <row r="3208" s="255" customFormat="1"/>
    <row r="3209" s="255" customFormat="1"/>
    <row r="3210" s="255" customFormat="1"/>
    <row r="3211" s="255" customFormat="1"/>
    <row r="3212" s="255" customFormat="1"/>
    <row r="3213" s="255" customFormat="1"/>
    <row r="3214" s="255" customFormat="1"/>
    <row r="3215" s="255" customFormat="1"/>
    <row r="3216" s="255" customFormat="1"/>
    <row r="3217" s="255" customFormat="1"/>
    <row r="3218" s="255" customFormat="1"/>
    <row r="3219" s="255" customFormat="1"/>
    <row r="3220" s="255" customFormat="1"/>
    <row r="3221" s="255" customFormat="1"/>
    <row r="3222" s="255" customFormat="1"/>
    <row r="3223" s="255" customFormat="1"/>
    <row r="3224" s="255" customFormat="1"/>
    <row r="3225" s="255" customFormat="1"/>
    <row r="3226" s="255" customFormat="1"/>
    <row r="3227" s="255" customFormat="1"/>
    <row r="3228" s="255" customFormat="1"/>
    <row r="3229" s="255" customFormat="1"/>
    <row r="3230" s="255" customFormat="1"/>
    <row r="3231" s="255" customFormat="1"/>
    <row r="3232" s="255" customFormat="1"/>
    <row r="3233" s="255" customFormat="1"/>
    <row r="3234" s="255" customFormat="1"/>
    <row r="3235" s="255" customFormat="1"/>
    <row r="3236" s="255" customFormat="1"/>
    <row r="3237" s="255" customFormat="1"/>
    <row r="3238" s="255" customFormat="1"/>
    <row r="3239" s="255" customFormat="1"/>
    <row r="3240" s="255" customFormat="1"/>
    <row r="3241" s="255" customFormat="1"/>
    <row r="3242" s="255" customFormat="1"/>
    <row r="3243" s="255" customFormat="1"/>
    <row r="3244" s="255" customFormat="1"/>
    <row r="3245" s="255" customFormat="1"/>
    <row r="3246" s="255" customFormat="1"/>
    <row r="3247" s="255" customFormat="1"/>
    <row r="3248" s="255" customFormat="1"/>
    <row r="3249" s="255" customFormat="1"/>
    <row r="3250" s="255" customFormat="1"/>
    <row r="3251" s="255" customFormat="1"/>
    <row r="3252" s="255" customFormat="1"/>
    <row r="3253" s="255" customFormat="1"/>
    <row r="3254" s="255" customFormat="1"/>
    <row r="3255" s="255" customFormat="1"/>
    <row r="3256" s="255" customFormat="1"/>
    <row r="3257" s="255" customFormat="1"/>
    <row r="3258" s="255" customFormat="1"/>
    <row r="3259" s="255" customFormat="1"/>
    <row r="3260" s="255" customFormat="1"/>
    <row r="3261" s="255" customFormat="1"/>
    <row r="3262" s="255" customFormat="1"/>
    <row r="3263" s="255" customFormat="1"/>
    <row r="3264" s="255" customFormat="1"/>
    <row r="3265" s="255" customFormat="1"/>
    <row r="3266" s="255" customFormat="1"/>
    <row r="3267" s="255" customFormat="1"/>
    <row r="3268" s="255" customFormat="1"/>
    <row r="3269" s="255" customFormat="1"/>
    <row r="3270" s="255" customFormat="1"/>
    <row r="3271" s="255" customFormat="1"/>
    <row r="3272" s="255" customFormat="1"/>
    <row r="3273" s="255" customFormat="1"/>
    <row r="3274" s="255" customFormat="1"/>
    <row r="3275" s="255" customFormat="1"/>
    <row r="3276" s="255" customFormat="1"/>
    <row r="3277" s="255" customFormat="1"/>
    <row r="3278" s="255" customFormat="1"/>
    <row r="3279" s="255" customFormat="1"/>
    <row r="3280" s="255" customFormat="1"/>
    <row r="3281" s="255" customFormat="1"/>
    <row r="3282" s="255" customFormat="1"/>
    <row r="3283" s="255" customFormat="1"/>
    <row r="3284" s="255" customFormat="1"/>
    <row r="3285" s="255" customFormat="1"/>
    <row r="3286" s="255" customFormat="1"/>
    <row r="3287" s="255" customFormat="1"/>
    <row r="3288" s="255" customFormat="1"/>
    <row r="3289" s="255" customFormat="1"/>
    <row r="3290" s="255" customFormat="1"/>
    <row r="3291" s="255" customFormat="1"/>
    <row r="3292" s="255" customFormat="1"/>
    <row r="3293" s="255" customFormat="1"/>
    <row r="3294" s="255" customFormat="1"/>
    <row r="3295" s="255" customFormat="1"/>
    <row r="3296" s="255" customFormat="1"/>
    <row r="3297" s="255" customFormat="1"/>
    <row r="3298" s="255" customFormat="1"/>
    <row r="3299" s="255" customFormat="1"/>
    <row r="3300" s="255" customFormat="1"/>
    <row r="3301" s="255" customFormat="1"/>
    <row r="3302" s="255" customFormat="1"/>
    <row r="3303" s="255" customFormat="1"/>
    <row r="3304" s="255" customFormat="1"/>
    <row r="3305" s="255" customFormat="1"/>
    <row r="3306" s="255" customFormat="1"/>
    <row r="3307" s="255" customFormat="1"/>
    <row r="3308" s="255" customFormat="1"/>
    <row r="3309" s="255" customFormat="1"/>
    <row r="3310" s="255" customFormat="1"/>
    <row r="3311" s="255" customFormat="1"/>
    <row r="3312" s="255" customFormat="1"/>
    <row r="3313" s="255" customFormat="1"/>
    <row r="3314" s="255" customFormat="1"/>
    <row r="3315" s="255" customFormat="1"/>
    <row r="3316" s="255" customFormat="1"/>
    <row r="3317" s="255" customFormat="1"/>
    <row r="3318" s="255" customFormat="1"/>
    <row r="3319" s="255" customFormat="1"/>
    <row r="3320" s="255" customFormat="1"/>
    <row r="3321" s="255" customFormat="1"/>
    <row r="3322" s="255" customFormat="1"/>
    <row r="3323" s="255" customFormat="1"/>
    <row r="3324" s="255" customFormat="1"/>
    <row r="3325" s="255" customFormat="1"/>
    <row r="3326" s="255" customFormat="1"/>
    <row r="3327" s="255" customFormat="1"/>
    <row r="3328" s="255" customFormat="1"/>
    <row r="3329" s="255" customFormat="1"/>
    <row r="3330" s="255" customFormat="1"/>
    <row r="3331" s="255" customFormat="1"/>
    <row r="3332" s="255" customFormat="1"/>
    <row r="3333" s="255" customFormat="1"/>
    <row r="3334" s="255" customFormat="1"/>
    <row r="3335" s="255" customFormat="1"/>
    <row r="3336" s="255" customFormat="1"/>
    <row r="3337" s="255" customFormat="1"/>
    <row r="3338" s="255" customFormat="1"/>
    <row r="3339" s="255" customFormat="1"/>
    <row r="3340" s="255" customFormat="1"/>
    <row r="3341" s="255" customFormat="1"/>
    <row r="3342" s="255" customFormat="1"/>
    <row r="3343" s="255" customFormat="1"/>
    <row r="3344" s="255" customFormat="1"/>
    <row r="3345" s="255" customFormat="1"/>
    <row r="3346" s="255" customFormat="1"/>
    <row r="3347" s="255" customFormat="1"/>
    <row r="3348" s="255" customFormat="1"/>
    <row r="3349" s="255" customFormat="1"/>
    <row r="3350" s="255" customFormat="1"/>
    <row r="3351" s="255" customFormat="1"/>
    <row r="3352" s="255" customFormat="1"/>
    <row r="3353" s="255" customFormat="1"/>
    <row r="3354" s="255" customFormat="1"/>
    <row r="3355" s="255" customFormat="1"/>
    <row r="3356" s="255" customFormat="1"/>
    <row r="3357" s="255" customFormat="1"/>
    <row r="3358" s="255" customFormat="1"/>
    <row r="3359" s="255" customFormat="1"/>
    <row r="3360" s="255" customFormat="1"/>
    <row r="3361" s="255" customFormat="1"/>
    <row r="3362" s="255" customFormat="1"/>
    <row r="3363" s="255" customFormat="1"/>
    <row r="3364" s="255" customFormat="1"/>
    <row r="3365" s="255" customFormat="1"/>
    <row r="3366" s="255" customFormat="1"/>
    <row r="3367" s="255" customFormat="1"/>
    <row r="3368" s="255" customFormat="1"/>
    <row r="3369" s="255" customFormat="1"/>
    <row r="3370" s="255" customFormat="1"/>
    <row r="3371" s="255" customFormat="1"/>
    <row r="3372" s="255" customFormat="1"/>
    <row r="3373" s="255" customFormat="1"/>
    <row r="3374" s="255" customFormat="1"/>
    <row r="3375" s="255" customFormat="1"/>
    <row r="3376" s="255" customFormat="1"/>
    <row r="3377" s="255" customFormat="1"/>
    <row r="3378" s="255" customFormat="1"/>
    <row r="3379" s="255" customFormat="1"/>
    <row r="3380" s="255" customFormat="1"/>
    <row r="3381" s="255" customFormat="1"/>
    <row r="3382" s="255" customFormat="1"/>
    <row r="3383" s="255" customFormat="1"/>
    <row r="3384" s="255" customFormat="1"/>
    <row r="3385" s="255" customFormat="1"/>
    <row r="3386" s="255" customFormat="1"/>
    <row r="3387" s="255" customFormat="1"/>
    <row r="3388" s="255" customFormat="1"/>
    <row r="3389" s="255" customFormat="1"/>
    <row r="3390" s="255" customFormat="1"/>
    <row r="3391" s="255" customFormat="1"/>
    <row r="3392" s="255" customFormat="1"/>
    <row r="3393" s="255" customFormat="1"/>
    <row r="3394" s="255" customFormat="1"/>
    <row r="3395" s="255" customFormat="1"/>
    <row r="3396" s="255" customFormat="1"/>
    <row r="3397" s="255" customFormat="1"/>
    <row r="3398" s="255" customFormat="1"/>
    <row r="3399" s="255" customFormat="1"/>
    <row r="3400" s="255" customFormat="1"/>
    <row r="3401" s="255" customFormat="1"/>
    <row r="3402" s="255" customFormat="1"/>
    <row r="3403" s="255" customFormat="1"/>
    <row r="3404" s="255" customFormat="1"/>
    <row r="3405" s="255" customFormat="1"/>
    <row r="3406" s="255" customFormat="1"/>
    <row r="3407" s="255" customFormat="1"/>
    <row r="3408" s="255" customFormat="1"/>
    <row r="3409" s="255" customFormat="1"/>
    <row r="3410" s="255" customFormat="1"/>
    <row r="3411" s="255" customFormat="1"/>
    <row r="3412" s="255" customFormat="1"/>
    <row r="3413" s="255" customFormat="1"/>
    <row r="3414" s="255" customFormat="1"/>
    <row r="3415" s="255" customFormat="1"/>
    <row r="3416" s="255" customFormat="1"/>
    <row r="3417" s="255" customFormat="1"/>
    <row r="3418" s="255" customFormat="1"/>
    <row r="3419" s="255" customFormat="1"/>
    <row r="3420" s="255" customFormat="1"/>
    <row r="3421" s="255" customFormat="1"/>
    <row r="3422" s="255" customFormat="1"/>
    <row r="3423" s="255" customFormat="1"/>
    <row r="3424" s="255" customFormat="1"/>
    <row r="3425" s="255" customFormat="1"/>
    <row r="3426" s="255" customFormat="1"/>
    <row r="3427" s="255" customFormat="1"/>
    <row r="3428" s="255" customFormat="1"/>
    <row r="3429" s="255" customFormat="1"/>
    <row r="3430" s="255" customFormat="1"/>
    <row r="3431" s="255" customFormat="1"/>
    <row r="3432" s="255" customFormat="1"/>
    <row r="3433" s="255" customFormat="1"/>
    <row r="3434" s="255" customFormat="1"/>
    <row r="3435" s="255" customFormat="1"/>
    <row r="3436" s="255" customFormat="1"/>
    <row r="3437" s="255" customFormat="1"/>
    <row r="3438" s="255" customFormat="1"/>
    <row r="3439" s="255" customFormat="1"/>
    <row r="3440" s="255" customFormat="1"/>
    <row r="3441" s="255" customFormat="1"/>
    <row r="3442" s="255" customFormat="1"/>
    <row r="3443" s="255" customFormat="1"/>
    <row r="3444" s="255" customFormat="1"/>
    <row r="3445" s="255" customFormat="1"/>
    <row r="3446" s="255" customFormat="1"/>
    <row r="3447" s="255" customFormat="1"/>
    <row r="3448" s="255" customFormat="1"/>
    <row r="3449" s="255" customFormat="1"/>
    <row r="3450" s="255" customFormat="1"/>
    <row r="3451" s="255" customFormat="1"/>
    <row r="3452" s="255" customFormat="1"/>
    <row r="3453" s="255" customFormat="1"/>
    <row r="3454" s="255" customFormat="1"/>
    <row r="3455" s="255" customFormat="1"/>
    <row r="3456" s="255" customFormat="1"/>
    <row r="3457" s="255" customFormat="1"/>
    <row r="3458" s="255" customFormat="1"/>
    <row r="3459" s="255" customFormat="1"/>
    <row r="3460" s="255" customFormat="1"/>
    <row r="3461" s="255" customFormat="1"/>
    <row r="3462" s="255" customFormat="1"/>
    <row r="3463" s="255" customFormat="1"/>
    <row r="3464" s="255" customFormat="1"/>
    <row r="3465" s="255" customFormat="1"/>
    <row r="3466" s="255" customFormat="1"/>
    <row r="3467" s="255" customFormat="1"/>
    <row r="3468" s="255" customFormat="1"/>
    <row r="3469" s="255" customFormat="1"/>
    <row r="3470" s="255" customFormat="1"/>
    <row r="3471" s="255" customFormat="1"/>
    <row r="3472" s="255" customFormat="1"/>
    <row r="3473" s="255" customFormat="1"/>
    <row r="3474" s="255" customFormat="1"/>
    <row r="3475" s="255" customFormat="1"/>
    <row r="3476" s="255" customFormat="1"/>
    <row r="3477" s="255" customFormat="1"/>
    <row r="3478" s="255" customFormat="1"/>
    <row r="3479" s="255" customFormat="1"/>
    <row r="3480" s="255" customFormat="1"/>
    <row r="3481" s="255" customFormat="1"/>
    <row r="3482" s="255" customFormat="1"/>
    <row r="3483" s="255" customFormat="1"/>
    <row r="3484" s="255" customFormat="1"/>
    <row r="3485" s="255" customFormat="1"/>
    <row r="3486" s="255" customFormat="1"/>
    <row r="3487" s="255" customFormat="1"/>
    <row r="3488" s="255" customFormat="1"/>
    <row r="3489" s="255" customFormat="1"/>
    <row r="3490" s="255" customFormat="1"/>
    <row r="3491" s="255" customFormat="1"/>
    <row r="3492" s="255" customFormat="1"/>
    <row r="3493" s="255" customFormat="1"/>
    <row r="3494" s="255" customFormat="1"/>
    <row r="3495" s="255" customFormat="1"/>
    <row r="3496" s="255" customFormat="1"/>
    <row r="3497" s="255" customFormat="1"/>
    <row r="3498" s="255" customFormat="1"/>
    <row r="3499" s="255" customFormat="1"/>
    <row r="3500" s="255" customFormat="1"/>
    <row r="3501" s="255" customFormat="1"/>
    <row r="3502" s="255" customFormat="1"/>
    <row r="3503" s="255" customFormat="1"/>
    <row r="3504" s="255" customFormat="1"/>
    <row r="3505" s="255" customFormat="1"/>
    <row r="3506" s="255" customFormat="1"/>
    <row r="3507" s="255" customFormat="1"/>
    <row r="3508" s="255" customFormat="1"/>
    <row r="3509" s="255" customFormat="1"/>
    <row r="3510" s="255" customFormat="1"/>
    <row r="3511" s="255" customFormat="1"/>
    <row r="3512" s="255" customFormat="1"/>
    <row r="3513" s="255" customFormat="1"/>
    <row r="3514" s="255" customFormat="1"/>
    <row r="3515" s="255" customFormat="1"/>
    <row r="3516" s="255" customFormat="1"/>
    <row r="3517" s="255" customFormat="1"/>
    <row r="3518" s="255" customFormat="1"/>
    <row r="3519" s="255" customFormat="1"/>
    <row r="3520" s="255" customFormat="1"/>
    <row r="3521" s="255" customFormat="1"/>
    <row r="3522" s="255" customFormat="1"/>
    <row r="3523" s="255" customFormat="1"/>
    <row r="3524" s="255" customFormat="1"/>
    <row r="3525" s="255" customFormat="1"/>
    <row r="3526" s="255" customFormat="1"/>
    <row r="3527" s="255" customFormat="1"/>
    <row r="3528" s="255" customFormat="1"/>
    <row r="3529" s="255" customFormat="1"/>
    <row r="3530" s="255" customFormat="1"/>
    <row r="3531" s="255" customFormat="1"/>
    <row r="3532" s="255" customFormat="1"/>
    <row r="3533" s="255" customFormat="1"/>
    <row r="3534" s="255" customFormat="1"/>
    <row r="3535" s="255" customFormat="1"/>
    <row r="3536" s="255" customFormat="1"/>
    <row r="3537" s="255" customFormat="1"/>
    <row r="3538" s="255" customFormat="1"/>
    <row r="3539" s="255" customFormat="1"/>
    <row r="3540" s="255" customFormat="1"/>
    <row r="3541" s="255" customFormat="1"/>
    <row r="3542" s="255" customFormat="1"/>
    <row r="3543" s="255" customFormat="1"/>
    <row r="3544" s="255" customFormat="1"/>
    <row r="3545" s="255" customFormat="1"/>
    <row r="3546" s="255" customFormat="1"/>
    <row r="3547" s="255" customFormat="1"/>
    <row r="3548" s="255" customFormat="1"/>
    <row r="3549" s="255" customFormat="1"/>
    <row r="3550" s="255" customFormat="1"/>
    <row r="3551" s="255" customFormat="1"/>
    <row r="3552" s="255" customFormat="1"/>
    <row r="3553" s="255" customFormat="1"/>
    <row r="3554" s="255" customFormat="1"/>
    <row r="3555" s="255" customFormat="1"/>
    <row r="3556" s="255" customFormat="1"/>
    <row r="3557" s="255" customFormat="1"/>
    <row r="3558" s="255" customFormat="1"/>
    <row r="3559" s="255" customFormat="1"/>
    <row r="3560" s="255" customFormat="1"/>
    <row r="3561" s="255" customFormat="1"/>
    <row r="3562" s="255" customFormat="1"/>
    <row r="3563" s="255" customFormat="1"/>
    <row r="3564" s="255" customFormat="1"/>
    <row r="3565" s="255" customFormat="1"/>
    <row r="3566" s="255" customFormat="1"/>
    <row r="3567" s="255" customFormat="1"/>
    <row r="3568" s="255" customFormat="1"/>
    <row r="3569" s="255" customFormat="1"/>
    <row r="3570" s="255" customFormat="1"/>
    <row r="3571" s="255" customFormat="1"/>
    <row r="3572" s="255" customFormat="1"/>
    <row r="3573" s="255" customFormat="1"/>
    <row r="3574" s="255" customFormat="1"/>
    <row r="3575" s="255" customFormat="1"/>
    <row r="3576" s="255" customFormat="1"/>
    <row r="3577" s="255" customFormat="1"/>
    <row r="3578" s="255" customFormat="1"/>
    <row r="3579" s="255" customFormat="1"/>
    <row r="3580" s="255" customFormat="1"/>
    <row r="3581" s="255" customFormat="1"/>
    <row r="3582" s="255" customFormat="1"/>
    <row r="3583" s="255" customFormat="1"/>
    <row r="3584" s="255" customFormat="1"/>
    <row r="3585" s="255" customFormat="1"/>
    <row r="3586" s="255" customFormat="1"/>
    <row r="3587" s="255" customFormat="1"/>
    <row r="3588" s="255" customFormat="1"/>
    <row r="3589" s="255" customFormat="1"/>
    <row r="3590" s="255" customFormat="1"/>
    <row r="3591" s="255" customFormat="1"/>
    <row r="3592" s="255" customFormat="1"/>
    <row r="3593" s="255" customFormat="1"/>
    <row r="3594" s="255" customFormat="1"/>
    <row r="3595" s="255" customFormat="1"/>
    <row r="3596" s="255" customFormat="1"/>
    <row r="3597" s="255" customFormat="1"/>
    <row r="3598" s="255" customFormat="1"/>
    <row r="3599" s="255" customFormat="1"/>
    <row r="3600" s="255" customFormat="1"/>
    <row r="3601" s="255" customFormat="1"/>
    <row r="3602" s="255" customFormat="1"/>
    <row r="3603" s="255" customFormat="1"/>
    <row r="3604" s="255" customFormat="1"/>
    <row r="3605" s="255" customFormat="1"/>
    <row r="3606" s="255" customFormat="1"/>
    <row r="3607" s="255" customFormat="1"/>
    <row r="3608" s="255" customFormat="1"/>
    <row r="3609" s="255" customFormat="1"/>
    <row r="3610" s="255" customFormat="1"/>
    <row r="3611" s="255" customFormat="1"/>
    <row r="3612" s="255" customFormat="1"/>
    <row r="3613" s="255" customFormat="1"/>
    <row r="3614" s="255" customFormat="1"/>
    <row r="3615" s="255" customFormat="1"/>
    <row r="3616" s="255" customFormat="1"/>
    <row r="3617" s="255" customFormat="1"/>
    <row r="3618" s="255" customFormat="1"/>
    <row r="3619" s="255" customFormat="1"/>
    <row r="3620" s="255" customFormat="1"/>
    <row r="3621" s="255" customFormat="1"/>
    <row r="3622" s="255" customFormat="1"/>
    <row r="3623" s="255" customFormat="1"/>
    <row r="3624" s="255" customFormat="1"/>
    <row r="3625" s="255" customFormat="1"/>
    <row r="3626" s="255" customFormat="1"/>
    <row r="3627" s="255" customFormat="1"/>
    <row r="3628" s="255" customFormat="1"/>
    <row r="3629" s="255" customFormat="1"/>
    <row r="3630" s="255" customFormat="1"/>
    <row r="3631" s="255" customFormat="1"/>
    <row r="3632" s="255" customFormat="1"/>
    <row r="3633" s="255" customFormat="1"/>
    <row r="3634" s="255" customFormat="1"/>
    <row r="3635" s="255" customFormat="1"/>
    <row r="3636" s="255" customFormat="1"/>
    <row r="3637" s="255" customFormat="1"/>
    <row r="3638" s="255" customFormat="1"/>
    <row r="3639" s="255" customFormat="1"/>
    <row r="3640" s="255" customFormat="1"/>
    <row r="3641" s="255" customFormat="1"/>
    <row r="3642" s="255" customFormat="1"/>
    <row r="3643" s="255" customFormat="1"/>
    <row r="3644" s="255" customFormat="1"/>
    <row r="3645" s="255" customFormat="1"/>
    <row r="3646" s="255" customFormat="1"/>
    <row r="3647" s="255" customFormat="1"/>
    <row r="3648" s="255" customFormat="1"/>
    <row r="3649" s="255" customFormat="1"/>
    <row r="3650" s="255" customFormat="1"/>
    <row r="3651" s="255" customFormat="1"/>
    <row r="3652" s="255" customFormat="1"/>
    <row r="3653" s="255" customFormat="1"/>
    <row r="3654" s="255" customFormat="1"/>
    <row r="3655" s="255" customFormat="1"/>
    <row r="3656" s="255" customFormat="1"/>
    <row r="3657" s="255" customFormat="1"/>
    <row r="3658" s="255" customFormat="1"/>
    <row r="3659" s="255" customFormat="1"/>
    <row r="3660" s="255" customFormat="1"/>
    <row r="3661" s="255" customFormat="1"/>
    <row r="3662" s="255" customFormat="1"/>
    <row r="3663" s="255" customFormat="1"/>
    <row r="3664" s="255" customFormat="1"/>
    <row r="3665" s="255" customFormat="1"/>
    <row r="3666" s="255" customFormat="1"/>
    <row r="3667" s="255" customFormat="1"/>
    <row r="3668" s="255" customFormat="1"/>
    <row r="3669" s="255" customFormat="1"/>
    <row r="3670" s="255" customFormat="1"/>
    <row r="3671" s="255" customFormat="1"/>
    <row r="3672" s="255" customFormat="1"/>
    <row r="3673" s="255" customFormat="1"/>
    <row r="3674" s="255" customFormat="1"/>
    <row r="3675" s="255" customFormat="1"/>
    <row r="3676" s="255" customFormat="1"/>
    <row r="3677" s="255" customFormat="1"/>
    <row r="3678" s="255" customFormat="1"/>
    <row r="3679" s="255" customFormat="1"/>
    <row r="3680" s="255" customFormat="1"/>
    <row r="3681" s="255" customFormat="1"/>
    <row r="3682" s="255" customFormat="1"/>
    <row r="3683" s="255" customFormat="1"/>
    <row r="3684" s="255" customFormat="1"/>
    <row r="3685" s="255" customFormat="1"/>
    <row r="3686" s="255" customFormat="1"/>
    <row r="3687" s="255" customFormat="1"/>
    <row r="3688" s="255" customFormat="1"/>
    <row r="3689" s="255" customFormat="1"/>
    <row r="3690" s="255" customFormat="1"/>
    <row r="3691" s="255" customFormat="1"/>
    <row r="3692" s="255" customFormat="1"/>
    <row r="3693" s="255" customFormat="1"/>
    <row r="3694" s="255" customFormat="1"/>
    <row r="3695" s="255" customFormat="1"/>
    <row r="3696" s="255" customFormat="1"/>
    <row r="3697" s="255" customFormat="1"/>
    <row r="3698" s="255" customFormat="1"/>
    <row r="3699" s="255" customFormat="1"/>
    <row r="3700" s="255" customFormat="1"/>
    <row r="3701" s="255" customFormat="1"/>
    <row r="3702" s="255" customFormat="1"/>
    <row r="3703" s="255" customFormat="1"/>
    <row r="3704" s="255" customFormat="1"/>
    <row r="3705" s="255" customFormat="1"/>
    <row r="3706" s="255" customFormat="1"/>
    <row r="3707" s="255" customFormat="1"/>
    <row r="3708" s="255" customFormat="1"/>
    <row r="3709" s="255" customFormat="1"/>
    <row r="3710" s="255" customFormat="1"/>
    <row r="3711" s="255" customFormat="1"/>
    <row r="3712" s="255" customFormat="1"/>
    <row r="3713" s="255" customFormat="1"/>
    <row r="3714" s="255" customFormat="1"/>
    <row r="3715" s="255" customFormat="1"/>
    <row r="3716" s="255" customFormat="1"/>
    <row r="3717" s="255" customFormat="1"/>
    <row r="3718" s="255" customFormat="1"/>
    <row r="3719" s="255" customFormat="1"/>
    <row r="3720" s="255" customFormat="1"/>
    <row r="3721" s="255" customFormat="1"/>
    <row r="3722" s="255" customFormat="1"/>
    <row r="3723" s="255" customFormat="1"/>
    <row r="3724" s="255" customFormat="1"/>
    <row r="3725" s="255" customFormat="1"/>
    <row r="3726" s="255" customFormat="1"/>
    <row r="3727" s="255" customFormat="1"/>
    <row r="3728" s="255" customFormat="1"/>
    <row r="3729" s="255" customFormat="1"/>
    <row r="3730" s="255" customFormat="1"/>
    <row r="3731" s="255" customFormat="1"/>
    <row r="3732" s="255" customFormat="1"/>
    <row r="3733" s="255" customFormat="1"/>
    <row r="3734" s="255" customFormat="1"/>
    <row r="3735" s="255" customFormat="1"/>
    <row r="3736" s="255" customFormat="1"/>
    <row r="3737" s="255" customFormat="1"/>
    <row r="3738" s="255" customFormat="1"/>
    <row r="3739" s="255" customFormat="1"/>
    <row r="3740" s="255" customFormat="1"/>
    <row r="3741" s="255" customFormat="1"/>
    <row r="3742" s="255" customFormat="1"/>
    <row r="3743" s="255" customFormat="1"/>
    <row r="3744" s="255" customFormat="1"/>
    <row r="3745" s="255" customFormat="1"/>
    <row r="3746" s="255" customFormat="1"/>
    <row r="3747" s="255" customFormat="1"/>
    <row r="3748" s="255" customFormat="1"/>
    <row r="3749" s="255" customFormat="1"/>
    <row r="3750" s="255" customFormat="1"/>
    <row r="3751" s="255" customFormat="1"/>
    <row r="3752" s="255" customFormat="1"/>
    <row r="3753" s="255" customFormat="1"/>
    <row r="3754" s="255" customFormat="1"/>
    <row r="3755" s="255" customFormat="1"/>
    <row r="3756" s="255" customFormat="1"/>
    <row r="3757" s="255" customFormat="1"/>
    <row r="3758" s="255" customFormat="1"/>
    <row r="3759" s="255" customFormat="1"/>
    <row r="3760" s="255" customFormat="1"/>
    <row r="3761" s="255" customFormat="1"/>
    <row r="3762" s="255" customFormat="1"/>
    <row r="3763" s="255" customFormat="1"/>
    <row r="3764" s="255" customFormat="1"/>
    <row r="3765" s="255" customFormat="1"/>
    <row r="3766" s="255" customFormat="1"/>
    <row r="3767" s="255" customFormat="1"/>
    <row r="3768" s="255" customFormat="1"/>
    <row r="3769" s="255" customFormat="1"/>
    <row r="3770" s="255" customFormat="1"/>
    <row r="3771" s="255" customFormat="1"/>
    <row r="3772" s="255" customFormat="1"/>
    <row r="3773" s="255" customFormat="1"/>
    <row r="3774" s="255" customFormat="1"/>
    <row r="3775" s="255" customFormat="1"/>
    <row r="3776" s="255" customFormat="1"/>
    <row r="3777" s="255" customFormat="1"/>
    <row r="3778" s="255" customFormat="1"/>
    <row r="3779" s="255" customFormat="1"/>
    <row r="3780" s="255" customFormat="1"/>
    <row r="3781" s="255" customFormat="1"/>
    <row r="3782" s="255" customFormat="1"/>
    <row r="3783" s="255" customFormat="1"/>
    <row r="3784" s="255" customFormat="1"/>
    <row r="3785" s="255" customFormat="1"/>
    <row r="3786" s="255" customFormat="1"/>
    <row r="3787" s="255" customFormat="1"/>
    <row r="3788" s="255" customFormat="1"/>
    <row r="3789" s="255" customFormat="1"/>
    <row r="3790" s="255" customFormat="1"/>
    <row r="3791" s="255" customFormat="1"/>
    <row r="3792" s="255" customFormat="1"/>
    <row r="3793" s="255" customFormat="1"/>
    <row r="3794" s="255" customFormat="1"/>
    <row r="3795" s="255" customFormat="1"/>
    <row r="3796" s="255" customFormat="1"/>
    <row r="3797" s="255" customFormat="1"/>
    <row r="3798" s="255" customFormat="1"/>
    <row r="3799" s="255" customFormat="1"/>
    <row r="3800" s="255" customFormat="1"/>
    <row r="3801" s="255" customFormat="1"/>
    <row r="3802" s="255" customFormat="1"/>
    <row r="3803" s="255" customFormat="1"/>
    <row r="3804" s="255" customFormat="1"/>
    <row r="3805" s="255" customFormat="1"/>
    <row r="3806" s="255" customFormat="1"/>
    <row r="3807" s="255" customFormat="1"/>
    <row r="3808" s="255" customFormat="1"/>
    <row r="3809" s="255" customFormat="1"/>
    <row r="3810" s="255" customFormat="1"/>
    <row r="3811" s="255" customFormat="1"/>
    <row r="3812" s="255" customFormat="1"/>
    <row r="3813" s="255" customFormat="1"/>
    <row r="3814" s="255" customFormat="1"/>
    <row r="3815" s="255" customFormat="1"/>
    <row r="3816" s="255" customFormat="1"/>
    <row r="3817" s="255" customFormat="1"/>
    <row r="3818" s="255" customFormat="1"/>
    <row r="3819" s="255" customFormat="1"/>
    <row r="3820" s="255" customFormat="1"/>
    <row r="3821" s="255" customFormat="1"/>
    <row r="3822" s="255" customFormat="1"/>
    <row r="3823" s="255" customFormat="1"/>
    <row r="3824" s="255" customFormat="1"/>
    <row r="3825" s="255" customFormat="1"/>
    <row r="3826" s="255" customFormat="1"/>
    <row r="3827" s="255" customFormat="1"/>
    <row r="3828" s="255" customFormat="1"/>
    <row r="3829" s="255" customFormat="1"/>
    <row r="3830" s="255" customFormat="1"/>
    <row r="3831" s="255" customFormat="1"/>
    <row r="3832" s="255" customFormat="1"/>
    <row r="3833" s="255" customFormat="1"/>
    <row r="3834" s="255" customFormat="1"/>
    <row r="3835" s="255" customFormat="1"/>
    <row r="3836" s="255" customFormat="1"/>
    <row r="3837" s="255" customFormat="1"/>
    <row r="3838" s="255" customFormat="1"/>
    <row r="3839" s="255" customFormat="1"/>
    <row r="3840" s="255" customFormat="1"/>
    <row r="3841" s="255" customFormat="1"/>
    <row r="3842" s="255" customFormat="1"/>
    <row r="3843" s="255" customFormat="1"/>
    <row r="3844" s="255" customFormat="1"/>
    <row r="3845" s="255" customFormat="1"/>
    <row r="3846" s="255" customFormat="1"/>
    <row r="3847" s="255" customFormat="1"/>
    <row r="3848" s="255" customFormat="1"/>
    <row r="3849" s="255" customFormat="1"/>
    <row r="3850" s="255" customFormat="1"/>
    <row r="3851" s="255" customFormat="1"/>
    <row r="3852" s="255" customFormat="1"/>
    <row r="3853" s="255" customFormat="1"/>
    <row r="3854" s="255" customFormat="1"/>
    <row r="3855" s="255" customFormat="1"/>
    <row r="3856" s="255" customFormat="1"/>
    <row r="3857" s="255" customFormat="1"/>
    <row r="3858" s="255" customFormat="1"/>
    <row r="3859" s="255" customFormat="1"/>
    <row r="3860" s="255" customFormat="1"/>
    <row r="3861" s="255" customFormat="1"/>
    <row r="3862" s="255" customFormat="1"/>
    <row r="3863" s="255" customFormat="1"/>
    <row r="3864" s="255" customFormat="1"/>
    <row r="3865" s="255" customFormat="1"/>
    <row r="3866" s="255" customFormat="1"/>
    <row r="3867" s="255" customFormat="1"/>
    <row r="3868" s="255" customFormat="1"/>
    <row r="3869" s="255" customFormat="1"/>
    <row r="3870" s="255" customFormat="1"/>
    <row r="3871" s="255" customFormat="1"/>
    <row r="3872" s="255" customFormat="1"/>
    <row r="3873" s="255" customFormat="1"/>
    <row r="3874" s="255" customFormat="1"/>
    <row r="3875" s="255" customFormat="1"/>
    <row r="3876" s="255" customFormat="1"/>
    <row r="3877" s="255" customFormat="1"/>
    <row r="3878" s="255" customFormat="1"/>
    <row r="3879" s="255" customFormat="1"/>
    <row r="3880" s="255" customFormat="1"/>
    <row r="3881" s="255" customFormat="1"/>
    <row r="3882" s="255" customFormat="1"/>
    <row r="3883" s="255" customFormat="1"/>
    <row r="3884" s="255" customFormat="1"/>
    <row r="3885" s="255" customFormat="1"/>
    <row r="3886" s="255" customFormat="1"/>
    <row r="3887" s="255" customFormat="1"/>
    <row r="3888" s="255" customFormat="1"/>
    <row r="3889" s="255" customFormat="1"/>
    <row r="3890" s="255" customFormat="1"/>
    <row r="3891" s="255" customFormat="1"/>
    <row r="3892" s="255" customFormat="1"/>
    <row r="3893" s="255" customFormat="1"/>
    <row r="3894" s="255" customFormat="1"/>
    <row r="3895" s="255" customFormat="1"/>
    <row r="3896" s="255" customFormat="1"/>
    <row r="3897" s="255" customFormat="1"/>
    <row r="3898" s="255" customFormat="1"/>
    <row r="3899" s="255" customFormat="1"/>
    <row r="3900" s="255" customFormat="1"/>
    <row r="3901" s="255" customFormat="1"/>
    <row r="3902" s="255" customFormat="1"/>
    <row r="3903" s="255" customFormat="1"/>
    <row r="3904" s="255" customFormat="1"/>
    <row r="3905" s="255" customFormat="1"/>
    <row r="3906" s="255" customFormat="1"/>
    <row r="3907" s="255" customFormat="1"/>
    <row r="3908" s="255" customFormat="1"/>
    <row r="3909" s="255" customFormat="1"/>
    <row r="3910" s="255" customFormat="1"/>
    <row r="3911" s="255" customFormat="1"/>
    <row r="3912" s="255" customFormat="1"/>
    <row r="3913" s="255" customFormat="1"/>
    <row r="3914" s="255" customFormat="1"/>
    <row r="3915" s="255" customFormat="1"/>
    <row r="3916" s="255" customFormat="1"/>
    <row r="3917" s="255" customFormat="1"/>
    <row r="3918" s="255" customFormat="1"/>
    <row r="3919" s="255" customFormat="1"/>
    <row r="3920" s="255" customFormat="1"/>
    <row r="3921" s="255" customFormat="1"/>
    <row r="3922" s="255" customFormat="1"/>
    <row r="3923" s="255" customFormat="1"/>
    <row r="3924" s="255" customFormat="1"/>
    <row r="3925" s="255" customFormat="1"/>
    <row r="3926" s="255" customFormat="1"/>
    <row r="3927" s="255" customFormat="1"/>
    <row r="3928" s="255" customFormat="1"/>
    <row r="3929" s="255" customFormat="1"/>
    <row r="3930" s="255" customFormat="1"/>
    <row r="3931" s="255" customFormat="1"/>
    <row r="3932" s="255" customFormat="1"/>
    <row r="3933" s="255" customFormat="1"/>
    <row r="3934" s="255" customFormat="1"/>
    <row r="3935" s="255" customFormat="1"/>
    <row r="3936" s="255" customFormat="1"/>
    <row r="3937" s="255" customFormat="1"/>
    <row r="3938" s="255" customFormat="1"/>
    <row r="3939" s="255" customFormat="1"/>
    <row r="3940" s="255" customFormat="1"/>
    <row r="3941" s="255" customFormat="1"/>
    <row r="3942" s="255" customFormat="1"/>
    <row r="3943" s="255" customFormat="1"/>
    <row r="3944" s="255" customFormat="1"/>
    <row r="3945" s="255" customFormat="1"/>
    <row r="3946" s="255" customFormat="1"/>
    <row r="3947" s="255" customFormat="1"/>
    <row r="3948" s="255" customFormat="1"/>
    <row r="3949" s="255" customFormat="1"/>
    <row r="3950" s="255" customFormat="1"/>
    <row r="3951" s="255" customFormat="1"/>
    <row r="3952" s="255" customFormat="1"/>
    <row r="3953" s="255" customFormat="1"/>
    <row r="3954" s="255" customFormat="1"/>
    <row r="3955" s="255" customFormat="1"/>
    <row r="3956" s="255" customFormat="1"/>
    <row r="3957" s="255" customFormat="1"/>
    <row r="3958" s="255" customFormat="1"/>
    <row r="3959" s="255" customFormat="1"/>
    <row r="3960" s="255" customFormat="1"/>
    <row r="3961" s="255" customFormat="1"/>
    <row r="3962" s="255" customFormat="1"/>
    <row r="3963" s="255" customFormat="1"/>
    <row r="3964" s="255" customFormat="1"/>
    <row r="3965" s="255" customFormat="1"/>
    <row r="3966" s="255" customFormat="1"/>
    <row r="3967" s="255" customFormat="1"/>
    <row r="3968" s="255" customFormat="1"/>
    <row r="3969" s="255" customFormat="1"/>
    <row r="3970" s="255" customFormat="1"/>
    <row r="3971" s="255" customFormat="1"/>
    <row r="3972" s="255" customFormat="1"/>
    <row r="3973" s="255" customFormat="1"/>
    <row r="3974" s="255" customFormat="1"/>
    <row r="3975" s="255" customFormat="1"/>
    <row r="3976" s="255" customFormat="1"/>
    <row r="3977" s="255" customFormat="1"/>
    <row r="3978" s="255" customFormat="1"/>
    <row r="3979" s="255" customFormat="1"/>
    <row r="3980" s="255" customFormat="1"/>
    <row r="3981" s="255" customFormat="1"/>
    <row r="3982" s="255" customFormat="1"/>
    <row r="3983" s="255" customFormat="1"/>
    <row r="3984" s="255" customFormat="1"/>
    <row r="3985" s="255" customFormat="1"/>
    <row r="3986" s="255" customFormat="1"/>
    <row r="3987" s="255" customFormat="1"/>
    <row r="3988" s="255" customFormat="1"/>
    <row r="3989" s="255" customFormat="1"/>
    <row r="3990" s="255" customFormat="1"/>
    <row r="3991" s="255" customFormat="1"/>
    <row r="3992" s="255" customFormat="1"/>
    <row r="3993" s="255" customFormat="1"/>
    <row r="3994" s="255" customFormat="1"/>
    <row r="3995" s="255" customFormat="1"/>
    <row r="3996" s="255" customFormat="1"/>
    <row r="3997" s="255" customFormat="1"/>
    <row r="3998" s="255" customFormat="1"/>
    <row r="3999" s="255" customFormat="1"/>
    <row r="4000" s="255" customFormat="1"/>
    <row r="4001" s="255" customFormat="1"/>
    <row r="4002" s="255" customFormat="1"/>
    <row r="4003" s="255" customFormat="1"/>
    <row r="4004" s="255" customFormat="1"/>
    <row r="4005" s="255" customFormat="1"/>
    <row r="4006" s="255" customFormat="1"/>
    <row r="4007" s="255" customFormat="1"/>
    <row r="4008" s="255" customFormat="1"/>
    <row r="4009" s="255" customFormat="1"/>
    <row r="4010" s="255" customFormat="1"/>
    <row r="4011" s="255" customFormat="1"/>
    <row r="4012" s="255" customFormat="1"/>
    <row r="4013" s="255" customFormat="1"/>
    <row r="4014" s="255" customFormat="1"/>
    <row r="4015" s="255" customFormat="1"/>
    <row r="4016" s="255" customFormat="1"/>
    <row r="4017" s="255" customFormat="1"/>
    <row r="4018" s="255" customFormat="1"/>
    <row r="4019" s="255" customFormat="1"/>
    <row r="4020" s="255" customFormat="1"/>
    <row r="4021" s="255" customFormat="1"/>
    <row r="4022" s="255" customFormat="1"/>
    <row r="4023" s="255" customFormat="1"/>
    <row r="4024" s="255" customFormat="1"/>
    <row r="4025" s="255" customFormat="1"/>
    <row r="4026" s="255" customFormat="1"/>
    <row r="4027" s="255" customFormat="1"/>
    <row r="4028" s="255" customFormat="1"/>
    <row r="4029" s="255" customFormat="1"/>
    <row r="4030" s="255" customFormat="1"/>
    <row r="4031" s="255" customFormat="1"/>
    <row r="4032" s="255" customFormat="1"/>
    <row r="4033" s="255" customFormat="1"/>
    <row r="4034" s="255" customFormat="1"/>
    <row r="4035" s="255" customFormat="1"/>
    <row r="4036" s="255" customFormat="1"/>
    <row r="4037" s="255" customFormat="1"/>
    <row r="4038" s="255" customFormat="1"/>
    <row r="4039" s="255" customFormat="1"/>
    <row r="4040" s="255" customFormat="1"/>
    <row r="4041" s="255" customFormat="1"/>
    <row r="4042" s="255" customFormat="1"/>
    <row r="4043" s="255" customFormat="1"/>
    <row r="4044" s="255" customFormat="1"/>
    <row r="4045" s="255" customFormat="1"/>
    <row r="4046" s="255" customFormat="1"/>
    <row r="4047" s="255" customFormat="1"/>
    <row r="4048" s="255" customFormat="1"/>
    <row r="4049" s="255" customFormat="1"/>
    <row r="4050" s="255" customFormat="1"/>
    <row r="4051" s="255" customFormat="1"/>
    <row r="4052" s="255" customFormat="1"/>
    <row r="4053" s="255" customFormat="1"/>
    <row r="4054" s="255" customFormat="1"/>
    <row r="4055" s="255" customFormat="1"/>
    <row r="4056" s="255" customFormat="1"/>
    <row r="4057" s="255" customFormat="1"/>
    <row r="4058" s="255" customFormat="1"/>
    <row r="4059" s="255" customFormat="1"/>
    <row r="4060" s="255" customFormat="1"/>
    <row r="4061" s="255" customFormat="1"/>
    <row r="4062" s="255" customFormat="1"/>
    <row r="4063" s="255" customFormat="1"/>
  </sheetData>
  <phoneticPr fontId="1"/>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N89"/>
  <sheetViews>
    <sheetView showGridLines="0" topLeftCell="A50" workbookViewId="0">
      <selection activeCell="D38" sqref="D38"/>
    </sheetView>
  </sheetViews>
  <sheetFormatPr defaultRowHeight="13.5"/>
  <cols>
    <col min="1" max="54" width="15.625" customWidth="1"/>
  </cols>
  <sheetData>
    <row r="1" spans="1:5" ht="42">
      <c r="A1" s="377" t="s">
        <v>759</v>
      </c>
    </row>
    <row r="3" spans="1:5">
      <c r="A3" t="s">
        <v>611</v>
      </c>
    </row>
    <row r="4" spans="1:5">
      <c r="A4" t="s">
        <v>760</v>
      </c>
    </row>
    <row r="5" spans="1:5">
      <c r="A5" t="s">
        <v>761</v>
      </c>
    </row>
    <row r="7" spans="1:5">
      <c r="A7" s="9" t="s">
        <v>762</v>
      </c>
      <c r="B7" s="9" t="s">
        <v>763</v>
      </c>
    </row>
    <row r="8" spans="1:5">
      <c r="A8" s="8">
        <v>10000</v>
      </c>
      <c r="B8" s="406">
        <v>0.01</v>
      </c>
      <c r="D8" s="67" t="s">
        <v>707</v>
      </c>
    </row>
    <row r="9" spans="1:5">
      <c r="A9" s="8">
        <v>5000</v>
      </c>
      <c r="B9" s="406">
        <v>0.03</v>
      </c>
      <c r="D9" s="407">
        <f>A8*B8 + A9*B9 + A10*B10 + A11*B11 + A12*B12</f>
        <v>500</v>
      </c>
      <c r="E9" t="s">
        <v>764</v>
      </c>
    </row>
    <row r="10" spans="1:5">
      <c r="A10" s="8">
        <v>1000</v>
      </c>
      <c r="B10" s="406">
        <v>0.1</v>
      </c>
    </row>
    <row r="11" spans="1:5">
      <c r="A11" s="8">
        <v>500</v>
      </c>
      <c r="B11" s="406">
        <v>0.3</v>
      </c>
      <c r="D11" s="67" t="s">
        <v>708</v>
      </c>
    </row>
    <row r="12" spans="1:5">
      <c r="A12" s="8">
        <v>0</v>
      </c>
      <c r="B12" s="406">
        <v>0.56000000000000005</v>
      </c>
      <c r="D12" s="407">
        <f>(A8-D9)^2*B8 + (A9-D9)^2*B9 + (A10-D9)^2*B10 + (A11-D9)^2*B11 + (A12-D9)^2*B12</f>
        <v>1675000</v>
      </c>
      <c r="E12" t="s">
        <v>765</v>
      </c>
    </row>
    <row r="14" spans="1:5">
      <c r="D14" s="67" t="s">
        <v>709</v>
      </c>
    </row>
    <row r="15" spans="1:5">
      <c r="D15" s="408">
        <f>D12^0.5</f>
        <v>1294.2179105544785</v>
      </c>
      <c r="E15" t="s">
        <v>766</v>
      </c>
    </row>
    <row r="17" spans="1:5">
      <c r="A17" t="s">
        <v>648</v>
      </c>
    </row>
    <row r="18" spans="1:5">
      <c r="A18" t="s">
        <v>767</v>
      </c>
    </row>
    <row r="20" spans="1:5">
      <c r="A20" t="s">
        <v>768</v>
      </c>
    </row>
    <row r="22" spans="1:5">
      <c r="A22" s="418" t="s">
        <v>707</v>
      </c>
      <c r="B22" s="409" t="s">
        <v>769</v>
      </c>
      <c r="C22" s="410"/>
      <c r="D22" s="410"/>
      <c r="E22" s="411"/>
    </row>
    <row r="23" spans="1:5">
      <c r="A23" s="418" t="s">
        <v>708</v>
      </c>
      <c r="B23" s="412" t="s">
        <v>770</v>
      </c>
      <c r="C23" s="413"/>
      <c r="D23" s="413"/>
      <c r="E23" s="414"/>
    </row>
    <row r="24" spans="1:5">
      <c r="A24" s="418" t="s">
        <v>709</v>
      </c>
      <c r="B24" s="415" t="s">
        <v>771</v>
      </c>
      <c r="C24" s="416"/>
      <c r="D24" s="416"/>
      <c r="E24" s="417"/>
    </row>
    <row r="27" spans="1:5">
      <c r="A27" t="s">
        <v>772</v>
      </c>
    </row>
    <row r="28" spans="1:5">
      <c r="A28" s="9"/>
      <c r="B28" s="9" t="s">
        <v>707</v>
      </c>
      <c r="C28" s="9" t="s">
        <v>709</v>
      </c>
    </row>
    <row r="29" spans="1:5">
      <c r="A29" s="8" t="s">
        <v>773</v>
      </c>
      <c r="B29" s="8">
        <v>1</v>
      </c>
      <c r="C29" s="8">
        <v>2.5</v>
      </c>
    </row>
    <row r="30" spans="1:5">
      <c r="A30" s="8" t="s">
        <v>774</v>
      </c>
      <c r="B30" s="8">
        <v>2</v>
      </c>
      <c r="C30" s="8">
        <v>5</v>
      </c>
      <c r="E30" t="s">
        <v>779</v>
      </c>
    </row>
    <row r="33" spans="1:9">
      <c r="A33" t="s">
        <v>775</v>
      </c>
      <c r="D33" s="25" t="s">
        <v>722</v>
      </c>
      <c r="E33" s="25" t="s">
        <v>744</v>
      </c>
      <c r="F33" s="25" t="s">
        <v>745</v>
      </c>
      <c r="G33" s="25" t="s">
        <v>746</v>
      </c>
      <c r="H33" s="234" t="s">
        <v>747</v>
      </c>
      <c r="I33" s="234" t="s">
        <v>748</v>
      </c>
    </row>
    <row r="34" spans="1:9">
      <c r="A34" s="87" t="s">
        <v>778</v>
      </c>
      <c r="C34" s="66" t="s">
        <v>776</v>
      </c>
      <c r="D34" s="88">
        <v>4.25</v>
      </c>
      <c r="E34" s="88">
        <v>1</v>
      </c>
      <c r="F34" s="88">
        <v>1</v>
      </c>
      <c r="G34" s="88">
        <v>2.5</v>
      </c>
      <c r="H34" s="88">
        <f>(D34-F34)/G34</f>
        <v>1.3</v>
      </c>
      <c r="I34" s="88">
        <f>NORMSDIST(H34 * E34 )</f>
        <v>0.9031995154143897</v>
      </c>
    </row>
    <row r="35" spans="1:9">
      <c r="C35" s="66" t="s">
        <v>777</v>
      </c>
      <c r="D35" s="234">
        <f>F35 + H35*G35</f>
        <v>8.5</v>
      </c>
      <c r="E35" s="88">
        <v>1</v>
      </c>
      <c r="F35" s="88">
        <v>2</v>
      </c>
      <c r="G35" s="88">
        <v>5</v>
      </c>
      <c r="H35" s="88">
        <v>1.3</v>
      </c>
      <c r="I35" s="88">
        <f>NORMSDIST(H35 * E35 )</f>
        <v>0.9031995154143897</v>
      </c>
    </row>
    <row r="36" spans="1:9">
      <c r="A36" t="s">
        <v>780</v>
      </c>
      <c r="C36" s="66" t="s">
        <v>781</v>
      </c>
      <c r="D36" s="88">
        <v>-1.25</v>
      </c>
      <c r="E36" s="88">
        <v>-1</v>
      </c>
      <c r="F36" s="88">
        <v>1</v>
      </c>
      <c r="G36" s="88">
        <v>2.5</v>
      </c>
      <c r="H36" s="88">
        <f>(D36-F36)/G36</f>
        <v>-0.9</v>
      </c>
      <c r="I36" s="88">
        <f>NORMSDIST(H36 * E36 )</f>
        <v>0.81593987465324047</v>
      </c>
    </row>
    <row r="37" spans="1:9">
      <c r="A37" s="87" t="s">
        <v>778</v>
      </c>
      <c r="C37" s="66" t="s">
        <v>782</v>
      </c>
      <c r="D37" s="234">
        <f>F37 + H37*G37</f>
        <v>-2.5</v>
      </c>
      <c r="E37" s="88">
        <v>-1</v>
      </c>
      <c r="F37" s="88">
        <v>2</v>
      </c>
      <c r="G37" s="88">
        <v>5</v>
      </c>
      <c r="H37" s="88">
        <v>-0.9</v>
      </c>
      <c r="I37" s="88">
        <f>NORMSDIST(H37 * E37 )</f>
        <v>0.81593987465324047</v>
      </c>
    </row>
    <row r="43" spans="1:9" s="419" customFormat="1"/>
    <row r="45" spans="1:9">
      <c r="A45" t="s">
        <v>783</v>
      </c>
    </row>
    <row r="47" spans="1:9">
      <c r="A47" t="s">
        <v>635</v>
      </c>
    </row>
    <row r="48" spans="1:9">
      <c r="A48" s="9"/>
      <c r="B48" s="9" t="s">
        <v>773</v>
      </c>
      <c r="C48" s="9" t="s">
        <v>774</v>
      </c>
    </row>
    <row r="49" spans="1:4">
      <c r="A49" s="8" t="s">
        <v>707</v>
      </c>
      <c r="B49" s="8">
        <v>1.8</v>
      </c>
      <c r="C49" s="8">
        <v>3.6</v>
      </c>
    </row>
    <row r="50" spans="1:4">
      <c r="A50" s="8" t="s">
        <v>709</v>
      </c>
      <c r="B50" s="8">
        <v>2.8</v>
      </c>
      <c r="C50" s="8">
        <v>5.2</v>
      </c>
    </row>
    <row r="52" spans="1:4">
      <c r="A52" t="s">
        <v>784</v>
      </c>
    </row>
    <row r="53" spans="1:4">
      <c r="A53" t="s">
        <v>785</v>
      </c>
    </row>
    <row r="55" spans="1:4">
      <c r="A55" t="s">
        <v>786</v>
      </c>
    </row>
    <row r="56" spans="1:4">
      <c r="A56" t="s">
        <v>787</v>
      </c>
      <c r="D56">
        <f>3 + 3*1.8</f>
        <v>8.4</v>
      </c>
    </row>
    <row r="57" spans="1:4">
      <c r="A57" t="s">
        <v>788</v>
      </c>
      <c r="D57">
        <f>(3^2) * (2.8^2)</f>
        <v>70.559999999999988</v>
      </c>
    </row>
    <row r="59" spans="1:4">
      <c r="A59" t="s">
        <v>789</v>
      </c>
      <c r="D59">
        <f>2*B49 + 3*C49</f>
        <v>14.4</v>
      </c>
    </row>
    <row r="60" spans="1:4">
      <c r="A60" t="s">
        <v>790</v>
      </c>
    </row>
    <row r="64" spans="1:4">
      <c r="A64" t="s">
        <v>648</v>
      </c>
    </row>
    <row r="66" spans="1:9">
      <c r="D66" s="25" t="s">
        <v>722</v>
      </c>
      <c r="E66" s="25" t="s">
        <v>744</v>
      </c>
      <c r="F66" s="25" t="s">
        <v>745</v>
      </c>
      <c r="G66" s="25" t="s">
        <v>746</v>
      </c>
      <c r="H66" s="234" t="s">
        <v>747</v>
      </c>
      <c r="I66" s="234" t="s">
        <v>748</v>
      </c>
    </row>
    <row r="67" spans="1:9">
      <c r="A67" s="399" t="s">
        <v>791</v>
      </c>
      <c r="B67" s="233"/>
      <c r="D67" s="88">
        <v>1.8</v>
      </c>
      <c r="E67" s="88">
        <v>1</v>
      </c>
      <c r="F67" s="88">
        <v>1</v>
      </c>
      <c r="G67" s="88">
        <v>1.2</v>
      </c>
      <c r="H67" s="88">
        <f>(D67-F67)/G67</f>
        <v>0.66666666666666674</v>
      </c>
      <c r="I67" s="420">
        <f>NORMSDIST(H67 * E67 )</f>
        <v>0.7475074624530772</v>
      </c>
    </row>
    <row r="68" spans="1:9">
      <c r="A68" s="399" t="s">
        <v>792</v>
      </c>
      <c r="B68" s="233"/>
      <c r="D68" s="88">
        <v>2.5</v>
      </c>
      <c r="E68" s="88">
        <v>1</v>
      </c>
      <c r="F68" s="88">
        <v>0.5</v>
      </c>
      <c r="G68" s="88">
        <v>3</v>
      </c>
      <c r="H68" s="88">
        <f>(D68-F68)/G68</f>
        <v>0.66666666666666663</v>
      </c>
      <c r="I68" s="420">
        <f>NORMSDIST(H68 * E68 )</f>
        <v>0.74750746245307709</v>
      </c>
    </row>
    <row r="69" spans="1:9">
      <c r="A69" s="399" t="s">
        <v>793</v>
      </c>
      <c r="B69" s="233"/>
      <c r="D69" s="88">
        <v>-1.5</v>
      </c>
      <c r="E69" s="88">
        <v>1</v>
      </c>
      <c r="F69" s="88">
        <v>-0.5</v>
      </c>
      <c r="G69" s="88">
        <v>1.5</v>
      </c>
      <c r="H69" s="88">
        <f>(D69-F69)/G69</f>
        <v>-0.66666666666666663</v>
      </c>
      <c r="I69" s="276">
        <f>NORMSDIST(H69 * E69 )</f>
        <v>0.25249253754692291</v>
      </c>
    </row>
    <row r="70" spans="1:9">
      <c r="A70" s="399" t="s">
        <v>794</v>
      </c>
      <c r="B70" s="233"/>
      <c r="D70" s="88">
        <v>-3</v>
      </c>
      <c r="E70" s="88">
        <v>-1</v>
      </c>
      <c r="F70" s="88">
        <v>1</v>
      </c>
      <c r="G70" s="88">
        <v>6</v>
      </c>
      <c r="H70" s="88">
        <f>(D70-F70)/G70</f>
        <v>-0.66666666666666663</v>
      </c>
      <c r="I70" s="420">
        <f>NORMSDIST(H70 * E70 )</f>
        <v>0.74750746245307709</v>
      </c>
    </row>
    <row r="71" spans="1:9" ht="14.25" thickBot="1">
      <c r="A71" s="233"/>
      <c r="B71" s="233"/>
    </row>
    <row r="72" spans="1:9">
      <c r="A72" s="400" t="s">
        <v>753</v>
      </c>
      <c r="B72" s="401"/>
    </row>
    <row r="73" spans="1:9">
      <c r="A73" s="402" t="s">
        <v>754</v>
      </c>
      <c r="B73" s="403"/>
    </row>
    <row r="74" spans="1:9">
      <c r="A74" s="402"/>
      <c r="B74" s="403"/>
    </row>
    <row r="75" spans="1:9">
      <c r="A75" s="402" t="s">
        <v>755</v>
      </c>
      <c r="B75" s="403" t="s">
        <v>757</v>
      </c>
    </row>
    <row r="76" spans="1:9" ht="14.25" thickBot="1">
      <c r="A76" s="404" t="s">
        <v>756</v>
      </c>
      <c r="B76" s="405" t="s">
        <v>758</v>
      </c>
    </row>
    <row r="77" spans="1:9">
      <c r="A77" s="233"/>
      <c r="B77" s="233"/>
    </row>
    <row r="81" spans="1:14" s="87" customFormat="1" ht="11.25">
      <c r="A81" s="87" t="s">
        <v>913</v>
      </c>
    </row>
    <row r="82" spans="1:14" s="87" customFormat="1" ht="11.25">
      <c r="A82" s="278" t="s">
        <v>896</v>
      </c>
      <c r="B82" s="280"/>
    </row>
    <row r="83" spans="1:14" s="87" customFormat="1" ht="11.25">
      <c r="A83" s="281" t="s">
        <v>912</v>
      </c>
      <c r="B83" s="283"/>
    </row>
    <row r="84" spans="1:14" s="87" customFormat="1" ht="11.25"/>
    <row r="85" spans="1:14" s="87" customFormat="1" ht="14.25">
      <c r="B85" s="453" t="s">
        <v>907</v>
      </c>
    </row>
    <row r="86" spans="1:14" s="87" customFormat="1" ht="12" thickBot="1">
      <c r="B86" s="25" t="s">
        <v>900</v>
      </c>
      <c r="C86" s="25" t="s">
        <v>901</v>
      </c>
      <c r="D86" s="25" t="s">
        <v>903</v>
      </c>
      <c r="E86" s="464" t="s">
        <v>905</v>
      </c>
      <c r="F86" s="454" t="s">
        <v>904</v>
      </c>
      <c r="G86" s="454" t="s">
        <v>908</v>
      </c>
      <c r="H86" s="466" t="s">
        <v>864</v>
      </c>
      <c r="I86" s="466" t="s">
        <v>910</v>
      </c>
      <c r="J86" s="455" t="s">
        <v>876</v>
      </c>
      <c r="K86" s="455" t="s">
        <v>911</v>
      </c>
      <c r="L86" s="455" t="s">
        <v>902</v>
      </c>
      <c r="M86" s="234" t="s">
        <v>888</v>
      </c>
      <c r="N86" s="234" t="s">
        <v>906</v>
      </c>
    </row>
    <row r="87" spans="1:14" s="87" customFormat="1" ht="12" thickBot="1">
      <c r="B87" s="88">
        <v>3</v>
      </c>
      <c r="C87" s="91">
        <v>2.1999999999999999E-2</v>
      </c>
      <c r="D87" s="462">
        <v>3.0000000000000001E-3</v>
      </c>
      <c r="E87" s="467">
        <f xml:space="preserve"> 100 / ( ( 1 + C87 ) ^ B87 )</f>
        <v>93.680092870097312</v>
      </c>
      <c r="F87" s="463">
        <f xml:space="preserve"> 100 / ( ( 1 + C87 + D87) ^ B87 )</f>
        <v>92.859941091974875</v>
      </c>
      <c r="G87" s="465">
        <f>F87-E87</f>
        <v>-0.82015177812243678</v>
      </c>
      <c r="H87" s="467">
        <f xml:space="preserve"> ( - 1 * B87 * 100 ) / ( ( 1 + C87 ) ^ (B87 + 1))</f>
        <v>-274.99048787699797</v>
      </c>
      <c r="I87" s="468">
        <f>D87*H87</f>
        <v>-0.82497146363099394</v>
      </c>
      <c r="J87" s="463">
        <f xml:space="preserve"> (-1 * H87 ) / E87</f>
        <v>2.9354207436399218</v>
      </c>
      <c r="K87" s="461">
        <f>-1 * D87 * J87</f>
        <v>-8.8062622309197647E-3</v>
      </c>
      <c r="L87" s="276">
        <f xml:space="preserve"> ( 1 + C87 ) * J87</f>
        <v>3</v>
      </c>
      <c r="M87" s="276">
        <f xml:space="preserve"> ( B87 * (B87+1) * 100 ) / ( ( 1 + C87 ) ^ (B87+2) )</f>
        <v>1076.2837098904031</v>
      </c>
      <c r="N87" s="457">
        <f>D87 * H87  +  (1/2) * (D87^2) * M87</f>
        <v>-0.82012818693648715</v>
      </c>
    </row>
    <row r="88" spans="1:14" s="87" customFormat="1" ht="11.25"/>
    <row r="89" spans="1:14" s="87" customFormat="1" ht="11.25"/>
  </sheetData>
  <phoneticPr fontId="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P113"/>
  <sheetViews>
    <sheetView showGridLines="0" topLeftCell="A31" zoomScale="85" zoomScaleNormal="85" workbookViewId="0">
      <selection activeCell="G124" sqref="G124"/>
    </sheetView>
  </sheetViews>
  <sheetFormatPr defaultRowHeight="13.5"/>
  <cols>
    <col min="4" max="4" width="11" bestFit="1" customWidth="1"/>
  </cols>
  <sheetData>
    <row r="1" spans="1:7" ht="28.5">
      <c r="A1" s="47" t="s">
        <v>1258</v>
      </c>
    </row>
    <row r="4" spans="1:7">
      <c r="A4" t="s">
        <v>635</v>
      </c>
    </row>
    <row r="5" spans="1:7" s="255" customFormat="1" ht="11.25"/>
    <row r="6" spans="1:7" s="255" customFormat="1" ht="11.25">
      <c r="B6" s="255" t="s">
        <v>974</v>
      </c>
      <c r="F6" s="255" t="s">
        <v>971</v>
      </c>
    </row>
    <row r="7" spans="1:7" s="255" customFormat="1" ht="11.25">
      <c r="C7" s="233">
        <v>101</v>
      </c>
      <c r="G7" s="233">
        <v>101</v>
      </c>
    </row>
    <row r="8" spans="1:7" s="255" customFormat="1" ht="11.25"/>
    <row r="9" spans="1:7" s="255" customFormat="1" ht="11.25">
      <c r="B9" s="233">
        <v>1</v>
      </c>
      <c r="F9" s="233">
        <v>1</v>
      </c>
    </row>
    <row r="10" spans="1:7" s="255" customFormat="1" ht="11.25"/>
    <row r="11" spans="1:7" s="255" customFormat="1" ht="11.25"/>
    <row r="12" spans="1:7" s="255" customFormat="1" ht="11.25"/>
    <row r="13" spans="1:7" s="255" customFormat="1" ht="11.25"/>
    <row r="14" spans="1:7" s="255" customFormat="1" ht="11.25"/>
    <row r="15" spans="1:7" s="255" customFormat="1" ht="11.25">
      <c r="F15" s="255" t="s">
        <v>1260</v>
      </c>
    </row>
    <row r="16" spans="1:7" s="255" customFormat="1" ht="11.25">
      <c r="A16" s="233" t="s">
        <v>1259</v>
      </c>
      <c r="E16" s="233" t="s">
        <v>774</v>
      </c>
      <c r="F16" s="255" t="s">
        <v>1261</v>
      </c>
    </row>
    <row r="17" spans="1:16" s="255" customFormat="1" ht="11.25"/>
    <row r="18" spans="1:16" s="255" customFormat="1" ht="11.25">
      <c r="E18" s="255" t="s">
        <v>1263</v>
      </c>
    </row>
    <row r="20" spans="1:16">
      <c r="A20" s="7" t="s">
        <v>1262</v>
      </c>
      <c r="B20" s="7">
        <f xml:space="preserve"> ( 100.8 - 1*(99.6/100)  ) / 101</f>
        <v>0.98815841584158415</v>
      </c>
    </row>
    <row r="21" spans="1:16">
      <c r="A21" s="7" t="s">
        <v>108</v>
      </c>
      <c r="B21" s="7">
        <f>100*B20</f>
        <v>98.81584158415842</v>
      </c>
    </row>
    <row r="23" spans="1:16">
      <c r="A23" s="7" t="s">
        <v>206</v>
      </c>
    </row>
    <row r="24" spans="1:16">
      <c r="A24" s="573">
        <f>1*0.996 + 101*B20</f>
        <v>100.8</v>
      </c>
    </row>
    <row r="27" spans="1:16">
      <c r="A27" t="s">
        <v>1264</v>
      </c>
    </row>
    <row r="28" spans="1:16" ht="14.25" thickBot="1">
      <c r="A28" t="s">
        <v>1273</v>
      </c>
    </row>
    <row r="29" spans="1:16" ht="36" customHeight="1">
      <c r="A29" s="576" t="s">
        <v>1284</v>
      </c>
      <c r="B29" s="577"/>
      <c r="C29" s="577"/>
      <c r="D29" s="577"/>
      <c r="E29" s="577"/>
      <c r="F29" s="577"/>
      <c r="G29" s="577"/>
      <c r="H29" s="577"/>
      <c r="I29" s="577"/>
      <c r="J29" s="577"/>
      <c r="K29" s="578"/>
      <c r="L29" s="579"/>
      <c r="M29" s="575"/>
      <c r="N29" s="575"/>
      <c r="O29" s="575"/>
      <c r="P29" s="575"/>
    </row>
    <row r="30" spans="1:16" ht="13.5" customHeight="1">
      <c r="A30" s="580" t="s">
        <v>1268</v>
      </c>
      <c r="B30" s="581"/>
      <c r="C30" s="581"/>
      <c r="D30" s="581"/>
      <c r="E30" s="581"/>
      <c r="F30" s="581"/>
      <c r="G30" s="581"/>
      <c r="H30" s="581"/>
      <c r="I30" s="581"/>
      <c r="J30" s="581"/>
      <c r="K30" s="582"/>
      <c r="L30" s="583"/>
      <c r="M30" s="575"/>
      <c r="N30" s="575"/>
      <c r="O30" s="575"/>
      <c r="P30" s="575"/>
    </row>
    <row r="31" spans="1:16" ht="13.5" customHeight="1">
      <c r="A31" s="580" t="s">
        <v>1269</v>
      </c>
      <c r="B31" s="581"/>
      <c r="C31" s="581"/>
      <c r="D31" s="581"/>
      <c r="E31" s="581"/>
      <c r="F31" s="581"/>
      <c r="G31" s="581"/>
      <c r="H31" s="581"/>
      <c r="I31" s="581"/>
      <c r="J31" s="581"/>
      <c r="K31" s="582"/>
      <c r="L31" s="583"/>
      <c r="M31" s="575"/>
      <c r="N31" s="575"/>
      <c r="O31" s="575"/>
      <c r="P31" s="575"/>
    </row>
    <row r="32" spans="1:16" ht="13.5" customHeight="1">
      <c r="A32" s="580" t="s">
        <v>1270</v>
      </c>
      <c r="B32" s="581"/>
      <c r="C32" s="581"/>
      <c r="D32" s="581"/>
      <c r="E32" s="581"/>
      <c r="F32" s="581"/>
      <c r="G32" s="581"/>
      <c r="H32" s="581"/>
      <c r="I32" s="581"/>
      <c r="J32" s="581"/>
      <c r="K32" s="582"/>
      <c r="L32" s="583"/>
      <c r="M32" s="575"/>
      <c r="N32" s="575"/>
      <c r="O32" s="575"/>
      <c r="P32" s="575"/>
    </row>
    <row r="33" spans="1:16" ht="13.5" customHeight="1">
      <c r="A33" s="580" t="s">
        <v>1271</v>
      </c>
      <c r="B33" s="581"/>
      <c r="C33" s="581"/>
      <c r="D33" s="581"/>
      <c r="E33" s="581"/>
      <c r="F33" s="581"/>
      <c r="G33" s="581"/>
      <c r="H33" s="581"/>
      <c r="I33" s="581"/>
      <c r="J33" s="581"/>
      <c r="K33" s="582"/>
      <c r="L33" s="583"/>
      <c r="M33" s="575"/>
      <c r="N33" s="575"/>
      <c r="O33" s="575"/>
      <c r="P33" s="575"/>
    </row>
    <row r="34" spans="1:16" ht="13.5" customHeight="1">
      <c r="A34" s="580" t="s">
        <v>1272</v>
      </c>
      <c r="B34" s="581"/>
      <c r="C34" s="581"/>
      <c r="D34" s="581"/>
      <c r="E34" s="581"/>
      <c r="F34" s="581"/>
      <c r="G34" s="581"/>
      <c r="H34" s="581"/>
      <c r="I34" s="581"/>
      <c r="J34" s="581"/>
      <c r="K34" s="582"/>
      <c r="L34" s="583"/>
      <c r="M34" s="575"/>
      <c r="N34" s="575"/>
      <c r="O34" s="575"/>
      <c r="P34" s="575"/>
    </row>
    <row r="35" spans="1:16">
      <c r="A35" s="584"/>
      <c r="B35" s="582"/>
      <c r="C35" s="582"/>
      <c r="D35" s="582"/>
      <c r="E35" s="582"/>
      <c r="F35" s="582"/>
      <c r="G35" s="582"/>
      <c r="H35" s="582"/>
      <c r="I35" s="582"/>
      <c r="J35" s="582"/>
      <c r="K35" s="582"/>
      <c r="L35" s="583"/>
      <c r="M35" s="575"/>
      <c r="N35" s="575"/>
      <c r="O35" s="575"/>
      <c r="P35" s="575"/>
    </row>
    <row r="36" spans="1:16">
      <c r="A36" s="580" t="s">
        <v>1274</v>
      </c>
      <c r="B36" s="582"/>
      <c r="C36" s="582"/>
      <c r="D36" s="582"/>
      <c r="E36" s="582"/>
      <c r="F36" s="582"/>
      <c r="G36" s="582"/>
      <c r="H36" s="582"/>
      <c r="I36" s="582"/>
      <c r="J36" s="582"/>
      <c r="K36" s="582"/>
      <c r="L36" s="583"/>
      <c r="M36" s="575"/>
      <c r="N36" s="575"/>
      <c r="O36" s="575"/>
      <c r="P36" s="575"/>
    </row>
    <row r="37" spans="1:16" ht="17.25" customHeight="1">
      <c r="A37" s="580" t="s">
        <v>1275</v>
      </c>
      <c r="B37" s="582"/>
      <c r="C37" s="582"/>
      <c r="D37" s="582"/>
      <c r="E37" s="582"/>
      <c r="F37" s="582"/>
      <c r="G37" s="582"/>
      <c r="H37" s="582"/>
      <c r="I37" s="582"/>
      <c r="J37" s="582"/>
      <c r="K37" s="582"/>
      <c r="L37" s="583"/>
      <c r="M37" s="575"/>
      <c r="N37" s="575"/>
      <c r="O37" s="575"/>
      <c r="P37" s="575"/>
    </row>
    <row r="38" spans="1:16">
      <c r="A38" s="585"/>
      <c r="B38" s="586"/>
      <c r="C38" s="582"/>
      <c r="D38" s="582"/>
      <c r="E38" s="582"/>
      <c r="F38" s="582"/>
      <c r="G38" s="582"/>
      <c r="H38" s="582"/>
      <c r="I38" s="582"/>
      <c r="J38" s="582"/>
      <c r="K38" s="582"/>
      <c r="L38" s="583"/>
      <c r="M38" s="575"/>
      <c r="N38" s="575"/>
      <c r="O38" s="575"/>
      <c r="P38" s="575"/>
    </row>
    <row r="39" spans="1:16">
      <c r="A39" s="584"/>
      <c r="B39" s="582"/>
      <c r="C39" s="582"/>
      <c r="D39" s="582"/>
      <c r="E39" s="582"/>
      <c r="F39" s="582"/>
      <c r="G39" s="582"/>
      <c r="H39" s="582"/>
      <c r="I39" s="582"/>
      <c r="J39" s="582"/>
      <c r="K39" s="582"/>
      <c r="L39" s="583"/>
      <c r="M39" s="575"/>
      <c r="N39" s="575"/>
      <c r="O39" s="575"/>
      <c r="P39" s="575"/>
    </row>
    <row r="40" spans="1:16">
      <c r="A40" s="587"/>
      <c r="B40" s="24"/>
      <c r="C40" s="24"/>
      <c r="D40" s="24"/>
      <c r="E40" s="24"/>
      <c r="F40" s="24"/>
      <c r="G40" s="24"/>
      <c r="H40" s="24"/>
      <c r="I40" s="24"/>
      <c r="J40" s="24"/>
      <c r="K40" s="24"/>
      <c r="L40" s="588"/>
    </row>
    <row r="41" spans="1:16">
      <c r="A41" s="587" t="s">
        <v>1265</v>
      </c>
      <c r="B41" s="24"/>
      <c r="C41" s="24"/>
      <c r="D41" s="24"/>
      <c r="E41" s="24"/>
      <c r="F41" s="24"/>
      <c r="G41" s="24"/>
      <c r="H41" s="24"/>
      <c r="I41" s="24"/>
      <c r="J41" s="24"/>
      <c r="K41" s="24"/>
      <c r="L41" s="588"/>
    </row>
    <row r="42" spans="1:16">
      <c r="A42" s="587" t="s">
        <v>1276</v>
      </c>
      <c r="B42" s="24"/>
      <c r="C42" s="24"/>
      <c r="D42" s="24"/>
      <c r="E42" s="24"/>
      <c r="F42" s="24"/>
      <c r="G42" s="24"/>
      <c r="H42" s="24"/>
      <c r="I42" s="24"/>
      <c r="J42" s="24"/>
      <c r="K42" s="24"/>
      <c r="L42" s="588"/>
    </row>
    <row r="43" spans="1:16">
      <c r="A43" s="587" t="s">
        <v>1281</v>
      </c>
      <c r="B43" s="24"/>
      <c r="C43" s="24"/>
      <c r="D43" s="24"/>
      <c r="E43" s="24"/>
      <c r="F43" s="24"/>
      <c r="G43" s="24"/>
      <c r="H43" s="24"/>
      <c r="I43" s="24"/>
      <c r="J43" s="24"/>
      <c r="K43" s="24"/>
      <c r="L43" s="588"/>
    </row>
    <row r="44" spans="1:16">
      <c r="A44" s="587" t="s">
        <v>1277</v>
      </c>
      <c r="B44" s="24"/>
      <c r="C44" s="24"/>
      <c r="D44" s="24"/>
      <c r="E44" s="24"/>
      <c r="F44" s="24"/>
      <c r="G44" s="24"/>
      <c r="H44" s="24"/>
      <c r="I44" s="24"/>
      <c r="J44" s="24"/>
      <c r="K44" s="24"/>
      <c r="L44" s="588"/>
    </row>
    <row r="45" spans="1:16">
      <c r="A45" s="587" t="s">
        <v>1278</v>
      </c>
      <c r="B45" s="24"/>
      <c r="C45" s="24"/>
      <c r="D45" s="24"/>
      <c r="E45" s="24"/>
      <c r="F45" s="24"/>
      <c r="G45" s="24"/>
      <c r="H45" s="24"/>
      <c r="I45" s="24"/>
      <c r="J45" s="24"/>
      <c r="K45" s="24"/>
      <c r="L45" s="588"/>
    </row>
    <row r="46" spans="1:16">
      <c r="A46" s="587" t="s">
        <v>1279</v>
      </c>
      <c r="B46" s="24"/>
      <c r="C46" s="24"/>
      <c r="D46" s="24"/>
      <c r="E46" s="24"/>
      <c r="F46" s="24"/>
      <c r="G46" s="24"/>
      <c r="H46" s="24"/>
      <c r="I46" s="24"/>
      <c r="J46" s="24"/>
      <c r="K46" s="24"/>
      <c r="L46" s="588"/>
    </row>
    <row r="47" spans="1:16">
      <c r="A47" s="587" t="s">
        <v>1280</v>
      </c>
      <c r="B47" s="24"/>
      <c r="C47" s="24"/>
      <c r="D47" s="24"/>
      <c r="E47" s="24"/>
      <c r="F47" s="24"/>
      <c r="G47" s="24"/>
      <c r="H47" s="24"/>
      <c r="I47" s="24"/>
      <c r="J47" s="24"/>
      <c r="K47" s="24"/>
      <c r="L47" s="588"/>
    </row>
    <row r="48" spans="1:16">
      <c r="A48" s="587"/>
      <c r="B48" s="24"/>
      <c r="C48" s="24"/>
      <c r="D48" s="24"/>
      <c r="E48" s="24"/>
      <c r="F48" s="24"/>
      <c r="G48" s="24"/>
      <c r="H48" s="24"/>
      <c r="I48" s="24"/>
      <c r="J48" s="24"/>
      <c r="K48" s="24"/>
      <c r="L48" s="588"/>
    </row>
    <row r="49" spans="1:12">
      <c r="A49" s="589" t="s">
        <v>1266</v>
      </c>
      <c r="B49" s="24"/>
      <c r="C49" s="24"/>
      <c r="D49" s="24"/>
      <c r="E49" s="24"/>
      <c r="F49" s="24"/>
      <c r="G49" s="24"/>
      <c r="H49" s="24"/>
      <c r="I49" s="24"/>
      <c r="J49" s="24"/>
      <c r="K49" s="24"/>
      <c r="L49" s="588"/>
    </row>
    <row r="50" spans="1:12">
      <c r="A50" s="590" t="s">
        <v>1282</v>
      </c>
      <c r="B50" s="24"/>
      <c r="C50" s="24"/>
      <c r="D50" s="24"/>
      <c r="E50" s="24"/>
      <c r="F50" s="24"/>
      <c r="G50" s="24"/>
      <c r="H50" s="24"/>
      <c r="I50" s="24"/>
      <c r="J50" s="24"/>
      <c r="K50" s="24"/>
      <c r="L50" s="588"/>
    </row>
    <row r="51" spans="1:12">
      <c r="A51" s="587"/>
      <c r="B51" s="24"/>
      <c r="C51" s="24"/>
      <c r="D51" s="24"/>
      <c r="E51" s="24"/>
      <c r="F51" s="24"/>
      <c r="G51" s="24"/>
      <c r="H51" s="24"/>
      <c r="I51" s="24"/>
      <c r="J51" s="24"/>
      <c r="K51" s="24"/>
      <c r="L51" s="588"/>
    </row>
    <row r="52" spans="1:12">
      <c r="A52" s="587"/>
      <c r="B52" s="24"/>
      <c r="C52" s="24"/>
      <c r="D52" s="24"/>
      <c r="E52" s="24"/>
      <c r="F52" s="24"/>
      <c r="G52" s="24"/>
      <c r="H52" s="24"/>
      <c r="I52" s="24"/>
      <c r="J52" s="24"/>
      <c r="K52" s="24"/>
      <c r="L52" s="588"/>
    </row>
    <row r="53" spans="1:12">
      <c r="A53" s="589" t="s">
        <v>1267</v>
      </c>
      <c r="B53" s="24"/>
      <c r="C53" s="24"/>
      <c r="D53" s="24"/>
      <c r="E53" s="24"/>
      <c r="F53" s="24"/>
      <c r="G53" s="24"/>
      <c r="H53" s="24"/>
      <c r="I53" s="24"/>
      <c r="J53" s="24"/>
      <c r="K53" s="24"/>
      <c r="L53" s="588"/>
    </row>
    <row r="54" spans="1:12">
      <c r="A54" s="590" t="s">
        <v>1283</v>
      </c>
      <c r="B54" s="24"/>
      <c r="C54" s="24"/>
      <c r="D54" s="24"/>
      <c r="E54" s="24"/>
      <c r="F54" s="24"/>
      <c r="G54" s="24"/>
      <c r="H54" s="24"/>
      <c r="I54" s="24"/>
      <c r="J54" s="24"/>
      <c r="K54" s="24"/>
      <c r="L54" s="588"/>
    </row>
    <row r="55" spans="1:12" ht="14.25" thickBot="1">
      <c r="A55" s="601"/>
      <c r="B55" s="591"/>
      <c r="C55" s="591"/>
      <c r="D55" s="591"/>
      <c r="E55" s="591"/>
      <c r="F55" s="591"/>
      <c r="G55" s="591"/>
      <c r="H55" s="591"/>
      <c r="I55" s="591"/>
      <c r="J55" s="591"/>
      <c r="K55" s="591"/>
      <c r="L55" s="592"/>
    </row>
    <row r="57" spans="1:12" ht="14.25" thickBot="1">
      <c r="A57" t="s">
        <v>1286</v>
      </c>
    </row>
    <row r="58" spans="1:12" ht="24">
      <c r="A58" s="593" t="s">
        <v>1290</v>
      </c>
      <c r="B58" s="594"/>
      <c r="C58" s="594"/>
      <c r="D58" s="595"/>
      <c r="E58" s="596"/>
    </row>
    <row r="59" spans="1:12" ht="24.75" thickBot="1">
      <c r="A59" s="597" t="s">
        <v>1285</v>
      </c>
      <c r="B59" s="598"/>
      <c r="C59" s="598"/>
      <c r="D59" s="599"/>
      <c r="E59" s="600"/>
    </row>
    <row r="61" spans="1:12">
      <c r="A61" t="s">
        <v>1287</v>
      </c>
    </row>
    <row r="62" spans="1:12">
      <c r="A62" t="s">
        <v>1288</v>
      </c>
    </row>
    <row r="63" spans="1:12">
      <c r="A63" t="s">
        <v>1289</v>
      </c>
    </row>
    <row r="65" spans="1:8">
      <c r="A65" t="s">
        <v>1291</v>
      </c>
    </row>
    <row r="66" spans="1:8">
      <c r="A66" t="s">
        <v>1292</v>
      </c>
      <c r="D66" s="55">
        <f>1000*EXP(0.5%*0.5)</f>
        <v>1002.5031276057952</v>
      </c>
      <c r="F66" t="s">
        <v>1293</v>
      </c>
    </row>
    <row r="70" spans="1:8">
      <c r="A70" t="s">
        <v>623</v>
      </c>
    </row>
    <row r="71" spans="1:8" s="255" customFormat="1" ht="11.25">
      <c r="A71" s="348" t="s">
        <v>1131</v>
      </c>
      <c r="B71" s="349"/>
      <c r="C71" s="349"/>
      <c r="D71" s="349"/>
      <c r="E71" s="349"/>
      <c r="F71" s="349"/>
      <c r="G71" s="349"/>
      <c r="H71" s="350"/>
    </row>
    <row r="72" spans="1:8" s="255" customFormat="1" ht="11.25">
      <c r="A72" s="351" t="s">
        <v>1132</v>
      </c>
      <c r="B72" s="352"/>
      <c r="C72" s="352"/>
      <c r="D72" s="352"/>
      <c r="E72" s="352"/>
      <c r="F72" s="352"/>
      <c r="G72" s="352"/>
      <c r="H72" s="353"/>
    </row>
    <row r="73" spans="1:8" s="255" customFormat="1" ht="11.25">
      <c r="A73" s="355" t="s">
        <v>1133</v>
      </c>
      <c r="B73" s="356"/>
      <c r="C73" s="356"/>
      <c r="D73" s="356"/>
      <c r="E73" s="356"/>
      <c r="F73" s="356"/>
      <c r="G73" s="356"/>
      <c r="H73" s="357"/>
    </row>
    <row r="74" spans="1:8" s="255" customFormat="1" ht="11.25"/>
    <row r="75" spans="1:8" s="255" customFormat="1" ht="11.25">
      <c r="A75" s="255" t="s">
        <v>1134</v>
      </c>
      <c r="B75" s="255" t="s">
        <v>1079</v>
      </c>
      <c r="C75" s="540" t="s">
        <v>1139</v>
      </c>
      <c r="D75" s="540"/>
      <c r="E75" s="540"/>
    </row>
    <row r="76" spans="1:8" s="255" customFormat="1" ht="11.25">
      <c r="A76" s="255" t="s">
        <v>1135</v>
      </c>
      <c r="B76" s="255" t="s">
        <v>1078</v>
      </c>
      <c r="C76" s="540" t="s">
        <v>1077</v>
      </c>
      <c r="D76" s="540"/>
      <c r="E76" s="540"/>
    </row>
    <row r="77" spans="1:8" s="255" customFormat="1" ht="11.25"/>
    <row r="78" spans="1:8" s="255" customFormat="1" ht="11.25">
      <c r="A78" s="255" t="s">
        <v>1136</v>
      </c>
      <c r="C78" s="255" t="s">
        <v>1071</v>
      </c>
    </row>
    <row r="79" spans="1:8" s="255" customFormat="1" ht="11.25">
      <c r="C79" s="540" t="s">
        <v>1257</v>
      </c>
      <c r="D79" s="540"/>
      <c r="E79" s="540"/>
    </row>
    <row r="80" spans="1:8" s="255" customFormat="1" ht="11.25"/>
    <row r="81" spans="1:8" s="255" customFormat="1" ht="11.25"/>
    <row r="82" spans="1:8" s="255" customFormat="1" ht="11.25">
      <c r="C82" s="541" t="s">
        <v>1140</v>
      </c>
    </row>
    <row r="83" spans="1:8" s="255" customFormat="1" ht="11.25"/>
    <row r="84" spans="1:8" s="255" customFormat="1" ht="11.25"/>
    <row r="85" spans="1:8" s="255" customFormat="1" ht="11.25"/>
    <row r="86" spans="1:8" s="255" customFormat="1" ht="11.25">
      <c r="D86" s="255" t="s">
        <v>1082</v>
      </c>
    </row>
    <row r="87" spans="1:8" s="255" customFormat="1" ht="11.25">
      <c r="G87" s="255" t="s">
        <v>1141</v>
      </c>
    </row>
    <row r="88" spans="1:8" s="255" customFormat="1" ht="11.25"/>
    <row r="89" spans="1:8" s="255" customFormat="1" ht="11.25"/>
    <row r="90" spans="1:8" s="255" customFormat="1" ht="11.25"/>
    <row r="91" spans="1:8" s="255" customFormat="1" ht="11.25">
      <c r="E91" s="255" t="s">
        <v>747</v>
      </c>
      <c r="F91" s="255" t="s">
        <v>1083</v>
      </c>
    </row>
    <row r="92" spans="1:8" s="255" customFormat="1" ht="11.25"/>
    <row r="93" spans="1:8" s="255" customFormat="1" ht="11.25">
      <c r="A93" s="348" t="s">
        <v>1143</v>
      </c>
      <c r="B93" s="349"/>
      <c r="C93" s="349"/>
      <c r="D93" s="349"/>
      <c r="E93" s="349"/>
      <c r="F93" s="349"/>
      <c r="G93" s="349"/>
      <c r="H93" s="350"/>
    </row>
    <row r="94" spans="1:8" s="255" customFormat="1" ht="11.25">
      <c r="A94" s="351" t="s">
        <v>1144</v>
      </c>
      <c r="B94" s="352"/>
      <c r="C94" s="352"/>
      <c r="D94" s="352"/>
      <c r="E94" s="352"/>
      <c r="F94" s="352"/>
      <c r="G94" s="352"/>
      <c r="H94" s="353"/>
    </row>
    <row r="95" spans="1:8" s="255" customFormat="1" ht="11.25">
      <c r="A95" s="351" t="s">
        <v>1145</v>
      </c>
      <c r="B95" s="352"/>
      <c r="C95" s="352"/>
      <c r="D95" s="352"/>
      <c r="E95" s="352"/>
      <c r="F95" s="352"/>
      <c r="G95" s="352"/>
      <c r="H95" s="353"/>
    </row>
    <row r="96" spans="1:8" s="255" customFormat="1" ht="11.25">
      <c r="A96" s="355" t="s">
        <v>1129</v>
      </c>
      <c r="B96" s="356"/>
      <c r="C96" s="356"/>
      <c r="D96" s="356"/>
      <c r="E96" s="356"/>
      <c r="F96" s="356"/>
      <c r="G96" s="356"/>
      <c r="H96" s="357"/>
    </row>
    <row r="97" spans="1:6" s="255" customFormat="1" ht="11.25"/>
    <row r="98" spans="1:6" s="255" customFormat="1" ht="11.25">
      <c r="A98" s="255" t="s">
        <v>1146</v>
      </c>
      <c r="B98" s="255" t="s">
        <v>1078</v>
      </c>
      <c r="D98" s="540" t="s">
        <v>1151</v>
      </c>
    </row>
    <row r="99" spans="1:6" s="255" customFormat="1" ht="11.25">
      <c r="A99" s="255" t="s">
        <v>1147</v>
      </c>
      <c r="B99" s="255" t="s">
        <v>1078</v>
      </c>
      <c r="D99" s="540" t="s">
        <v>1077</v>
      </c>
    </row>
    <row r="100" spans="1:6" s="255" customFormat="1" ht="11.25">
      <c r="A100" s="255" t="s">
        <v>1091</v>
      </c>
      <c r="B100" s="255" t="s">
        <v>1079</v>
      </c>
    </row>
    <row r="101" spans="1:6" s="255" customFormat="1" ht="11.25">
      <c r="D101" s="255" t="s">
        <v>1071</v>
      </c>
    </row>
    <row r="102" spans="1:6" s="255" customFormat="1" ht="11.25">
      <c r="A102" s="255" t="s">
        <v>1149</v>
      </c>
      <c r="D102" s="540" t="s">
        <v>1152</v>
      </c>
    </row>
    <row r="103" spans="1:6" s="255" customFormat="1" ht="11.25">
      <c r="A103" s="255" t="s">
        <v>1093</v>
      </c>
    </row>
    <row r="104" spans="1:6" s="255" customFormat="1" ht="11.25">
      <c r="A104" s="255" t="s">
        <v>1150</v>
      </c>
    </row>
    <row r="105" spans="1:6" s="255" customFormat="1" ht="11.25"/>
    <row r="106" spans="1:6" s="255" customFormat="1" ht="11.25"/>
    <row r="107" spans="1:6" s="255" customFormat="1" ht="11.25">
      <c r="F107" s="255" t="s">
        <v>1148</v>
      </c>
    </row>
    <row r="108" spans="1:6" s="255" customFormat="1" ht="11.25">
      <c r="C108" s="255" t="s">
        <v>1082</v>
      </c>
    </row>
    <row r="109" spans="1:6" s="255" customFormat="1" ht="11.25">
      <c r="F109" s="255" t="s">
        <v>1153</v>
      </c>
    </row>
    <row r="110" spans="1:6" s="255" customFormat="1" ht="11.25"/>
    <row r="111" spans="1:6" s="255" customFormat="1" ht="11.25"/>
    <row r="112" spans="1:6" s="255" customFormat="1" ht="11.25"/>
    <row r="113" spans="4:5" s="255" customFormat="1" ht="11.25">
      <c r="D113" s="255" t="s">
        <v>747</v>
      </c>
      <c r="E113" s="255" t="s">
        <v>1083</v>
      </c>
    </row>
  </sheetData>
  <phoneticPr fontId="1"/>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F41"/>
  <sheetViews>
    <sheetView showGridLines="0" workbookViewId="0">
      <selection activeCell="H37" sqref="H37"/>
    </sheetView>
  </sheetViews>
  <sheetFormatPr defaultRowHeight="11.25"/>
  <cols>
    <col min="1" max="16384" width="9" style="87"/>
  </cols>
  <sheetData>
    <row r="1" spans="1:3" ht="32.25">
      <c r="A1" s="692" t="s">
        <v>1517</v>
      </c>
    </row>
    <row r="4" spans="1:3">
      <c r="A4" s="87" t="s">
        <v>635</v>
      </c>
    </row>
    <row r="5" spans="1:3">
      <c r="A5" s="87" t="s">
        <v>1518</v>
      </c>
    </row>
    <row r="7" spans="1:3">
      <c r="A7" s="87" t="s">
        <v>1519</v>
      </c>
    </row>
    <row r="9" spans="1:3">
      <c r="A9" s="87" t="s">
        <v>1520</v>
      </c>
    </row>
    <row r="10" spans="1:3">
      <c r="A10" s="88" t="s">
        <v>707</v>
      </c>
      <c r="B10" s="88" t="s">
        <v>708</v>
      </c>
      <c r="C10" s="88" t="s">
        <v>709</v>
      </c>
    </row>
    <row r="11" spans="1:3">
      <c r="A11" s="88">
        <v>3.5</v>
      </c>
      <c r="B11" s="88">
        <f>(1/6) * ( (1-3.5)^2 + (2-3.5)^2 + (3-3.5)^2  + (4-3.5)^2 + (5-3.5)^2 + (6-3.5)^2  )</f>
        <v>2.9166666666666665</v>
      </c>
      <c r="C11" s="88">
        <f>B11^0.5</f>
        <v>1.707825127659933</v>
      </c>
    </row>
    <row r="13" spans="1:3">
      <c r="A13" s="87" t="s">
        <v>1521</v>
      </c>
    </row>
    <row r="14" spans="1:3">
      <c r="A14" s="25" t="s">
        <v>707</v>
      </c>
      <c r="B14" s="93" t="s">
        <v>708</v>
      </c>
      <c r="C14" s="93" t="s">
        <v>709</v>
      </c>
    </row>
    <row r="15" spans="1:3">
      <c r="A15" s="88">
        <f>A11*5000</f>
        <v>17500</v>
      </c>
      <c r="B15" s="88">
        <f>5000^2 * B11</f>
        <v>72916666.666666657</v>
      </c>
      <c r="C15" s="88">
        <f>5000*C11</f>
        <v>8539.1256382996653</v>
      </c>
    </row>
    <row r="17" spans="1:6" ht="14.25">
      <c r="A17" s="675" t="s">
        <v>1522</v>
      </c>
      <c r="B17" s="675"/>
      <c r="C17" s="675"/>
      <c r="D17" s="675"/>
      <c r="E17" s="675"/>
      <c r="F17" s="675"/>
    </row>
    <row r="18" spans="1:6" ht="14.25">
      <c r="A18" s="675"/>
      <c r="B18" s="675"/>
      <c r="C18" s="675"/>
      <c r="D18" s="675"/>
      <c r="E18" s="675"/>
      <c r="F18" s="675"/>
    </row>
    <row r="20" spans="1:6">
      <c r="A20" s="87" t="s">
        <v>648</v>
      </c>
    </row>
    <row r="21" spans="1:6">
      <c r="A21" s="87" t="s">
        <v>1525</v>
      </c>
    </row>
    <row r="22" spans="1:6">
      <c r="A22" s="87" t="s">
        <v>1523</v>
      </c>
    </row>
    <row r="24" spans="1:6">
      <c r="A24" s="87" t="s">
        <v>1396</v>
      </c>
    </row>
    <row r="25" spans="1:6">
      <c r="A25" s="87" t="s">
        <v>1524</v>
      </c>
    </row>
    <row r="26" spans="1:6">
      <c r="A26" s="87" t="s">
        <v>1530</v>
      </c>
    </row>
    <row r="27" spans="1:6">
      <c r="A27" s="678" t="s">
        <v>1526</v>
      </c>
      <c r="B27" s="678"/>
      <c r="C27" s="678"/>
    </row>
    <row r="28" spans="1:6">
      <c r="A28" s="678" t="s">
        <v>1527</v>
      </c>
      <c r="B28" s="678"/>
      <c r="C28" s="678"/>
    </row>
    <row r="29" spans="1:6">
      <c r="A29" s="678" t="s">
        <v>1528</v>
      </c>
      <c r="B29" s="678"/>
      <c r="C29" s="678"/>
    </row>
    <row r="30" spans="1:6">
      <c r="A30" s="678" t="s">
        <v>1529</v>
      </c>
      <c r="B30" s="678"/>
      <c r="C30" s="678"/>
    </row>
    <row r="32" spans="1:6">
      <c r="A32" s="87" t="s">
        <v>1531</v>
      </c>
    </row>
    <row r="33" spans="1:4">
      <c r="A33" s="87" t="s">
        <v>1532</v>
      </c>
    </row>
    <row r="35" spans="1:4">
      <c r="A35" s="87" t="s">
        <v>1533</v>
      </c>
    </row>
    <row r="36" spans="1:4">
      <c r="A36" s="87" t="s">
        <v>1534</v>
      </c>
    </row>
    <row r="38" spans="1:4" ht="14.25">
      <c r="A38" s="675" t="s">
        <v>1535</v>
      </c>
      <c r="B38" s="675"/>
      <c r="C38" s="675"/>
      <c r="D38" s="675"/>
    </row>
    <row r="39" spans="1:4" ht="14.25">
      <c r="A39" s="675" t="s">
        <v>1536</v>
      </c>
      <c r="B39" s="675"/>
      <c r="C39" s="675"/>
      <c r="D39" s="675"/>
    </row>
    <row r="40" spans="1:4" ht="14.25">
      <c r="A40" s="675"/>
      <c r="B40" s="675"/>
      <c r="C40" s="675"/>
      <c r="D40" s="675"/>
    </row>
    <row r="41" spans="1:4" ht="14.25">
      <c r="A41" s="675" t="s">
        <v>1537</v>
      </c>
      <c r="B41" s="675"/>
      <c r="C41" s="675"/>
      <c r="D41" s="675"/>
    </row>
  </sheetData>
  <phoneticPr fontId="1"/>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84"/>
  <sheetViews>
    <sheetView showGridLines="0" topLeftCell="A56" workbookViewId="0">
      <selection activeCell="B12" sqref="B12:E14"/>
    </sheetView>
  </sheetViews>
  <sheetFormatPr defaultRowHeight="13.5"/>
  <cols>
    <col min="1" max="24" width="14.625" customWidth="1"/>
  </cols>
  <sheetData>
    <row r="1" spans="1:5" ht="28.5">
      <c r="A1" s="47" t="s">
        <v>135</v>
      </c>
    </row>
    <row r="2" spans="1:5" ht="16.5" customHeight="1" thickBot="1">
      <c r="A2" s="47"/>
    </row>
    <row r="3" spans="1:5" ht="16.5" customHeight="1" thickBot="1">
      <c r="A3" s="47"/>
      <c r="B3" s="58" t="s">
        <v>136</v>
      </c>
      <c r="C3" s="59"/>
      <c r="D3" s="60"/>
    </row>
    <row r="4" spans="1:5" ht="16.5" customHeight="1">
      <c r="A4" s="47"/>
    </row>
    <row r="5" spans="1:5">
      <c r="B5" s="50" t="s">
        <v>118</v>
      </c>
    </row>
    <row r="6" spans="1:5">
      <c r="B6" t="s">
        <v>109</v>
      </c>
    </row>
    <row r="7" spans="1:5">
      <c r="B7" s="9" t="s">
        <v>83</v>
      </c>
      <c r="C7" s="9" t="s">
        <v>27</v>
      </c>
      <c r="D7" s="51" t="s">
        <v>110</v>
      </c>
    </row>
    <row r="8" spans="1:5">
      <c r="B8" s="8">
        <v>1</v>
      </c>
      <c r="C8" s="8">
        <v>99</v>
      </c>
      <c r="D8" s="51">
        <f>C8/100</f>
        <v>0.99</v>
      </c>
    </row>
    <row r="9" spans="1:5">
      <c r="B9" s="8">
        <v>2</v>
      </c>
      <c r="C9" s="8">
        <v>98</v>
      </c>
      <c r="D9" s="51">
        <f>C9/100</f>
        <v>0.98</v>
      </c>
    </row>
    <row r="11" spans="1:5">
      <c r="B11" t="s">
        <v>116</v>
      </c>
    </row>
    <row r="12" spans="1:5">
      <c r="B12" s="9" t="s">
        <v>83</v>
      </c>
      <c r="C12" s="9" t="s">
        <v>121</v>
      </c>
      <c r="D12" s="9" t="s">
        <v>111</v>
      </c>
      <c r="E12" s="13" t="s">
        <v>115</v>
      </c>
    </row>
    <row r="13" spans="1:5">
      <c r="B13" s="8">
        <v>1</v>
      </c>
      <c r="C13" s="8">
        <v>2</v>
      </c>
      <c r="D13" s="8">
        <f>C13*D8</f>
        <v>1.98</v>
      </c>
      <c r="E13" s="48" t="s">
        <v>112</v>
      </c>
    </row>
    <row r="14" spans="1:5">
      <c r="B14" s="8">
        <v>2</v>
      </c>
      <c r="C14" s="8">
        <v>102</v>
      </c>
      <c r="D14" s="8">
        <f>C14*D9</f>
        <v>99.96</v>
      </c>
      <c r="E14" s="48" t="s">
        <v>113</v>
      </c>
    </row>
    <row r="16" spans="1:5">
      <c r="B16" t="s">
        <v>117</v>
      </c>
    </row>
    <row r="17" spans="1:6">
      <c r="B17" t="s">
        <v>114</v>
      </c>
      <c r="C17" s="49">
        <f>SUM(D13:D14)</f>
        <v>101.94</v>
      </c>
    </row>
    <row r="20" spans="1:6">
      <c r="B20" s="50" t="s">
        <v>119</v>
      </c>
    </row>
    <row r="21" spans="1:6">
      <c r="B21" t="s">
        <v>109</v>
      </c>
    </row>
    <row r="22" spans="1:6">
      <c r="B22" s="9" t="s">
        <v>83</v>
      </c>
      <c r="C22" s="9" t="s">
        <v>27</v>
      </c>
      <c r="D22" s="16" t="s">
        <v>110</v>
      </c>
    </row>
    <row r="23" spans="1:6">
      <c r="B23" s="8">
        <v>1</v>
      </c>
      <c r="C23" s="8">
        <v>99</v>
      </c>
      <c r="D23" s="16">
        <f>C23/100</f>
        <v>0.99</v>
      </c>
    </row>
    <row r="25" spans="1:6" s="53" customFormat="1">
      <c r="B25" s="53" t="s">
        <v>123</v>
      </c>
    </row>
    <row r="26" spans="1:6" s="53" customFormat="1">
      <c r="B26" s="9" t="s">
        <v>83</v>
      </c>
      <c r="C26" s="9" t="s">
        <v>121</v>
      </c>
      <c r="D26" s="9" t="s">
        <v>122</v>
      </c>
      <c r="E26" s="54"/>
    </row>
    <row r="27" spans="1:6" s="53" customFormat="1">
      <c r="A27" s="54"/>
      <c r="B27" s="8">
        <v>1</v>
      </c>
      <c r="C27" s="8">
        <v>2.2000000000000002</v>
      </c>
      <c r="D27" s="8">
        <f>C27*D23</f>
        <v>2.1779999999999999</v>
      </c>
      <c r="E27" s="52"/>
    </row>
    <row r="28" spans="1:6" s="53" customFormat="1">
      <c r="A28" s="54"/>
      <c r="B28" s="54"/>
      <c r="C28" s="54"/>
      <c r="D28" s="54"/>
      <c r="E28" s="52"/>
    </row>
    <row r="29" spans="1:6" s="53" customFormat="1">
      <c r="B29" s="9" t="s">
        <v>83</v>
      </c>
      <c r="C29" s="9" t="s">
        <v>121</v>
      </c>
      <c r="D29" s="9" t="s">
        <v>128</v>
      </c>
      <c r="E29" s="16" t="s">
        <v>110</v>
      </c>
    </row>
    <row r="30" spans="1:6" s="53" customFormat="1">
      <c r="B30" s="8">
        <v>2</v>
      </c>
      <c r="C30" s="8">
        <v>102.2</v>
      </c>
      <c r="D30" s="17">
        <v>101.8</v>
      </c>
      <c r="E30" s="16">
        <f xml:space="preserve"> ( D30 - D27 ) / C30</f>
        <v>0.97477495107632095</v>
      </c>
      <c r="F30" s="53" t="s">
        <v>124</v>
      </c>
    </row>
    <row r="32" spans="1:6">
      <c r="B32" t="s">
        <v>120</v>
      </c>
    </row>
    <row r="33" spans="2:6">
      <c r="B33" t="s">
        <v>125</v>
      </c>
      <c r="C33" s="55">
        <f>100 * E30</f>
        <v>97.477495107632095</v>
      </c>
    </row>
    <row r="36" spans="2:6">
      <c r="B36" s="50" t="s">
        <v>126</v>
      </c>
    </row>
    <row r="37" spans="2:6">
      <c r="B37" t="s">
        <v>109</v>
      </c>
    </row>
    <row r="38" spans="2:6">
      <c r="B38" s="9" t="s">
        <v>83</v>
      </c>
      <c r="C38" s="9" t="s">
        <v>27</v>
      </c>
      <c r="D38" s="16" t="s">
        <v>110</v>
      </c>
    </row>
    <row r="39" spans="2:6">
      <c r="B39" s="8">
        <v>0.5</v>
      </c>
      <c r="C39" s="8">
        <v>99</v>
      </c>
      <c r="D39" s="16">
        <f>C39/100</f>
        <v>0.99</v>
      </c>
    </row>
    <row r="41" spans="2:6">
      <c r="B41" s="53" t="s">
        <v>127</v>
      </c>
      <c r="C41" s="53"/>
      <c r="D41" s="53"/>
    </row>
    <row r="42" spans="2:6">
      <c r="B42" s="9" t="s">
        <v>83</v>
      </c>
      <c r="C42" s="9" t="s">
        <v>121</v>
      </c>
      <c r="D42" s="9" t="s">
        <v>122</v>
      </c>
    </row>
    <row r="43" spans="2:6">
      <c r="B43" s="8">
        <v>0.5</v>
      </c>
      <c r="C43" s="8">
        <v>2</v>
      </c>
      <c r="D43" s="8">
        <f>C43*D39</f>
        <v>1.98</v>
      </c>
    </row>
    <row r="45" spans="2:6">
      <c r="B45" s="9" t="s">
        <v>83</v>
      </c>
      <c r="C45" s="9" t="s">
        <v>121</v>
      </c>
      <c r="D45" s="9" t="s">
        <v>128</v>
      </c>
      <c r="E45" s="16" t="s">
        <v>110</v>
      </c>
    </row>
    <row r="46" spans="2:6">
      <c r="B46" s="8">
        <v>1</v>
      </c>
      <c r="C46" s="8">
        <v>102</v>
      </c>
      <c r="D46" s="17">
        <v>102.45</v>
      </c>
      <c r="E46" s="16">
        <f xml:space="preserve"> ( D46 - D43 ) / C46</f>
        <v>0.98499999999999999</v>
      </c>
      <c r="F46" s="53" t="s">
        <v>129</v>
      </c>
    </row>
    <row r="48" spans="2:6">
      <c r="B48" s="53" t="s">
        <v>130</v>
      </c>
      <c r="C48" s="53"/>
    </row>
    <row r="49" spans="2:6">
      <c r="B49" s="9" t="s">
        <v>83</v>
      </c>
      <c r="C49" s="9" t="s">
        <v>121</v>
      </c>
      <c r="D49" s="9" t="s">
        <v>122</v>
      </c>
    </row>
    <row r="50" spans="2:6">
      <c r="B50" s="8">
        <v>0.5</v>
      </c>
      <c r="C50" s="8">
        <v>1.5</v>
      </c>
      <c r="D50" s="8">
        <f>C50*D39</f>
        <v>1.4849999999999999</v>
      </c>
    </row>
    <row r="52" spans="2:6">
      <c r="B52" s="9" t="s">
        <v>83</v>
      </c>
      <c r="C52" s="9" t="s">
        <v>121</v>
      </c>
      <c r="D52" s="9" t="s">
        <v>122</v>
      </c>
    </row>
    <row r="53" spans="2:6">
      <c r="B53" s="8">
        <v>1</v>
      </c>
      <c r="C53" s="8">
        <v>1.5</v>
      </c>
      <c r="D53" s="8">
        <f>C53*E46</f>
        <v>1.4775</v>
      </c>
    </row>
    <row r="55" spans="2:6">
      <c r="B55" s="9" t="s">
        <v>83</v>
      </c>
      <c r="C55" s="9" t="s">
        <v>121</v>
      </c>
      <c r="D55" s="9" t="s">
        <v>128</v>
      </c>
      <c r="E55" s="16" t="s">
        <v>110</v>
      </c>
    </row>
    <row r="56" spans="2:6">
      <c r="B56" s="8">
        <v>1.5</v>
      </c>
      <c r="C56" s="8">
        <v>101.5</v>
      </c>
      <c r="D56" s="17">
        <v>102.23</v>
      </c>
      <c r="E56" s="16">
        <f>(D56 - 1.5 * (D39 + E46 ) ) / C56</f>
        <v>0.97800492610837442</v>
      </c>
      <c r="F56" t="s">
        <v>131</v>
      </c>
    </row>
    <row r="58" spans="2:6">
      <c r="B58" s="13" t="s">
        <v>132</v>
      </c>
      <c r="C58" s="56">
        <f>100 * D39</f>
        <v>99</v>
      </c>
    </row>
    <row r="59" spans="2:6">
      <c r="B59" s="13" t="s">
        <v>134</v>
      </c>
      <c r="C59" s="56">
        <f>100*E46</f>
        <v>98.5</v>
      </c>
    </row>
    <row r="60" spans="2:6">
      <c r="B60" s="13" t="s">
        <v>133</v>
      </c>
      <c r="C60" s="56">
        <f>100*E56</f>
        <v>97.800492610837438</v>
      </c>
    </row>
    <row r="63" spans="2:6" s="61" customFormat="1" ht="9" customHeight="1"/>
    <row r="65" spans="1:9" ht="28.5">
      <c r="A65" s="47" t="s">
        <v>137</v>
      </c>
    </row>
    <row r="67" spans="1:9">
      <c r="B67" s="63" t="s">
        <v>138</v>
      </c>
      <c r="C67" s="63" t="s">
        <v>83</v>
      </c>
      <c r="D67" s="63" t="s">
        <v>139</v>
      </c>
      <c r="E67" s="63" t="s">
        <v>140</v>
      </c>
      <c r="F67" s="68" t="s">
        <v>144</v>
      </c>
    </row>
    <row r="68" spans="1:9">
      <c r="B68" s="8" t="s">
        <v>108</v>
      </c>
      <c r="C68" s="8">
        <v>0.5</v>
      </c>
      <c r="D68" s="8"/>
      <c r="E68" s="8">
        <v>99.7</v>
      </c>
    </row>
    <row r="69" spans="1:9">
      <c r="B69" s="8" t="s">
        <v>141</v>
      </c>
      <c r="C69" s="8">
        <v>1</v>
      </c>
      <c r="D69" s="8">
        <v>0.8</v>
      </c>
      <c r="E69" s="8">
        <v>100</v>
      </c>
    </row>
    <row r="70" spans="1:9">
      <c r="B70" s="8" t="s">
        <v>141</v>
      </c>
      <c r="C70" s="8">
        <v>1.5</v>
      </c>
      <c r="D70" s="8">
        <v>1.4</v>
      </c>
      <c r="E70" s="8">
        <v>100.6</v>
      </c>
    </row>
    <row r="71" spans="1:9">
      <c r="B71" s="8" t="s">
        <v>141</v>
      </c>
      <c r="C71" s="8">
        <v>2</v>
      </c>
      <c r="D71" s="8">
        <v>1.5</v>
      </c>
      <c r="E71" s="8">
        <v>100.5</v>
      </c>
    </row>
    <row r="73" spans="1:9">
      <c r="B73" s="65" t="s">
        <v>142</v>
      </c>
      <c r="G73" t="s">
        <v>159</v>
      </c>
    </row>
    <row r="74" spans="1:9">
      <c r="B74" t="s">
        <v>143</v>
      </c>
      <c r="C74" s="66"/>
      <c r="E74" s="70">
        <f>99.7/100</f>
        <v>0.997</v>
      </c>
      <c r="G74" s="7">
        <v>0.75</v>
      </c>
      <c r="H74" s="7">
        <f>G74*E74</f>
        <v>0.74775000000000003</v>
      </c>
    </row>
    <row r="75" spans="1:9">
      <c r="B75" t="s">
        <v>145</v>
      </c>
      <c r="E75" s="70">
        <f>(100 - 0.4*E74 ) / 100.4</f>
        <v>0.99204382470119523</v>
      </c>
      <c r="G75" s="7">
        <v>0.75</v>
      </c>
      <c r="H75" s="7">
        <f t="shared" ref="H75:H77" si="0">G75*E75</f>
        <v>0.74403286852589645</v>
      </c>
    </row>
    <row r="76" spans="1:9">
      <c r="B76" t="s">
        <v>146</v>
      </c>
      <c r="E76" s="70">
        <f>(100.6 - 0.7*(E74+E75) ) / 100.7</f>
        <v>0.98518043021558244</v>
      </c>
      <c r="G76" s="7">
        <v>0.75</v>
      </c>
      <c r="H76" s="7">
        <f t="shared" si="0"/>
        <v>0.73888532266168683</v>
      </c>
    </row>
    <row r="77" spans="1:9">
      <c r="B77" t="s">
        <v>147</v>
      </c>
      <c r="E77" s="70">
        <f>(100.5 - 0.75 * ( E74+E75+E76) ) / 100.75</f>
        <v>0.97537798321401892</v>
      </c>
      <c r="G77" s="7">
        <v>100.75</v>
      </c>
      <c r="H77" s="7">
        <f t="shared" si="0"/>
        <v>98.26933180881241</v>
      </c>
    </row>
    <row r="78" spans="1:9">
      <c r="H78" s="78">
        <f>SUM(H74:H77)</f>
        <v>100.5</v>
      </c>
      <c r="I78" t="s">
        <v>158</v>
      </c>
    </row>
    <row r="79" spans="1:9">
      <c r="B79" t="s">
        <v>148</v>
      </c>
    </row>
    <row r="80" spans="1:9">
      <c r="B80" s="71" t="s">
        <v>150</v>
      </c>
    </row>
    <row r="82" spans="2:2">
      <c r="B82" t="s">
        <v>149</v>
      </c>
    </row>
    <row r="83" spans="2:2">
      <c r="B83">
        <f>100 - 100*E77</f>
        <v>2.462201678598106</v>
      </c>
    </row>
    <row r="84" spans="2:2">
      <c r="B84" s="67">
        <f>B83*2/(E74+E75+E76+E77)</f>
        <v>1.246809947000322</v>
      </c>
    </row>
  </sheetData>
  <phoneticPr fontId="1"/>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K143"/>
  <sheetViews>
    <sheetView showGridLines="0" topLeftCell="A126" workbookViewId="0">
      <selection activeCell="B137" sqref="B137:D138"/>
    </sheetView>
  </sheetViews>
  <sheetFormatPr defaultRowHeight="13.5"/>
  <cols>
    <col min="2" max="6" width="15.625" customWidth="1"/>
    <col min="7" max="7" width="13.25" customWidth="1"/>
    <col min="8" max="9" width="10.5" customWidth="1"/>
    <col min="10" max="10" width="11" bestFit="1" customWidth="1"/>
  </cols>
  <sheetData>
    <row r="2" spans="1:7" ht="17.25">
      <c r="B2" s="10" t="s">
        <v>0</v>
      </c>
    </row>
    <row r="3" spans="1:7">
      <c r="B3" s="1" t="s">
        <v>1</v>
      </c>
      <c r="C3" s="2"/>
      <c r="D3" s="3"/>
    </row>
    <row r="4" spans="1:7">
      <c r="B4" s="4"/>
      <c r="C4" s="5"/>
      <c r="D4" s="6"/>
    </row>
    <row r="6" spans="1:7">
      <c r="B6" s="9" t="s">
        <v>2</v>
      </c>
      <c r="C6" s="9" t="s">
        <v>3</v>
      </c>
      <c r="D6" s="9" t="s">
        <v>4</v>
      </c>
      <c r="E6" s="9" t="s">
        <v>5</v>
      </c>
      <c r="F6" s="13" t="s">
        <v>6</v>
      </c>
    </row>
    <row r="7" spans="1:7">
      <c r="A7" t="s">
        <v>7</v>
      </c>
      <c r="B7" s="12">
        <v>1000000</v>
      </c>
      <c r="C7" s="11">
        <v>1.7999999999999999E-2</v>
      </c>
      <c r="D7" s="8">
        <v>2</v>
      </c>
      <c r="E7" s="17">
        <v>1</v>
      </c>
      <c r="F7" s="14">
        <f>B7 * ( 1 + C7 / E7 ) ^ ( E7 * D7 )</f>
        <v>1036324</v>
      </c>
      <c r="G7" t="s">
        <v>11</v>
      </c>
    </row>
    <row r="8" spans="1:7">
      <c r="A8" t="s">
        <v>8</v>
      </c>
      <c r="B8" s="12">
        <v>1000000</v>
      </c>
      <c r="C8" s="11">
        <v>1.7999999999999999E-2</v>
      </c>
      <c r="D8" s="8">
        <v>2</v>
      </c>
      <c r="E8" s="17">
        <v>2</v>
      </c>
      <c r="F8" s="14">
        <f t="shared" ref="F8:F15" si="0">B8 * ( 1 + C8 / E8 ) ^ ( E8 * D8 )</f>
        <v>1036488.9225609996</v>
      </c>
      <c r="G8" t="s">
        <v>11</v>
      </c>
    </row>
    <row r="9" spans="1:7">
      <c r="A9" t="s">
        <v>9</v>
      </c>
      <c r="B9" s="12">
        <v>1000000</v>
      </c>
      <c r="C9" s="11">
        <v>1.7999999999999999E-2</v>
      </c>
      <c r="D9" s="8">
        <v>2</v>
      </c>
      <c r="E9" s="17">
        <v>12</v>
      </c>
      <c r="F9" s="14">
        <f t="shared" si="0"/>
        <v>1036627.8851184319</v>
      </c>
      <c r="G9" t="s">
        <v>11</v>
      </c>
    </row>
    <row r="10" spans="1:7">
      <c r="A10" t="s">
        <v>10</v>
      </c>
      <c r="B10" s="12">
        <v>1000000</v>
      </c>
      <c r="C10" s="11">
        <v>1.7999999999999999E-2</v>
      </c>
      <c r="D10" s="8">
        <v>2</v>
      </c>
      <c r="E10" s="17">
        <f>24*3600*365</f>
        <v>31536000</v>
      </c>
      <c r="F10" s="14">
        <f t="shared" si="0"/>
        <v>1036655.8501412231</v>
      </c>
      <c r="G10" t="s">
        <v>11</v>
      </c>
    </row>
    <row r="11" spans="1:7">
      <c r="A11" t="s">
        <v>7</v>
      </c>
      <c r="B11" s="12">
        <v>1000000</v>
      </c>
      <c r="C11" s="11">
        <v>0.03</v>
      </c>
      <c r="D11" s="8">
        <v>1</v>
      </c>
      <c r="E11" s="17">
        <v>1</v>
      </c>
      <c r="F11" s="14">
        <f t="shared" si="0"/>
        <v>1030000</v>
      </c>
    </row>
    <row r="12" spans="1:7">
      <c r="A12" t="s">
        <v>8</v>
      </c>
      <c r="B12" s="12">
        <v>1000000</v>
      </c>
      <c r="C12" s="11">
        <v>0.03</v>
      </c>
      <c r="D12" s="8">
        <v>1</v>
      </c>
      <c r="E12" s="17">
        <v>2</v>
      </c>
      <c r="F12" s="14">
        <f t="shared" si="0"/>
        <v>1030224.9999999998</v>
      </c>
    </row>
    <row r="13" spans="1:7">
      <c r="A13" t="s">
        <v>12</v>
      </c>
      <c r="B13" s="12">
        <v>1000000</v>
      </c>
      <c r="C13" s="11">
        <v>0.03</v>
      </c>
      <c r="D13" s="8">
        <v>1</v>
      </c>
      <c r="E13" s="17">
        <v>4</v>
      </c>
      <c r="F13" s="14">
        <f t="shared" si="0"/>
        <v>1030339.1906640629</v>
      </c>
    </row>
    <row r="14" spans="1:7">
      <c r="A14" t="s">
        <v>9</v>
      </c>
      <c r="B14" s="12">
        <v>1000000</v>
      </c>
      <c r="C14" s="11">
        <v>0.03</v>
      </c>
      <c r="D14" s="8">
        <v>1</v>
      </c>
      <c r="E14" s="17">
        <v>12</v>
      </c>
      <c r="F14" s="14">
        <f t="shared" si="0"/>
        <v>1030415.9569135067</v>
      </c>
    </row>
    <row r="15" spans="1:7">
      <c r="A15" t="s">
        <v>13</v>
      </c>
      <c r="B15" s="12">
        <v>1000000</v>
      </c>
      <c r="C15" s="11">
        <v>0.03</v>
      </c>
      <c r="D15" s="8">
        <v>1</v>
      </c>
      <c r="E15" s="17">
        <v>365</v>
      </c>
      <c r="F15" s="14">
        <f t="shared" si="0"/>
        <v>1030453.2636005583</v>
      </c>
    </row>
    <row r="16" spans="1:7">
      <c r="A16" t="s">
        <v>10</v>
      </c>
      <c r="B16" s="12">
        <v>1000000</v>
      </c>
      <c r="C16" s="11">
        <v>0.03</v>
      </c>
      <c r="D16" s="8">
        <v>1</v>
      </c>
      <c r="E16" s="17">
        <f>24*3600*365</f>
        <v>31536000</v>
      </c>
      <c r="F16" s="20">
        <f t="shared" ref="F16:F22" si="1">B16 * ( 1 + C16 / E16 ) ^ ( E16 * D16 )</f>
        <v>1030454.5321156334</v>
      </c>
    </row>
    <row r="17" spans="1:7">
      <c r="A17" t="s">
        <v>10</v>
      </c>
      <c r="B17" s="12">
        <v>1000000</v>
      </c>
      <c r="C17" s="11">
        <v>1.7999999999999999E-2</v>
      </c>
      <c r="D17" s="8">
        <v>0.5</v>
      </c>
      <c r="E17" s="17">
        <f>24*3600*365</f>
        <v>31536000</v>
      </c>
      <c r="F17" s="20">
        <f t="shared" si="1"/>
        <v>1009040.6226621325</v>
      </c>
      <c r="G17" t="s">
        <v>22</v>
      </c>
    </row>
    <row r="18" spans="1:7">
      <c r="A18" t="s">
        <v>10</v>
      </c>
      <c r="B18" s="12">
        <v>1000000</v>
      </c>
      <c r="C18" s="11">
        <v>1.7999999999999999E-2</v>
      </c>
      <c r="D18" s="8">
        <v>1.25</v>
      </c>
      <c r="E18" s="17">
        <f>24*3600*365</f>
        <v>31536000</v>
      </c>
      <c r="F18" s="20">
        <f t="shared" si="1"/>
        <v>1022755.0364152902</v>
      </c>
      <c r="G18" t="s">
        <v>22</v>
      </c>
    </row>
    <row r="19" spans="1:7">
      <c r="A19" t="s">
        <v>8</v>
      </c>
      <c r="B19" s="12">
        <v>100000000</v>
      </c>
      <c r="C19" s="11">
        <v>1.4999999999999999E-2</v>
      </c>
      <c r="D19" s="8">
        <v>5</v>
      </c>
      <c r="E19" s="17">
        <v>2</v>
      </c>
      <c r="F19" s="14">
        <f t="shared" si="1"/>
        <v>107758254.54707402</v>
      </c>
      <c r="G19" t="s">
        <v>78</v>
      </c>
    </row>
    <row r="20" spans="1:7">
      <c r="A20" t="s">
        <v>12</v>
      </c>
      <c r="B20" s="12">
        <v>100000000</v>
      </c>
      <c r="C20" s="11">
        <v>5.4999999999999997E-3</v>
      </c>
      <c r="D20" s="8">
        <v>1.5</v>
      </c>
      <c r="E20" s="17">
        <v>4</v>
      </c>
      <c r="F20" s="14">
        <f t="shared" si="1"/>
        <v>100827841.1420833</v>
      </c>
      <c r="G20" t="s">
        <v>78</v>
      </c>
    </row>
    <row r="21" spans="1:7">
      <c r="B21" s="90"/>
      <c r="C21" s="91"/>
      <c r="D21" s="8"/>
      <c r="E21" s="88"/>
      <c r="F21" s="14"/>
    </row>
    <row r="22" spans="1:7">
      <c r="B22" s="12"/>
      <c r="C22" s="11"/>
      <c r="D22" s="8"/>
      <c r="E22" s="17"/>
      <c r="F22" s="14" t="e">
        <f t="shared" si="1"/>
        <v>#DIV/0!</v>
      </c>
    </row>
    <row r="23" spans="1:7">
      <c r="F23" s="18" t="s">
        <v>14</v>
      </c>
    </row>
    <row r="24" spans="1:7">
      <c r="F24" s="18" t="s">
        <v>15</v>
      </c>
    </row>
    <row r="27" spans="1:7" ht="17.25">
      <c r="B27" s="10" t="s">
        <v>16</v>
      </c>
    </row>
    <row r="28" spans="1:7">
      <c r="B28" s="1" t="s">
        <v>17</v>
      </c>
      <c r="C28" s="2"/>
      <c r="D28" s="3"/>
    </row>
    <row r="29" spans="1:7">
      <c r="B29" s="4" t="s">
        <v>18</v>
      </c>
      <c r="C29" s="5"/>
      <c r="D29" s="6"/>
    </row>
    <row r="31" spans="1:7">
      <c r="B31" s="9" t="s">
        <v>2</v>
      </c>
      <c r="C31" s="9" t="s">
        <v>3</v>
      </c>
      <c r="D31" s="9" t="s">
        <v>4</v>
      </c>
      <c r="E31" s="13" t="s">
        <v>6</v>
      </c>
    </row>
    <row r="32" spans="1:7">
      <c r="A32" t="s">
        <v>16</v>
      </c>
      <c r="B32" s="12">
        <v>1000000</v>
      </c>
      <c r="C32" s="11">
        <v>0.03</v>
      </c>
      <c r="D32" s="8">
        <v>1</v>
      </c>
      <c r="E32" s="20">
        <f t="shared" ref="E32:E38" si="2" xml:space="preserve"> B32 * EXP(C32 * D32 )</f>
        <v>1030454.533953517</v>
      </c>
      <c r="F32" t="s">
        <v>19</v>
      </c>
    </row>
    <row r="33" spans="1:6">
      <c r="A33" t="s">
        <v>16</v>
      </c>
      <c r="B33" s="12">
        <v>1000000</v>
      </c>
      <c r="C33" s="11">
        <v>2.5000000000000001E-2</v>
      </c>
      <c r="D33" s="8">
        <v>3</v>
      </c>
      <c r="E33" s="14">
        <f t="shared" si="2"/>
        <v>1077884.1508846316</v>
      </c>
      <c r="F33" t="s">
        <v>22</v>
      </c>
    </row>
    <row r="34" spans="1:6">
      <c r="A34" t="s">
        <v>16</v>
      </c>
      <c r="B34" s="12">
        <v>1000000</v>
      </c>
      <c r="C34" s="11">
        <v>1.7999999999999999E-2</v>
      </c>
      <c r="D34" s="8">
        <v>0.5</v>
      </c>
      <c r="E34" s="20">
        <f t="shared" si="2"/>
        <v>1009040.6217738679</v>
      </c>
      <c r="F34" t="s">
        <v>22</v>
      </c>
    </row>
    <row r="35" spans="1:6">
      <c r="A35" t="s">
        <v>16</v>
      </c>
      <c r="B35" s="12">
        <v>1000000</v>
      </c>
      <c r="C35" s="11">
        <v>1.7999999999999999E-2</v>
      </c>
      <c r="D35" s="8">
        <v>1.25</v>
      </c>
      <c r="E35" s="20">
        <f t="shared" si="2"/>
        <v>1022755.0341644461</v>
      </c>
      <c r="F35" t="s">
        <v>22</v>
      </c>
    </row>
    <row r="36" spans="1:6">
      <c r="B36" s="12">
        <v>100000000</v>
      </c>
      <c r="C36" s="11">
        <v>1.2E-2</v>
      </c>
      <c r="D36" s="8">
        <v>2</v>
      </c>
      <c r="E36" s="14">
        <f t="shared" si="2"/>
        <v>102429031.78906216</v>
      </c>
      <c r="F36" t="s">
        <v>78</v>
      </c>
    </row>
    <row r="37" spans="1:6">
      <c r="B37" s="12"/>
      <c r="C37" s="11"/>
      <c r="D37" s="8"/>
      <c r="E37" s="14">
        <f t="shared" si="2"/>
        <v>0</v>
      </c>
    </row>
    <row r="38" spans="1:6">
      <c r="B38" s="12"/>
      <c r="C38" s="11"/>
      <c r="D38" s="8"/>
      <c r="E38" s="14">
        <f t="shared" si="2"/>
        <v>0</v>
      </c>
    </row>
    <row r="39" spans="1:6">
      <c r="E39" s="18" t="s">
        <v>20</v>
      </c>
    </row>
    <row r="40" spans="1:6">
      <c r="E40" s="18" t="s">
        <v>21</v>
      </c>
    </row>
    <row r="44" spans="1:6" ht="17.25">
      <c r="B44" s="10" t="s">
        <v>23</v>
      </c>
    </row>
    <row r="45" spans="1:6">
      <c r="B45" s="1" t="s">
        <v>24</v>
      </c>
      <c r="C45" s="2"/>
      <c r="D45" s="2"/>
      <c r="E45" s="3"/>
    </row>
    <row r="46" spans="1:6">
      <c r="B46" s="21" t="s">
        <v>25</v>
      </c>
      <c r="C46" s="22"/>
      <c r="D46" s="22"/>
      <c r="E46" s="23"/>
    </row>
    <row r="47" spans="1:6">
      <c r="B47" s="21"/>
      <c r="C47" s="22"/>
      <c r="D47" s="22"/>
      <c r="E47" s="23"/>
    </row>
    <row r="48" spans="1:6">
      <c r="B48" s="21" t="s">
        <v>26</v>
      </c>
      <c r="C48" s="22"/>
      <c r="D48" s="22"/>
      <c r="E48" s="23"/>
    </row>
    <row r="49" spans="2:9">
      <c r="B49" s="21" t="s">
        <v>25</v>
      </c>
      <c r="C49" s="22"/>
      <c r="D49" s="22"/>
      <c r="E49" s="23"/>
    </row>
    <row r="50" spans="2:9">
      <c r="B50" s="4"/>
      <c r="C50" s="5"/>
      <c r="D50" s="5"/>
      <c r="E50" s="6"/>
    </row>
    <row r="52" spans="2:9">
      <c r="B52" s="9" t="s">
        <v>27</v>
      </c>
      <c r="C52" s="9" t="s">
        <v>28</v>
      </c>
      <c r="D52" s="9" t="s">
        <v>4</v>
      </c>
      <c r="E52" s="25" t="s">
        <v>30</v>
      </c>
      <c r="F52" s="9" t="s">
        <v>29</v>
      </c>
      <c r="H52" s="9" t="s">
        <v>31</v>
      </c>
      <c r="I52" s="13" t="s">
        <v>6</v>
      </c>
    </row>
    <row r="53" spans="2:9">
      <c r="B53" s="12">
        <v>98</v>
      </c>
      <c r="C53" s="11">
        <v>1.4500000000000001E-2</v>
      </c>
      <c r="D53" s="8">
        <v>2</v>
      </c>
      <c r="E53" s="8">
        <v>1</v>
      </c>
      <c r="F53" s="26">
        <f>C53/E53</f>
        <v>1.4500000000000001E-2</v>
      </c>
      <c r="H53" s="7">
        <f>B53*(-1)</f>
        <v>-98</v>
      </c>
      <c r="I53" s="29">
        <f>IRR(H53:H55) * E53</f>
        <v>2.4874647581366593E-2</v>
      </c>
    </row>
    <row r="54" spans="2:9">
      <c r="H54" s="7">
        <f>100*$F$53</f>
        <v>1.4500000000000002</v>
      </c>
    </row>
    <row r="55" spans="2:9">
      <c r="H55" s="7">
        <f>100*$F$53 + 100</f>
        <v>101.45</v>
      </c>
    </row>
    <row r="57" spans="2:9">
      <c r="B57" s="9" t="s">
        <v>27</v>
      </c>
      <c r="C57" s="9" t="s">
        <v>28</v>
      </c>
      <c r="D57" s="9" t="s">
        <v>4</v>
      </c>
      <c r="E57" s="25" t="s">
        <v>30</v>
      </c>
      <c r="F57" s="9" t="s">
        <v>29</v>
      </c>
      <c r="H57" s="9" t="s">
        <v>31</v>
      </c>
      <c r="I57" s="13" t="s">
        <v>6</v>
      </c>
    </row>
    <row r="58" spans="2:9">
      <c r="B58" s="30">
        <v>100</v>
      </c>
      <c r="C58" s="11">
        <v>2.5000000000000001E-2</v>
      </c>
      <c r="D58" s="8">
        <v>2</v>
      </c>
      <c r="E58" s="8">
        <v>1</v>
      </c>
      <c r="F58" s="26">
        <f>C58/E58</f>
        <v>2.5000000000000001E-2</v>
      </c>
      <c r="H58" s="7">
        <f>B58*(-1)</f>
        <v>-100</v>
      </c>
      <c r="I58" s="29">
        <f>IRR(H58:H60) * E58</f>
        <v>2.5000000000000133E-2</v>
      </c>
    </row>
    <row r="59" spans="2:9">
      <c r="H59" s="7">
        <f>100*F58</f>
        <v>2.5</v>
      </c>
    </row>
    <row r="60" spans="2:9">
      <c r="H60" s="7">
        <f>100*F58 + 100</f>
        <v>102.5</v>
      </c>
    </row>
    <row r="61" spans="2:9">
      <c r="B61" t="s">
        <v>32</v>
      </c>
    </row>
    <row r="62" spans="2:9">
      <c r="B62" t="s">
        <v>33</v>
      </c>
    </row>
    <row r="65" spans="2:9">
      <c r="B65" s="9" t="s">
        <v>27</v>
      </c>
      <c r="C65" s="9" t="s">
        <v>28</v>
      </c>
      <c r="D65" s="9" t="s">
        <v>4</v>
      </c>
      <c r="E65" s="25" t="s">
        <v>30</v>
      </c>
      <c r="F65" s="9" t="s">
        <v>29</v>
      </c>
      <c r="H65" s="9" t="s">
        <v>31</v>
      </c>
      <c r="I65" s="13" t="s">
        <v>6</v>
      </c>
    </row>
    <row r="66" spans="2:9">
      <c r="B66" s="31">
        <v>95</v>
      </c>
      <c r="C66" s="11">
        <v>0.03</v>
      </c>
      <c r="D66" s="8">
        <v>2</v>
      </c>
      <c r="E66" s="8">
        <v>2</v>
      </c>
      <c r="F66" s="26">
        <f>C66/E66</f>
        <v>1.4999999999999999E-2</v>
      </c>
      <c r="H66" s="7">
        <f>B66*(-1)</f>
        <v>-95</v>
      </c>
      <c r="I66" s="29">
        <f>IRR(H66:H70) * E66</f>
        <v>5.679984316637432E-2</v>
      </c>
    </row>
    <row r="67" spans="2:9">
      <c r="F67" s="18" t="s">
        <v>34</v>
      </c>
      <c r="H67" s="7">
        <f>100*F66</f>
        <v>1.5</v>
      </c>
    </row>
    <row r="68" spans="2:9">
      <c r="F68" s="32" t="s">
        <v>35</v>
      </c>
      <c r="H68" s="7">
        <f>100*F66</f>
        <v>1.5</v>
      </c>
    </row>
    <row r="69" spans="2:9">
      <c r="H69" s="7">
        <f>100*F66</f>
        <v>1.5</v>
      </c>
    </row>
    <row r="70" spans="2:9">
      <c r="H70" s="7">
        <f>100*F66 + 100</f>
        <v>101.5</v>
      </c>
    </row>
    <row r="71" spans="2:9">
      <c r="H71" s="18" t="s">
        <v>36</v>
      </c>
    </row>
    <row r="73" spans="2:9">
      <c r="H73" s="24"/>
    </row>
    <row r="74" spans="2:9">
      <c r="H74" s="24"/>
    </row>
    <row r="75" spans="2:9" ht="17.25">
      <c r="B75" s="10" t="s">
        <v>46</v>
      </c>
    </row>
    <row r="76" spans="2:9">
      <c r="B76" s="33" t="s">
        <v>37</v>
      </c>
      <c r="C76" s="33" t="s">
        <v>38</v>
      </c>
      <c r="D76" s="33" t="s">
        <v>39</v>
      </c>
    </row>
    <row r="77" spans="2:9">
      <c r="B77" s="8" t="s">
        <v>42</v>
      </c>
      <c r="C77" s="8" t="s">
        <v>41</v>
      </c>
      <c r="D77" s="8" t="s">
        <v>40</v>
      </c>
    </row>
    <row r="78" spans="2:9">
      <c r="B78" s="8" t="s">
        <v>45</v>
      </c>
      <c r="C78" s="8" t="s">
        <v>44</v>
      </c>
      <c r="D78" s="8" t="s">
        <v>43</v>
      </c>
    </row>
    <row r="83" spans="2:7" ht="17.25">
      <c r="B83" s="10" t="s">
        <v>47</v>
      </c>
    </row>
    <row r="84" spans="2:7">
      <c r="B84" t="s">
        <v>48</v>
      </c>
    </row>
    <row r="85" spans="2:7">
      <c r="B85" s="1" t="s">
        <v>50</v>
      </c>
      <c r="C85" s="2"/>
      <c r="D85" s="3"/>
      <c r="E85" t="s">
        <v>54</v>
      </c>
    </row>
    <row r="86" spans="2:7">
      <c r="B86" s="4" t="s">
        <v>198</v>
      </c>
      <c r="C86" s="5"/>
      <c r="D86" s="6"/>
    </row>
    <row r="88" spans="2:7">
      <c r="B88" s="9" t="s">
        <v>27</v>
      </c>
      <c r="C88" s="9" t="s">
        <v>4</v>
      </c>
      <c r="D88" s="25" t="s">
        <v>30</v>
      </c>
      <c r="E88" s="13" t="s">
        <v>6</v>
      </c>
    </row>
    <row r="89" spans="2:7">
      <c r="B89" s="34">
        <v>98.38</v>
      </c>
      <c r="C89" s="8">
        <v>2</v>
      </c>
      <c r="D89" s="8">
        <v>1</v>
      </c>
      <c r="E89" s="35">
        <f>( (100/B89) ^ ( 1/(D89*C89) )  - 1 ) * D89</f>
        <v>8.1997627141645602E-3</v>
      </c>
      <c r="F89" t="s">
        <v>49</v>
      </c>
    </row>
    <row r="90" spans="2:7">
      <c r="B90" s="34">
        <v>98.38</v>
      </c>
      <c r="C90" s="8">
        <v>2</v>
      </c>
      <c r="D90" s="8">
        <v>2</v>
      </c>
      <c r="E90" s="35">
        <f>( (100/B90) ^ ( 1/(D90*C90) )  - 1 ) * D90</f>
        <v>8.1830222508751937E-3</v>
      </c>
      <c r="F90" t="s">
        <v>49</v>
      </c>
    </row>
    <row r="91" spans="2:7">
      <c r="B91" s="34">
        <v>95.4</v>
      </c>
      <c r="C91" s="8">
        <v>3</v>
      </c>
      <c r="D91" s="8">
        <v>1</v>
      </c>
      <c r="E91" s="38">
        <f>( (100/B91) ^ ( 1/(D91*C91) )  - 1 ) * D91</f>
        <v>1.5821050769789125E-2</v>
      </c>
      <c r="F91" t="s">
        <v>53</v>
      </c>
    </row>
    <row r="92" spans="2:7">
      <c r="B92" s="34">
        <v>95.4</v>
      </c>
      <c r="C92" s="8">
        <v>3</v>
      </c>
      <c r="D92" s="8">
        <v>2</v>
      </c>
      <c r="E92" s="38">
        <f>( (100/B92) ^ ( 1/(D92*C92) )  - 1 ) * D92</f>
        <v>1.5758964529032138E-2</v>
      </c>
      <c r="F92" t="s">
        <v>53</v>
      </c>
    </row>
    <row r="93" spans="2:7">
      <c r="B93" s="34">
        <v>95.4</v>
      </c>
      <c r="C93" s="8">
        <v>3</v>
      </c>
      <c r="D93" s="8">
        <v>4</v>
      </c>
      <c r="E93" s="38">
        <f>( (100/B93) ^ ( 1/(D93*C93) )  - 1 ) * D93</f>
        <v>1.5728043111517209E-2</v>
      </c>
      <c r="F93" t="s">
        <v>53</v>
      </c>
      <c r="G93" t="s">
        <v>63</v>
      </c>
    </row>
    <row r="94" spans="2:7">
      <c r="B94" s="31">
        <v>1000000</v>
      </c>
      <c r="C94" s="8">
        <v>5</v>
      </c>
      <c r="D94" s="8">
        <v>2</v>
      </c>
      <c r="E94" s="35">
        <f xml:space="preserve"> ( ( 1219000 / B94 ) ^ ( 1 / (C94*D94) ) - 1 ) * D94</f>
        <v>4.0000933817830653E-2</v>
      </c>
      <c r="F94" t="s">
        <v>53</v>
      </c>
    </row>
    <row r="95" spans="2:7">
      <c r="B95" s="34">
        <v>98.38</v>
      </c>
      <c r="C95" s="8">
        <v>2</v>
      </c>
      <c r="D95" s="8">
        <v>2</v>
      </c>
      <c r="E95" s="35">
        <f xml:space="preserve"> ( ( 100 / B95 ) ^ ( 1 / (C95*D95) ) - 1 ) * D95</f>
        <v>8.1830222508751937E-3</v>
      </c>
      <c r="F95" t="s">
        <v>78</v>
      </c>
    </row>
    <row r="96" spans="2:7">
      <c r="B96" s="34">
        <v>94.58</v>
      </c>
      <c r="C96" s="8">
        <v>5</v>
      </c>
      <c r="D96" s="8">
        <v>2</v>
      </c>
      <c r="E96" s="35">
        <f>( (100/B96) ^ ( 1/(D96*C96) )  - 1 ) * D96</f>
        <v>1.1175939320328787E-2</v>
      </c>
      <c r="F96" t="s">
        <v>78</v>
      </c>
    </row>
    <row r="97" spans="2:7">
      <c r="B97" s="34">
        <v>94.58</v>
      </c>
      <c r="C97" s="8">
        <v>5</v>
      </c>
      <c r="D97" s="8">
        <v>12</v>
      </c>
      <c r="E97" s="35">
        <f>( (100/B97) ^ ( 1/(D97*C97) )  - 1 ) * D97</f>
        <v>1.1150006658268374E-2</v>
      </c>
    </row>
    <row r="98" spans="2:7">
      <c r="B98" s="34">
        <v>97.674403443391896</v>
      </c>
      <c r="C98" s="8">
        <v>2</v>
      </c>
      <c r="D98" s="8">
        <v>2</v>
      </c>
      <c r="E98" s="35">
        <f>( (100/B98) ^ ( 1/(D98*C98) )  - 1 ) * D98</f>
        <v>1.1800000000000033E-2</v>
      </c>
    </row>
    <row r="99" spans="2:7">
      <c r="B99" s="34">
        <f>100/( (1+E99/2)^(2*1*2) )</f>
        <v>97.674403443391924</v>
      </c>
      <c r="C99" s="8">
        <v>2</v>
      </c>
      <c r="D99" s="8">
        <v>2</v>
      </c>
      <c r="E99" s="35">
        <v>1.18E-2</v>
      </c>
    </row>
    <row r="100" spans="2:7">
      <c r="B100" s="34"/>
      <c r="C100" s="8"/>
      <c r="D100" s="8"/>
      <c r="E100" s="35" t="e">
        <f>( (100/B100) ^ ( 1/(D100*C100) )  - 1 ) * D100</f>
        <v>#DIV/0!</v>
      </c>
      <c r="G100" s="53"/>
    </row>
    <row r="101" spans="2:7">
      <c r="B101" s="34"/>
      <c r="C101" s="8"/>
      <c r="D101" s="8"/>
      <c r="E101" s="35" t="e">
        <f>( (100/B101) ^ ( 1/(D101*C101) )  - 1 ) * D101</f>
        <v>#DIV/0!</v>
      </c>
      <c r="G101" s="53"/>
    </row>
    <row r="102" spans="2:7">
      <c r="B102" s="34"/>
      <c r="C102" s="8"/>
      <c r="D102" s="8"/>
      <c r="E102" s="35" t="e">
        <f>( (100/B102) ^ ( 1/(D102*C102) )  - 1 ) * D102</f>
        <v>#DIV/0!</v>
      </c>
      <c r="G102" s="53"/>
    </row>
    <row r="103" spans="2:7">
      <c r="B103" s="36"/>
      <c r="C103" s="19"/>
      <c r="D103" s="19"/>
      <c r="E103" s="37"/>
    </row>
    <row r="104" spans="2:7">
      <c r="E104" s="18" t="s">
        <v>51</v>
      </c>
    </row>
    <row r="105" spans="2:7">
      <c r="E105" s="18" t="s">
        <v>52</v>
      </c>
    </row>
    <row r="108" spans="2:7" ht="17.25">
      <c r="B108" s="10" t="s">
        <v>55</v>
      </c>
    </row>
    <row r="109" spans="2:7">
      <c r="B109" s="1" t="s">
        <v>56</v>
      </c>
      <c r="C109" s="2"/>
      <c r="D109" s="3"/>
      <c r="E109" t="s">
        <v>59</v>
      </c>
    </row>
    <row r="110" spans="2:7">
      <c r="B110" s="4" t="s">
        <v>57</v>
      </c>
      <c r="C110" s="5"/>
      <c r="D110" s="6"/>
    </row>
    <row r="111" spans="2:7">
      <c r="B111" t="s">
        <v>60</v>
      </c>
    </row>
    <row r="112" spans="2:7">
      <c r="B112" t="s">
        <v>61</v>
      </c>
    </row>
    <row r="113" spans="2:6">
      <c r="B113" s="9" t="s">
        <v>27</v>
      </c>
      <c r="C113" s="9" t="s">
        <v>4</v>
      </c>
      <c r="D113" s="25" t="s">
        <v>30</v>
      </c>
      <c r="E113" s="13" t="s">
        <v>6</v>
      </c>
    </row>
    <row r="114" spans="2:6">
      <c r="B114" s="34">
        <v>99.42</v>
      </c>
      <c r="C114" s="8">
        <v>1</v>
      </c>
      <c r="D114" s="15">
        <v>1</v>
      </c>
      <c r="E114" s="35">
        <f>(1/C114) * LN(100/B114) * D114</f>
        <v>5.816885321564832E-3</v>
      </c>
      <c r="F114" t="s">
        <v>58</v>
      </c>
    </row>
    <row r="115" spans="2:6">
      <c r="B115" s="34">
        <v>97.56</v>
      </c>
      <c r="C115" s="8">
        <v>3</v>
      </c>
      <c r="D115" s="15">
        <v>1</v>
      </c>
      <c r="E115" s="35">
        <f>(1/C115) * LN(100/B115) * D115</f>
        <v>8.2342042134572399E-3</v>
      </c>
      <c r="F115" t="s">
        <v>58</v>
      </c>
    </row>
    <row r="116" spans="2:6">
      <c r="B116" s="34">
        <v>95.4</v>
      </c>
      <c r="C116" s="8">
        <v>3</v>
      </c>
      <c r="D116" s="15">
        <v>1</v>
      </c>
      <c r="E116" s="35">
        <f>(1/C116) * LN(100/B116) * D116</f>
        <v>1.5697202511283457E-2</v>
      </c>
      <c r="F116" t="s">
        <v>62</v>
      </c>
    </row>
    <row r="117" spans="2:6">
      <c r="B117" s="34">
        <v>94.58</v>
      </c>
      <c r="C117" s="8">
        <v>5</v>
      </c>
      <c r="D117" s="15">
        <v>1</v>
      </c>
      <c r="E117" s="35">
        <f>(1/C117) * LN(100/B117) * D117</f>
        <v>1.1144829754472344E-2</v>
      </c>
      <c r="F117" t="s">
        <v>78</v>
      </c>
    </row>
    <row r="118" spans="2:6">
      <c r="B118" s="34"/>
      <c r="C118" s="8"/>
      <c r="D118" s="15"/>
      <c r="E118" s="35" t="e">
        <f>(1/C118) * LN(100/B118) * D118</f>
        <v>#DIV/0!</v>
      </c>
    </row>
    <row r="120" spans="2:6">
      <c r="E120" s="18" t="s">
        <v>64</v>
      </c>
    </row>
    <row r="121" spans="2:6">
      <c r="E121" s="18" t="s">
        <v>65</v>
      </c>
    </row>
    <row r="125" spans="2:6" ht="17.25">
      <c r="B125" s="10" t="s">
        <v>66</v>
      </c>
    </row>
    <row r="126" spans="2:6">
      <c r="B126" s="1" t="s">
        <v>79</v>
      </c>
      <c r="C126" s="2"/>
      <c r="D126" s="3"/>
    </row>
    <row r="127" spans="2:6">
      <c r="B127" s="4"/>
      <c r="C127" s="5"/>
      <c r="D127" s="6"/>
    </row>
    <row r="130" spans="2:11">
      <c r="B130" s="9" t="s">
        <v>67</v>
      </c>
      <c r="C130" s="9" t="s">
        <v>69</v>
      </c>
      <c r="D130" s="16" t="s">
        <v>72</v>
      </c>
      <c r="E130" s="9" t="s">
        <v>68</v>
      </c>
      <c r="F130" s="9" t="s">
        <v>70</v>
      </c>
      <c r="G130" s="16" t="s">
        <v>73</v>
      </c>
      <c r="H130" s="9" t="s">
        <v>71</v>
      </c>
      <c r="J130" s="13" t="s">
        <v>6</v>
      </c>
    </row>
    <row r="131" spans="2:11">
      <c r="B131" s="28">
        <v>1.4999999999999999E-2</v>
      </c>
      <c r="C131" s="7">
        <v>1</v>
      </c>
      <c r="D131" s="39">
        <f>C131*H131</f>
        <v>2</v>
      </c>
      <c r="E131" s="27">
        <v>0.02</v>
      </c>
      <c r="F131" s="7">
        <v>1.5</v>
      </c>
      <c r="G131" s="39">
        <f>F131*H131</f>
        <v>3</v>
      </c>
      <c r="H131" s="7">
        <v>2</v>
      </c>
      <c r="J131" s="35">
        <f xml:space="preserve"> 2 * (  ( (1.01) ^ 3 / ( 1.0075 ) ^2 ) - 1 )</f>
        <v>3.0037251630143036E-2</v>
      </c>
    </row>
    <row r="132" spans="2:11">
      <c r="B132" s="28">
        <v>8.9999999999999993E-3</v>
      </c>
      <c r="C132" s="7">
        <v>2</v>
      </c>
      <c r="D132" s="39">
        <f>C132*H132</f>
        <v>4</v>
      </c>
      <c r="E132" s="28">
        <v>1.0999999999999999E-2</v>
      </c>
      <c r="F132" s="7">
        <v>2.5</v>
      </c>
      <c r="G132" s="39">
        <f>F132*H132</f>
        <v>5</v>
      </c>
      <c r="H132" s="7">
        <v>2</v>
      </c>
      <c r="J132" s="35">
        <f xml:space="preserve"> ( ( (1+ 1.1%/2) ^ 5 / ( 1 + 0.9%/2) ^ 4 )  - 1 ) * 2</f>
        <v>1.9019930234263072E-2</v>
      </c>
      <c r="K132" t="s">
        <v>78</v>
      </c>
    </row>
    <row r="136" spans="2:11" ht="17.25">
      <c r="B136" s="10" t="s">
        <v>74</v>
      </c>
    </row>
    <row r="137" spans="2:11">
      <c r="B137" s="1" t="s">
        <v>75</v>
      </c>
      <c r="C137" s="2"/>
      <c r="D137" s="3"/>
    </row>
    <row r="138" spans="2:11">
      <c r="B138" s="4" t="s">
        <v>76</v>
      </c>
      <c r="C138" s="5"/>
      <c r="D138" s="6"/>
    </row>
    <row r="140" spans="2:11">
      <c r="B140" s="9" t="s">
        <v>67</v>
      </c>
      <c r="C140" s="9" t="s">
        <v>69</v>
      </c>
      <c r="D140" s="16" t="s">
        <v>72</v>
      </c>
      <c r="E140" s="9" t="s">
        <v>68</v>
      </c>
      <c r="F140" s="9" t="s">
        <v>70</v>
      </c>
      <c r="G140" s="16" t="s">
        <v>73</v>
      </c>
      <c r="H140" s="9" t="s">
        <v>71</v>
      </c>
      <c r="I140" s="16" t="s">
        <v>77</v>
      </c>
      <c r="K140" s="13" t="s">
        <v>6</v>
      </c>
    </row>
    <row r="141" spans="2:11">
      <c r="B141" s="28">
        <v>1.4999999999999999E-2</v>
      </c>
      <c r="C141" s="7">
        <v>1</v>
      </c>
      <c r="D141" s="39">
        <f>C141*H141</f>
        <v>2</v>
      </c>
      <c r="E141" s="27">
        <v>0.02</v>
      </c>
      <c r="F141" s="7">
        <v>1.5</v>
      </c>
      <c r="G141" s="39">
        <f>F141*H141</f>
        <v>3</v>
      </c>
      <c r="H141" s="7">
        <v>2</v>
      </c>
      <c r="I141" s="39">
        <f>G141-D141</f>
        <v>1</v>
      </c>
      <c r="K141" s="35">
        <f xml:space="preserve"> ( E141 * G141 - B141 * D141 ) / I141</f>
        <v>0.03</v>
      </c>
    </row>
    <row r="142" spans="2:11">
      <c r="B142" s="28"/>
      <c r="C142" s="7"/>
      <c r="D142" s="39">
        <f>C142*H142</f>
        <v>0</v>
      </c>
      <c r="E142" s="27"/>
      <c r="F142" s="7"/>
      <c r="G142" s="39">
        <f>F142*H142</f>
        <v>0</v>
      </c>
      <c r="H142" s="7"/>
      <c r="I142" s="39">
        <f>G142-D142</f>
        <v>0</v>
      </c>
      <c r="K142" s="35" t="e">
        <f xml:space="preserve"> ( E142 * G142 - B142 * D142 ) / I142</f>
        <v>#DIV/0!</v>
      </c>
    </row>
    <row r="143" spans="2:11">
      <c r="B143" s="28"/>
      <c r="C143" s="7"/>
      <c r="D143" s="39">
        <f>C143*H143</f>
        <v>0</v>
      </c>
      <c r="E143" s="27"/>
      <c r="F143" s="7"/>
      <c r="G143" s="39">
        <f>F143*H143</f>
        <v>0</v>
      </c>
      <c r="H143" s="7"/>
      <c r="I143" s="39">
        <f>G143-D143</f>
        <v>0</v>
      </c>
      <c r="K143" s="35" t="e">
        <f xml:space="preserve"> ( E143 * G143 - B143 * D143 ) / I143</f>
        <v>#DIV/0!</v>
      </c>
    </row>
  </sheetData>
  <phoneticPr fontId="1"/>
  <pageMargins left="0.7" right="0.7" top="0.75" bottom="0.75" header="0.3" footer="0.3"/>
  <pageSetup paperSize="9"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G79"/>
  <sheetViews>
    <sheetView showGridLines="0" workbookViewId="0">
      <selection activeCell="A82" sqref="A82"/>
    </sheetView>
  </sheetViews>
  <sheetFormatPr defaultRowHeight="13.5"/>
  <cols>
    <col min="1" max="54" width="14.625" customWidth="1"/>
  </cols>
  <sheetData>
    <row r="1" spans="1:3" ht="30.75">
      <c r="A1" s="72" t="s">
        <v>151</v>
      </c>
    </row>
    <row r="3" spans="1:3">
      <c r="B3" t="s">
        <v>152</v>
      </c>
    </row>
    <row r="4" spans="1:3">
      <c r="B4" t="s">
        <v>87</v>
      </c>
    </row>
    <row r="5" spans="1:3">
      <c r="B5" s="74">
        <v>3.1250000000000002E-3</v>
      </c>
    </row>
    <row r="6" spans="1:3">
      <c r="B6" s="76" t="s">
        <v>153</v>
      </c>
    </row>
    <row r="7" spans="1:3">
      <c r="B7" s="75">
        <f>B5 * 365/300</f>
        <v>3.8020833333333335E-3</v>
      </c>
    </row>
    <row r="10" spans="1:3">
      <c r="B10" t="s">
        <v>88</v>
      </c>
    </row>
    <row r="11" spans="1:3">
      <c r="B11" t="s">
        <v>156</v>
      </c>
    </row>
    <row r="13" spans="1:3">
      <c r="B13" t="s">
        <v>154</v>
      </c>
    </row>
    <row r="15" spans="1:3">
      <c r="B15" t="s">
        <v>155</v>
      </c>
    </row>
    <row r="16" spans="1:3">
      <c r="B16" s="76" t="s">
        <v>157</v>
      </c>
      <c r="C16" s="77"/>
    </row>
    <row r="17" spans="1:5">
      <c r="B17" s="75">
        <f xml:space="preserve"> 0.8% + 0.3% * 365/360</f>
        <v>1.1041666666666667E-2</v>
      </c>
    </row>
    <row r="19" spans="1:5" s="57" customFormat="1" ht="6" customHeight="1"/>
    <row r="20" spans="1:5" ht="25.5">
      <c r="A20" s="62" t="s">
        <v>160</v>
      </c>
    </row>
    <row r="21" spans="1:5">
      <c r="B21" s="79" t="s">
        <v>164</v>
      </c>
    </row>
    <row r="22" spans="1:5">
      <c r="B22" s="9" t="s">
        <v>83</v>
      </c>
      <c r="C22" s="9" t="s">
        <v>82</v>
      </c>
    </row>
    <row r="23" spans="1:5">
      <c r="B23" s="8" t="s">
        <v>161</v>
      </c>
      <c r="C23" s="11">
        <v>0.01</v>
      </c>
    </row>
    <row r="24" spans="1:5">
      <c r="B24" s="8" t="s">
        <v>162</v>
      </c>
      <c r="C24" s="11">
        <v>1.4999999999999999E-2</v>
      </c>
    </row>
    <row r="25" spans="1:5">
      <c r="B25" s="8" t="s">
        <v>163</v>
      </c>
      <c r="C25" s="11">
        <v>0.02</v>
      </c>
    </row>
    <row r="26" spans="1:5">
      <c r="B26" s="19"/>
      <c r="C26" s="80"/>
    </row>
    <row r="27" spans="1:5">
      <c r="B27" s="65" t="s">
        <v>170</v>
      </c>
    </row>
    <row r="28" spans="1:5">
      <c r="B28" s="65" t="s">
        <v>165</v>
      </c>
      <c r="E28" s="69">
        <f xml:space="preserve"> 100 / ( 100 + 1*365/360)</f>
        <v>0.98996287639213532</v>
      </c>
    </row>
    <row r="29" spans="1:5">
      <c r="B29" t="s">
        <v>166</v>
      </c>
      <c r="E29" s="69">
        <f>(100 - 1.5*E28)/101.5</f>
        <v>0.97059168162967291</v>
      </c>
    </row>
    <row r="30" spans="1:5">
      <c r="B30" t="s">
        <v>167</v>
      </c>
      <c r="E30" s="69">
        <f xml:space="preserve"> ( 100 - 2*(E28+E29) ) / 102</f>
        <v>0.94194991062702338</v>
      </c>
    </row>
    <row r="32" spans="1:5">
      <c r="B32" t="s">
        <v>168</v>
      </c>
    </row>
    <row r="33" spans="2:7">
      <c r="B33" s="7">
        <v>2</v>
      </c>
      <c r="C33" s="7">
        <f>B33*E28</f>
        <v>1.9799257527842706</v>
      </c>
    </row>
    <row r="34" spans="2:7">
      <c r="B34" s="7">
        <v>2</v>
      </c>
      <c r="C34" s="7">
        <f t="shared" ref="C34:C35" si="0">B34*E29</f>
        <v>1.9411833632593458</v>
      </c>
    </row>
    <row r="35" spans="2:7">
      <c r="B35" s="7">
        <v>102</v>
      </c>
      <c r="C35" s="7">
        <f t="shared" si="0"/>
        <v>96.07889088395639</v>
      </c>
    </row>
    <row r="36" spans="2:7">
      <c r="C36" s="77">
        <f>SUM(C33:C35)</f>
        <v>100</v>
      </c>
      <c r="D36" t="s">
        <v>169</v>
      </c>
    </row>
    <row r="39" spans="2:7">
      <c r="B39" s="79" t="s">
        <v>49</v>
      </c>
    </row>
    <row r="40" spans="2:7">
      <c r="B40" s="9" t="s">
        <v>83</v>
      </c>
      <c r="C40" s="9" t="s">
        <v>82</v>
      </c>
    </row>
    <row r="41" spans="2:7">
      <c r="B41" s="8" t="s">
        <v>171</v>
      </c>
      <c r="C41" s="11">
        <v>5.0000000000000001E-3</v>
      </c>
      <c r="D41" t="s">
        <v>178</v>
      </c>
    </row>
    <row r="42" spans="2:7">
      <c r="B42" s="8" t="s">
        <v>172</v>
      </c>
      <c r="C42" s="11">
        <v>8.0000000000000002E-3</v>
      </c>
    </row>
    <row r="43" spans="2:7">
      <c r="B43" s="8" t="s">
        <v>173</v>
      </c>
      <c r="C43" s="11">
        <v>1.2E-2</v>
      </c>
    </row>
    <row r="44" spans="2:7">
      <c r="B44" s="8" t="s">
        <v>174</v>
      </c>
      <c r="C44" s="11">
        <v>1.4999999999999999E-2</v>
      </c>
    </row>
    <row r="45" spans="2:7">
      <c r="B45" s="8" t="s">
        <v>175</v>
      </c>
      <c r="C45" s="81">
        <v>1.7500000000000002E-2</v>
      </c>
      <c r="D45" t="s">
        <v>180</v>
      </c>
    </row>
    <row r="46" spans="2:7">
      <c r="B46" s="8" t="s">
        <v>176</v>
      </c>
      <c r="C46" s="11">
        <v>0.02</v>
      </c>
    </row>
    <row r="48" spans="2:7">
      <c r="B48" s="65" t="s">
        <v>177</v>
      </c>
      <c r="G48" s="69">
        <f xml:space="preserve"> 100 / ( 100 + 0.5*365/360)</f>
        <v>0.99495612519864574</v>
      </c>
    </row>
    <row r="49" spans="2:7">
      <c r="B49" s="65" t="s">
        <v>179</v>
      </c>
      <c r="G49" s="69">
        <f xml:space="preserve"> ( 100 - 0.4 * G48 ) / 100.4</f>
        <v>0.99205196762869063</v>
      </c>
    </row>
    <row r="50" spans="2:7">
      <c r="B50" t="s">
        <v>181</v>
      </c>
      <c r="G50" s="69">
        <f xml:space="preserve"> ( 100 - 0.6 * (G48+G49) ) / 100.6</f>
        <v>0.98218484238870385</v>
      </c>
    </row>
    <row r="51" spans="2:7">
      <c r="B51" t="s">
        <v>182</v>
      </c>
      <c r="G51" s="69">
        <f xml:space="preserve"> ( 100 - 0.75*(G48+G49+G50) ) / 100.75</f>
        <v>0.97045265805050085</v>
      </c>
    </row>
    <row r="52" spans="2:7">
      <c r="B52" t="s">
        <v>183</v>
      </c>
      <c r="G52" s="69">
        <f xml:space="preserve"> ( 100 - (1.75/2)*(G48+G49+G50+G51) ) / (100 + (1.75/2))</f>
        <v>0.95715301220214899</v>
      </c>
    </row>
    <row r="53" spans="2:7">
      <c r="B53" t="s">
        <v>184</v>
      </c>
      <c r="G53" s="69">
        <f xml:space="preserve"> ( 100 - 1 * (G48+G49+G50+G51+G52) ) / 101</f>
        <v>0.94161585539139914</v>
      </c>
    </row>
    <row r="55" spans="2:7">
      <c r="B55" t="s">
        <v>168</v>
      </c>
    </row>
    <row r="56" spans="2:7">
      <c r="B56" s="7">
        <v>1</v>
      </c>
      <c r="C56" s="7">
        <f>B56*G48</f>
        <v>0.99495612519864574</v>
      </c>
    </row>
    <row r="57" spans="2:7">
      <c r="B57" s="7">
        <v>1</v>
      </c>
      <c r="C57" s="7">
        <f t="shared" ref="C57:C61" si="1">B57*G49</f>
        <v>0.99205196762869063</v>
      </c>
    </row>
    <row r="58" spans="2:7">
      <c r="B58" s="7">
        <v>1</v>
      </c>
      <c r="C58" s="7">
        <f t="shared" si="1"/>
        <v>0.98218484238870385</v>
      </c>
    </row>
    <row r="59" spans="2:7">
      <c r="B59" s="82">
        <v>1</v>
      </c>
      <c r="C59" s="7">
        <f t="shared" si="1"/>
        <v>0.97045265805050085</v>
      </c>
    </row>
    <row r="60" spans="2:7">
      <c r="B60" s="82">
        <v>1</v>
      </c>
      <c r="C60" s="7">
        <f t="shared" si="1"/>
        <v>0.95715301220214899</v>
      </c>
    </row>
    <row r="61" spans="2:7">
      <c r="B61" s="82">
        <v>101</v>
      </c>
      <c r="C61" s="7">
        <f t="shared" si="1"/>
        <v>95.103201394531311</v>
      </c>
    </row>
    <row r="62" spans="2:7">
      <c r="C62" s="41">
        <f>SUM(C56:C61)</f>
        <v>100</v>
      </c>
    </row>
    <row r="65" spans="1:5">
      <c r="B65" s="79" t="s">
        <v>58</v>
      </c>
    </row>
    <row r="66" spans="1:5">
      <c r="B66" s="7" t="s">
        <v>81</v>
      </c>
      <c r="C66" s="7" t="s">
        <v>188</v>
      </c>
    </row>
    <row r="67" spans="1:5">
      <c r="B67" s="7" t="s">
        <v>83</v>
      </c>
      <c r="C67" s="7" t="s">
        <v>189</v>
      </c>
    </row>
    <row r="68" spans="1:5">
      <c r="B68" s="7" t="s">
        <v>185</v>
      </c>
      <c r="C68" s="28">
        <v>2.5999999999999999E-2</v>
      </c>
      <c r="E68" t="s">
        <v>192</v>
      </c>
    </row>
    <row r="69" spans="1:5">
      <c r="B69" s="7" t="s">
        <v>186</v>
      </c>
      <c r="C69" s="7" t="s">
        <v>190</v>
      </c>
    </row>
    <row r="70" spans="1:5">
      <c r="B70" t="s">
        <v>187</v>
      </c>
      <c r="E70" t="s">
        <v>193</v>
      </c>
    </row>
    <row r="73" spans="1:5">
      <c r="B73" t="s">
        <v>191</v>
      </c>
    </row>
    <row r="74" spans="1:5">
      <c r="B74" t="s">
        <v>194</v>
      </c>
    </row>
    <row r="75" spans="1:5">
      <c r="B75" s="67">
        <f>10000000000 * 0.3% * (G48+G49+G50+G51+G52+G53 )</f>
        <v>175152433.82580268</v>
      </c>
    </row>
    <row r="78" spans="1:5" s="57" customFormat="1" ht="7.5" customHeight="1"/>
    <row r="79" spans="1:5" ht="25.5">
      <c r="A79" s="62" t="s">
        <v>160</v>
      </c>
    </row>
  </sheetData>
  <phoneticPr fontId="1"/>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95"/>
  <sheetViews>
    <sheetView showGridLines="0" workbookViewId="0">
      <selection activeCell="D99" sqref="D99"/>
    </sheetView>
  </sheetViews>
  <sheetFormatPr defaultRowHeight="13.5"/>
  <cols>
    <col min="1" max="19" width="16.625" customWidth="1"/>
  </cols>
  <sheetData>
    <row r="1" spans="1:7" ht="24">
      <c r="A1" s="40" t="s">
        <v>80</v>
      </c>
    </row>
    <row r="2" spans="1:7">
      <c r="B2" s="42" t="s">
        <v>11</v>
      </c>
    </row>
    <row r="3" spans="1:7">
      <c r="B3" t="s">
        <v>84</v>
      </c>
    </row>
    <row r="5" spans="1:7">
      <c r="B5" s="41" t="s">
        <v>81</v>
      </c>
      <c r="C5" s="41" t="s">
        <v>82</v>
      </c>
      <c r="D5" s="41" t="s">
        <v>83</v>
      </c>
      <c r="E5" s="41" t="s">
        <v>85</v>
      </c>
      <c r="F5" s="13" t="s">
        <v>6</v>
      </c>
    </row>
    <row r="6" spans="1:7">
      <c r="B6" s="14">
        <v>100000000</v>
      </c>
      <c r="C6" s="28">
        <v>7.7999999999999996E-3</v>
      </c>
      <c r="D6" s="7">
        <f>150/365</f>
        <v>0.41095890410958902</v>
      </c>
      <c r="E6" s="7">
        <v>150</v>
      </c>
      <c r="F6" s="14">
        <f>B6 * ( (1+C6/E6)^(D6*E6) )</f>
        <v>100321053.88880028</v>
      </c>
      <c r="G6" t="s">
        <v>87</v>
      </c>
    </row>
    <row r="7" spans="1:7">
      <c r="B7" s="14">
        <v>100000000</v>
      </c>
      <c r="C7" s="28">
        <v>7.7999999999999996E-3</v>
      </c>
      <c r="D7" s="7">
        <f>150/365</f>
        <v>0.41095890410958902</v>
      </c>
      <c r="E7" s="7">
        <f>24*3600*150</f>
        <v>12960000</v>
      </c>
      <c r="F7" s="14">
        <f>B7 * ( (1+C7/E7)^(D7*E7) )</f>
        <v>100321062.2760258</v>
      </c>
      <c r="G7" t="s">
        <v>88</v>
      </c>
    </row>
    <row r="8" spans="1:7">
      <c r="B8" s="14"/>
      <c r="C8" s="28"/>
      <c r="D8" s="7"/>
      <c r="E8" s="7"/>
      <c r="F8" s="7"/>
    </row>
    <row r="10" spans="1:7">
      <c r="B10" t="s">
        <v>16</v>
      </c>
    </row>
    <row r="11" spans="1:7">
      <c r="B11" t="s">
        <v>86</v>
      </c>
    </row>
    <row r="13" spans="1:7">
      <c r="B13" s="41" t="s">
        <v>81</v>
      </c>
      <c r="C13" s="41" t="s">
        <v>82</v>
      </c>
      <c r="D13" s="41" t="s">
        <v>83</v>
      </c>
      <c r="E13" s="13" t="s">
        <v>6</v>
      </c>
    </row>
    <row r="14" spans="1:7">
      <c r="B14" s="14">
        <v>100000000</v>
      </c>
      <c r="C14" s="28">
        <v>7.7999999999999996E-3</v>
      </c>
      <c r="D14" s="7">
        <f>150/365</f>
        <v>0.41095890410958902</v>
      </c>
      <c r="E14" s="14">
        <f>B14*EXP(C14*D14)</f>
        <v>100321062.24951516</v>
      </c>
      <c r="F14" t="s">
        <v>89</v>
      </c>
    </row>
    <row r="19" spans="1:7">
      <c r="B19" s="42" t="s">
        <v>19</v>
      </c>
    </row>
    <row r="20" spans="1:7">
      <c r="B20" t="s">
        <v>47</v>
      </c>
    </row>
    <row r="21" spans="1:7">
      <c r="B21" t="s">
        <v>91</v>
      </c>
      <c r="E21" t="s">
        <v>90</v>
      </c>
    </row>
    <row r="23" spans="1:7">
      <c r="B23" s="41" t="s">
        <v>27</v>
      </c>
      <c r="C23" s="41" t="s">
        <v>83</v>
      </c>
      <c r="D23" s="41" t="s">
        <v>71</v>
      </c>
      <c r="E23" s="39" t="s">
        <v>85</v>
      </c>
      <c r="F23" s="13" t="s">
        <v>6</v>
      </c>
    </row>
    <row r="24" spans="1:7">
      <c r="A24" t="s">
        <v>8</v>
      </c>
      <c r="B24" s="20">
        <v>98.97</v>
      </c>
      <c r="C24" s="7">
        <v>1.5</v>
      </c>
      <c r="D24" s="7">
        <v>2</v>
      </c>
      <c r="E24" s="7">
        <f t="shared" ref="E24:E35" si="0">C24*D24</f>
        <v>3</v>
      </c>
      <c r="F24" s="44">
        <f t="shared" ref="F24:F34" si="1">( ( 100 / B24 ) ^ ( 1/E24) - 1 ) * D24</f>
        <v>6.9141987819838491E-3</v>
      </c>
    </row>
    <row r="25" spans="1:7">
      <c r="A25" t="s">
        <v>12</v>
      </c>
      <c r="B25" s="20">
        <v>98.97</v>
      </c>
      <c r="C25" s="7">
        <v>1.5</v>
      </c>
      <c r="D25" s="7">
        <v>4</v>
      </c>
      <c r="E25" s="7">
        <f t="shared" si="0"/>
        <v>6</v>
      </c>
      <c r="F25" s="43">
        <f t="shared" si="1"/>
        <v>6.9082333210319646E-3</v>
      </c>
      <c r="G25" t="s">
        <v>92</v>
      </c>
    </row>
    <row r="26" spans="1:7">
      <c r="A26" t="s">
        <v>13</v>
      </c>
      <c r="B26" s="20">
        <v>98.97</v>
      </c>
      <c r="C26" s="7">
        <v>1.5</v>
      </c>
      <c r="D26" s="7">
        <v>365</v>
      </c>
      <c r="E26" s="7">
        <f t="shared" si="0"/>
        <v>547.5</v>
      </c>
      <c r="F26" s="43">
        <f t="shared" si="1"/>
        <v>6.9023399822421005E-3</v>
      </c>
      <c r="G26" t="s">
        <v>92</v>
      </c>
    </row>
    <row r="27" spans="1:7">
      <c r="A27" t="s">
        <v>10</v>
      </c>
      <c r="B27" s="20">
        <v>98.97</v>
      </c>
      <c r="C27" s="7">
        <v>1.5</v>
      </c>
      <c r="D27" s="7">
        <f>24*3600*365</f>
        <v>31536000</v>
      </c>
      <c r="E27" s="7">
        <f t="shared" si="0"/>
        <v>47304000</v>
      </c>
      <c r="F27" s="43">
        <f t="shared" si="1"/>
        <v>6.9022713624633525E-3</v>
      </c>
      <c r="G27" t="s">
        <v>92</v>
      </c>
    </row>
    <row r="28" spans="1:7">
      <c r="A28" t="s">
        <v>8</v>
      </c>
      <c r="B28" s="20">
        <v>98.43</v>
      </c>
      <c r="C28" s="7">
        <v>2</v>
      </c>
      <c r="D28" s="7">
        <v>2</v>
      </c>
      <c r="E28" s="7">
        <f t="shared" si="0"/>
        <v>4</v>
      </c>
      <c r="F28" s="44">
        <f t="shared" si="1"/>
        <v>7.9279468577220236E-3</v>
      </c>
    </row>
    <row r="29" spans="1:7">
      <c r="A29" t="s">
        <v>12</v>
      </c>
      <c r="B29" s="20">
        <v>98.43</v>
      </c>
      <c r="C29" s="7">
        <v>2</v>
      </c>
      <c r="D29" s="7">
        <v>4</v>
      </c>
      <c r="E29" s="7">
        <f t="shared" si="0"/>
        <v>8</v>
      </c>
      <c r="F29" s="43">
        <f t="shared" si="1"/>
        <v>7.92010584814129E-3</v>
      </c>
      <c r="G29" t="s">
        <v>88</v>
      </c>
    </row>
    <row r="30" spans="1:7">
      <c r="A30" t="s">
        <v>13</v>
      </c>
      <c r="B30" s="20">
        <v>98.43</v>
      </c>
      <c r="C30" s="7">
        <v>2</v>
      </c>
      <c r="D30" s="7">
        <v>365</v>
      </c>
      <c r="E30" s="7">
        <f t="shared" si="0"/>
        <v>730</v>
      </c>
      <c r="F30" s="43">
        <f t="shared" si="1"/>
        <v>7.9123609331721578E-3</v>
      </c>
      <c r="G30" t="s">
        <v>88</v>
      </c>
    </row>
    <row r="31" spans="1:7">
      <c r="A31" t="s">
        <v>10</v>
      </c>
      <c r="B31" s="20">
        <v>98.43</v>
      </c>
      <c r="C31" s="7">
        <v>2</v>
      </c>
      <c r="D31" s="7">
        <f>24*3600*365</f>
        <v>31536000</v>
      </c>
      <c r="E31" s="7">
        <f t="shared" si="0"/>
        <v>63072000</v>
      </c>
      <c r="F31" s="43">
        <f t="shared" si="1"/>
        <v>7.9122763381178629E-3</v>
      </c>
      <c r="G31" t="s">
        <v>88</v>
      </c>
    </row>
    <row r="32" spans="1:7">
      <c r="A32" t="s">
        <v>8</v>
      </c>
      <c r="B32" s="20">
        <v>97.95</v>
      </c>
      <c r="C32" s="7">
        <v>2.25</v>
      </c>
      <c r="D32" s="7">
        <v>2</v>
      </c>
      <c r="E32" s="7">
        <f t="shared" si="0"/>
        <v>4.5</v>
      </c>
      <c r="F32" s="44">
        <f t="shared" si="1"/>
        <v>9.227015480932188E-3</v>
      </c>
    </row>
    <row r="33" spans="1:7">
      <c r="A33" t="s">
        <v>12</v>
      </c>
      <c r="B33" s="20">
        <v>97.95</v>
      </c>
      <c r="C33" s="7">
        <v>2.25</v>
      </c>
      <c r="D33" s="7">
        <v>4</v>
      </c>
      <c r="E33" s="7">
        <f t="shared" si="0"/>
        <v>9</v>
      </c>
      <c r="F33" s="43">
        <f t="shared" si="1"/>
        <v>9.2163977325361301E-3</v>
      </c>
      <c r="G33" t="s">
        <v>93</v>
      </c>
    </row>
    <row r="34" spans="1:7">
      <c r="A34" t="s">
        <v>13</v>
      </c>
      <c r="B34" s="20">
        <v>97.95</v>
      </c>
      <c r="C34" s="7">
        <v>2.25</v>
      </c>
      <c r="D34" s="7">
        <v>365</v>
      </c>
      <c r="E34" s="7">
        <f t="shared" si="0"/>
        <v>821.25</v>
      </c>
      <c r="F34" s="43">
        <f t="shared" si="1"/>
        <v>9.2059123578758228E-3</v>
      </c>
      <c r="G34" t="s">
        <v>93</v>
      </c>
    </row>
    <row r="35" spans="1:7">
      <c r="A35" t="s">
        <v>10</v>
      </c>
      <c r="B35" s="20">
        <v>97.95</v>
      </c>
      <c r="C35" s="7">
        <v>2.25</v>
      </c>
      <c r="D35" s="7">
        <f>24*3600*365</f>
        <v>31536000</v>
      </c>
      <c r="E35" s="7">
        <f t="shared" si="0"/>
        <v>70956000</v>
      </c>
      <c r="F35" s="43">
        <v>0.02</v>
      </c>
      <c r="G35" t="s">
        <v>93</v>
      </c>
    </row>
    <row r="37" spans="1:7">
      <c r="B37" t="s">
        <v>94</v>
      </c>
    </row>
    <row r="38" spans="1:7">
      <c r="B38" t="s">
        <v>95</v>
      </c>
      <c r="D38" t="s">
        <v>96</v>
      </c>
    </row>
    <row r="40" spans="1:7">
      <c r="B40" s="41" t="s">
        <v>27</v>
      </c>
      <c r="C40" s="41" t="s">
        <v>83</v>
      </c>
      <c r="D40" s="13" t="s">
        <v>6</v>
      </c>
    </row>
    <row r="41" spans="1:7">
      <c r="A41" t="s">
        <v>16</v>
      </c>
      <c r="B41" s="20">
        <v>98.97</v>
      </c>
      <c r="C41" s="7">
        <v>1.5</v>
      </c>
      <c r="D41" s="43">
        <f>(1/C41)*LN(100/B41)</f>
        <v>6.9022747196611448E-3</v>
      </c>
      <c r="E41" t="s">
        <v>92</v>
      </c>
    </row>
    <row r="42" spans="1:7">
      <c r="A42" t="s">
        <v>16</v>
      </c>
      <c r="B42" s="20">
        <v>98.43</v>
      </c>
      <c r="C42" s="7">
        <v>2</v>
      </c>
      <c r="D42" s="43">
        <f>(1/C42)*LN(100/B42)</f>
        <v>7.9122751734856406E-3</v>
      </c>
      <c r="E42" t="s">
        <v>88</v>
      </c>
    </row>
    <row r="43" spans="1:7">
      <c r="A43" t="s">
        <v>16</v>
      </c>
      <c r="B43" s="20">
        <v>97.95</v>
      </c>
      <c r="C43" s="7">
        <v>2.25</v>
      </c>
      <c r="D43" s="43">
        <f>(1/C43)*LN(100/B43)</f>
        <v>9.2057962655740112E-3</v>
      </c>
      <c r="E43" t="s">
        <v>93</v>
      </c>
    </row>
    <row r="47" spans="1:7">
      <c r="B47" s="42" t="s">
        <v>22</v>
      </c>
    </row>
    <row r="48" spans="1:7">
      <c r="B48" t="s">
        <v>66</v>
      </c>
    </row>
    <row r="49" spans="1:8">
      <c r="B49" t="s">
        <v>97</v>
      </c>
    </row>
    <row r="51" spans="1:8">
      <c r="B51" s="9" t="s">
        <v>98</v>
      </c>
      <c r="C51" s="9" t="s">
        <v>99</v>
      </c>
      <c r="D51" s="9" t="s">
        <v>100</v>
      </c>
      <c r="E51" s="9" t="s">
        <v>101</v>
      </c>
      <c r="F51" s="9" t="s">
        <v>102</v>
      </c>
      <c r="G51" s="13" t="s">
        <v>6</v>
      </c>
    </row>
    <row r="52" spans="1:8">
      <c r="A52" t="s">
        <v>8</v>
      </c>
      <c r="B52" s="45">
        <v>6.9141999999999997E-3</v>
      </c>
      <c r="C52" s="7">
        <v>3</v>
      </c>
      <c r="D52" s="45">
        <v>7.9278999999999999E-3</v>
      </c>
      <c r="E52" s="7">
        <v>4</v>
      </c>
      <c r="F52" s="7">
        <v>2</v>
      </c>
      <c r="G52" s="46">
        <f xml:space="preserve"> ( ( ( (1+D52/F52)^E52 ) / ( (1+B52/F52)^C52 ) )  - 1 ) * F52</f>
        <v>1.0972073176996666E-2</v>
      </c>
      <c r="H52" t="s">
        <v>92</v>
      </c>
    </row>
    <row r="53" spans="1:8">
      <c r="A53" t="s">
        <v>104</v>
      </c>
      <c r="B53" s="45">
        <v>6.9081999999999998E-3</v>
      </c>
      <c r="C53" s="7">
        <v>6</v>
      </c>
      <c r="D53" s="45">
        <v>7.9200999999999994E-3</v>
      </c>
      <c r="E53" s="7">
        <v>8</v>
      </c>
      <c r="F53" s="7">
        <v>4</v>
      </c>
      <c r="G53" s="46">
        <f xml:space="preserve"> ( ( ( (1+D53/F53)^E53 ) / ( (1+B53/F53)^C53 ) ) ^ (1/2)  - 1 ) * F53</f>
        <v>1.0957333522545909E-2</v>
      </c>
      <c r="H53" t="s">
        <v>103</v>
      </c>
    </row>
    <row r="54" spans="1:8">
      <c r="A54" t="s">
        <v>104</v>
      </c>
      <c r="B54" s="45">
        <v>7.9200999999999994E-3</v>
      </c>
      <c r="C54" s="7">
        <v>8</v>
      </c>
      <c r="D54" s="45">
        <v>9.2163999999999996E-3</v>
      </c>
      <c r="E54" s="7">
        <v>9</v>
      </c>
      <c r="F54" s="7">
        <v>4</v>
      </c>
      <c r="G54" s="46">
        <f xml:space="preserve"> ( ( ( (1+D54/F54)^E54 ) / ( (1+B54/F54)^C54 ) )  - 1 ) * F54</f>
        <v>1.9601905053811208E-2</v>
      </c>
    </row>
    <row r="56" spans="1:8">
      <c r="B56" t="s">
        <v>105</v>
      </c>
    </row>
    <row r="57" spans="1:8">
      <c r="B57" t="s">
        <v>106</v>
      </c>
    </row>
    <row r="58" spans="1:8">
      <c r="B58" s="9" t="s">
        <v>98</v>
      </c>
      <c r="C58" s="9" t="s">
        <v>69</v>
      </c>
      <c r="D58" s="9" t="s">
        <v>100</v>
      </c>
      <c r="E58" s="9" t="s">
        <v>107</v>
      </c>
      <c r="F58" s="9" t="s">
        <v>83</v>
      </c>
      <c r="G58" s="13" t="s">
        <v>6</v>
      </c>
    </row>
    <row r="59" spans="1:8">
      <c r="B59" s="45">
        <v>7.9200999999999994E-3</v>
      </c>
      <c r="C59" s="7">
        <v>2</v>
      </c>
      <c r="D59" s="45">
        <v>9.2163999999999996E-3</v>
      </c>
      <c r="E59" s="7">
        <v>2.25</v>
      </c>
      <c r="F59" s="7">
        <v>0.25</v>
      </c>
      <c r="G59" s="46">
        <f xml:space="preserve">  (D59*E59 - B59*C59) / F59</f>
        <v>1.9586800000000001E-2</v>
      </c>
    </row>
    <row r="64" spans="1:8">
      <c r="B64" s="42" t="s">
        <v>53</v>
      </c>
    </row>
    <row r="65" spans="1:9" ht="10.5" customHeight="1">
      <c r="A65" s="47"/>
      <c r="B65" t="s">
        <v>200</v>
      </c>
    </row>
    <row r="67" spans="1:9">
      <c r="B67" s="63" t="s">
        <v>138</v>
      </c>
      <c r="C67" s="63" t="s">
        <v>83</v>
      </c>
      <c r="D67" s="63" t="s">
        <v>195</v>
      </c>
      <c r="E67" s="51" t="s">
        <v>197</v>
      </c>
    </row>
    <row r="68" spans="1:9">
      <c r="B68" s="8" t="s">
        <v>108</v>
      </c>
      <c r="C68" s="8">
        <v>0.5</v>
      </c>
      <c r="D68" s="11">
        <v>7.4999999999999997E-3</v>
      </c>
      <c r="E68" s="83">
        <f t="shared" ref="E68:E70" si="2">100 /  ( (1+D68/2)^(2*C68) )</f>
        <v>99.626400996264024</v>
      </c>
    </row>
    <row r="69" spans="1:9">
      <c r="B69" s="8" t="s">
        <v>108</v>
      </c>
      <c r="C69" s="8">
        <v>1</v>
      </c>
      <c r="D69" s="11">
        <v>8.8000000000000005E-3</v>
      </c>
      <c r="E69" s="83">
        <f t="shared" si="2"/>
        <v>99.125774112820366</v>
      </c>
    </row>
    <row r="70" spans="1:9">
      <c r="B70" s="8" t="s">
        <v>108</v>
      </c>
      <c r="C70" s="8">
        <v>1.5</v>
      </c>
      <c r="D70" s="11">
        <v>1.0200000000000001E-2</v>
      </c>
      <c r="E70" s="83">
        <f t="shared" si="2"/>
        <v>98.485474356583538</v>
      </c>
    </row>
    <row r="71" spans="1:9">
      <c r="B71" s="8" t="s">
        <v>108</v>
      </c>
      <c r="C71" s="8">
        <v>2</v>
      </c>
      <c r="D71" s="11">
        <v>1.18E-2</v>
      </c>
      <c r="E71" s="83">
        <f>100 /  ( (1+D71/2)^(2*C71) )</f>
        <v>97.674403443391924</v>
      </c>
      <c r="F71" s="18" t="s">
        <v>199</v>
      </c>
    </row>
    <row r="72" spans="1:9">
      <c r="D72" s="73"/>
    </row>
    <row r="73" spans="1:9">
      <c r="B73" s="64" t="s">
        <v>196</v>
      </c>
    </row>
    <row r="74" spans="1:9">
      <c r="B74" s="1" t="s">
        <v>50</v>
      </c>
      <c r="C74" s="2"/>
      <c r="D74" s="3"/>
    </row>
    <row r="75" spans="1:9">
      <c r="B75" s="4" t="s">
        <v>201</v>
      </c>
      <c r="C75" s="5"/>
      <c r="D75" s="6"/>
    </row>
    <row r="78" spans="1:9">
      <c r="B78" s="65" t="s">
        <v>142</v>
      </c>
      <c r="G78" s="53"/>
      <c r="H78" s="53"/>
      <c r="I78" s="53"/>
    </row>
    <row r="79" spans="1:9">
      <c r="B79" t="s">
        <v>143</v>
      </c>
      <c r="C79" s="66"/>
      <c r="E79" s="70">
        <f>E68/100</f>
        <v>0.9962640099626402</v>
      </c>
      <c r="G79" s="53"/>
      <c r="H79" s="53"/>
      <c r="I79" s="53"/>
    </row>
    <row r="80" spans="1:9">
      <c r="B80" t="s">
        <v>202</v>
      </c>
      <c r="E80" s="70">
        <f>E69/100</f>
        <v>0.99125774112820364</v>
      </c>
      <c r="G80" s="53"/>
      <c r="H80" s="53"/>
      <c r="I80" s="53"/>
    </row>
    <row r="81" spans="2:9">
      <c r="B81" t="s">
        <v>203</v>
      </c>
      <c r="E81" s="70">
        <f>E70/100</f>
        <v>0.98485474356583536</v>
      </c>
      <c r="G81" s="53"/>
      <c r="H81" s="53"/>
      <c r="I81" s="53"/>
    </row>
    <row r="82" spans="2:9">
      <c r="B82" t="s">
        <v>204</v>
      </c>
      <c r="E82" s="70">
        <f>E71/100</f>
        <v>0.97674403443391922</v>
      </c>
      <c r="G82" s="53"/>
      <c r="H82" s="53"/>
      <c r="I82" s="53"/>
    </row>
    <row r="83" spans="2:9">
      <c r="G83" s="53"/>
      <c r="H83" s="84"/>
      <c r="I83" s="53"/>
    </row>
    <row r="84" spans="2:9">
      <c r="B84" t="s">
        <v>205</v>
      </c>
    </row>
    <row r="85" spans="2:9">
      <c r="B85" s="7">
        <v>0.6</v>
      </c>
      <c r="C85" s="7">
        <f>B85*E79</f>
        <v>0.59775840597758412</v>
      </c>
    </row>
    <row r="86" spans="2:9">
      <c r="B86" s="7">
        <v>0.6</v>
      </c>
      <c r="C86" s="7">
        <f t="shared" ref="C86:C88" si="3">B86*E80</f>
        <v>0.59475464467692218</v>
      </c>
    </row>
    <row r="87" spans="2:9">
      <c r="B87" s="7">
        <v>0.6</v>
      </c>
      <c r="C87" s="7">
        <f t="shared" si="3"/>
        <v>0.59091284613950124</v>
      </c>
      <c r="E87" t="s">
        <v>206</v>
      </c>
    </row>
    <row r="88" spans="2:9">
      <c r="B88" s="7">
        <v>100.6</v>
      </c>
      <c r="C88" s="7">
        <f t="shared" si="3"/>
        <v>98.260449864052262</v>
      </c>
      <c r="E88">
        <f>(C89-0.6*(E79+E80+E81) ) / 100.6</f>
        <v>0.97674403443391922</v>
      </c>
    </row>
    <row r="89" spans="2:9">
      <c r="C89" s="69">
        <f>SUM(C85:C88)</f>
        <v>100.04387576084628</v>
      </c>
      <c r="E89" s="18" t="s">
        <v>207</v>
      </c>
    </row>
    <row r="92" spans="2:9">
      <c r="B92" s="9" t="s">
        <v>27</v>
      </c>
      <c r="C92" s="9" t="s">
        <v>28</v>
      </c>
      <c r="D92" s="9" t="s">
        <v>4</v>
      </c>
      <c r="E92" s="25" t="s">
        <v>30</v>
      </c>
      <c r="F92" s="9" t="s">
        <v>29</v>
      </c>
      <c r="H92" s="9" t="s">
        <v>31</v>
      </c>
      <c r="I92" s="13" t="s">
        <v>6</v>
      </c>
    </row>
    <row r="93" spans="2:9">
      <c r="B93" s="85">
        <f>C89</f>
        <v>100.04387576084628</v>
      </c>
      <c r="C93" s="11">
        <v>1.2E-2</v>
      </c>
      <c r="D93" s="8">
        <v>2</v>
      </c>
      <c r="E93" s="8">
        <v>2</v>
      </c>
      <c r="F93" s="26">
        <f>C93/E93</f>
        <v>6.0000000000000001E-3</v>
      </c>
      <c r="H93" s="7">
        <f>B93*(-1)</f>
        <v>-100.04387576084628</v>
      </c>
      <c r="I93" s="86">
        <f>IRR(H93:H95) * E93</f>
        <v>1.155743555458022E-2</v>
      </c>
    </row>
    <row r="94" spans="2:9">
      <c r="H94" s="7">
        <f>100*F93</f>
        <v>0.6</v>
      </c>
    </row>
    <row r="95" spans="2:9">
      <c r="H95" s="7">
        <f>100*F93 + 100</f>
        <v>100.6</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360"/>
  <sheetViews>
    <sheetView showGridLines="0" topLeftCell="A351" workbookViewId="0">
      <selection activeCell="A190" sqref="A190:E198"/>
    </sheetView>
  </sheetViews>
  <sheetFormatPr defaultRowHeight="11.25"/>
  <cols>
    <col min="1" max="1" width="15.625" style="87" customWidth="1"/>
    <col min="2" max="2" width="18.375" style="87" customWidth="1"/>
    <col min="3" max="67" width="15.625" style="87" customWidth="1"/>
    <col min="68" max="16384" width="9" style="87"/>
  </cols>
  <sheetData>
    <row r="1" spans="1:5" ht="24">
      <c r="A1" s="40" t="s">
        <v>302</v>
      </c>
    </row>
    <row r="3" spans="1:5" ht="13.5">
      <c r="A3" s="79" t="s">
        <v>303</v>
      </c>
    </row>
    <row r="4" spans="1:5">
      <c r="A4" s="88">
        <v>1</v>
      </c>
      <c r="B4" s="207" t="s">
        <v>304</v>
      </c>
    </row>
    <row r="5" spans="1:5">
      <c r="A5" s="88">
        <v>2</v>
      </c>
      <c r="B5" s="207" t="s">
        <v>305</v>
      </c>
    </row>
    <row r="6" spans="1:5">
      <c r="A6" s="88">
        <v>3</v>
      </c>
      <c r="B6" s="207" t="s">
        <v>306</v>
      </c>
    </row>
    <row r="7" spans="1:5">
      <c r="A7" s="88">
        <v>4</v>
      </c>
      <c r="B7" s="207" t="s">
        <v>307</v>
      </c>
    </row>
    <row r="8" spans="1:5">
      <c r="A8" s="88">
        <v>5</v>
      </c>
      <c r="B8" s="207" t="s">
        <v>308</v>
      </c>
    </row>
    <row r="10" spans="1:5" ht="12">
      <c r="A10" s="208" t="s">
        <v>309</v>
      </c>
    </row>
    <row r="11" spans="1:5">
      <c r="A11" s="87" t="s">
        <v>310</v>
      </c>
    </row>
    <row r="12" spans="1:5">
      <c r="A12" s="87" t="s">
        <v>311</v>
      </c>
    </row>
    <row r="15" spans="1:5" ht="17.25">
      <c r="A15" s="212" t="s">
        <v>312</v>
      </c>
    </row>
    <row r="16" spans="1:5">
      <c r="A16" s="213" t="s">
        <v>314</v>
      </c>
      <c r="B16" s="209" t="s">
        <v>313</v>
      </c>
      <c r="D16" s="220" t="s">
        <v>315</v>
      </c>
      <c r="E16" s="221"/>
    </row>
    <row r="17" spans="1:6">
      <c r="A17" s="210">
        <v>3.1250000000000002E-3</v>
      </c>
      <c r="B17" s="210">
        <f>A17*365/360</f>
        <v>3.1684027777777778E-3</v>
      </c>
      <c r="D17" s="224"/>
      <c r="E17" s="225"/>
    </row>
    <row r="18" spans="1:6">
      <c r="A18" s="210">
        <v>3.0000000000000001E-3</v>
      </c>
      <c r="B18" s="210">
        <f>A18*365/360</f>
        <v>3.0416666666666665E-3</v>
      </c>
    </row>
    <row r="20" spans="1:6" ht="12">
      <c r="A20" s="208" t="s">
        <v>316</v>
      </c>
    </row>
    <row r="21" spans="1:6">
      <c r="A21" s="87" t="s">
        <v>317</v>
      </c>
    </row>
    <row r="23" spans="1:6">
      <c r="A23" s="211" t="s">
        <v>318</v>
      </c>
    </row>
    <row r="24" spans="1:6">
      <c r="A24" s="87" t="s">
        <v>319</v>
      </c>
    </row>
    <row r="25" spans="1:6">
      <c r="A25" s="87" t="s">
        <v>320</v>
      </c>
    </row>
    <row r="28" spans="1:6" ht="17.25">
      <c r="A28" s="212" t="s">
        <v>321</v>
      </c>
    </row>
    <row r="29" spans="1:6" ht="12">
      <c r="A29" s="226" t="s">
        <v>326</v>
      </c>
      <c r="B29" s="227"/>
      <c r="C29" s="227"/>
      <c r="D29" s="227"/>
      <c r="E29" s="227"/>
      <c r="F29" s="221"/>
    </row>
    <row r="30" spans="1:6" ht="12">
      <c r="A30" s="228" t="s">
        <v>322</v>
      </c>
      <c r="B30" s="229"/>
      <c r="C30" s="229"/>
      <c r="D30" s="229"/>
      <c r="E30" s="229"/>
      <c r="F30" s="223"/>
    </row>
    <row r="31" spans="1:6">
      <c r="A31" s="222"/>
      <c r="B31" s="229"/>
      <c r="C31" s="229"/>
      <c r="D31" s="229"/>
      <c r="E31" s="229"/>
      <c r="F31" s="223"/>
    </row>
    <row r="32" spans="1:6" ht="12">
      <c r="A32" s="228" t="s">
        <v>323</v>
      </c>
      <c r="B32" s="229"/>
      <c r="C32" s="229"/>
      <c r="D32" s="229"/>
      <c r="E32" s="229"/>
      <c r="F32" s="223"/>
    </row>
    <row r="33" spans="1:10" ht="12">
      <c r="A33" s="228" t="s">
        <v>324</v>
      </c>
      <c r="B33" s="229"/>
      <c r="C33" s="229"/>
      <c r="D33" s="229"/>
      <c r="E33" s="229"/>
      <c r="F33" s="223"/>
    </row>
    <row r="34" spans="1:10">
      <c r="A34" s="222"/>
      <c r="B34" s="229"/>
      <c r="C34" s="229"/>
      <c r="D34" s="229"/>
      <c r="E34" s="229"/>
      <c r="F34" s="223"/>
    </row>
    <row r="35" spans="1:10" ht="12">
      <c r="A35" s="230" t="s">
        <v>325</v>
      </c>
      <c r="B35" s="231"/>
      <c r="C35" s="231"/>
      <c r="D35" s="231"/>
      <c r="E35" s="231"/>
      <c r="F35" s="225"/>
    </row>
    <row r="38" spans="1:10" s="232" customFormat="1"/>
    <row r="39" spans="1:10" ht="24">
      <c r="A39" s="253" t="s">
        <v>413</v>
      </c>
    </row>
    <row r="41" spans="1:10" ht="21">
      <c r="A41" s="206" t="s">
        <v>331</v>
      </c>
      <c r="D41" s="87" t="s">
        <v>414</v>
      </c>
    </row>
    <row r="42" spans="1:10">
      <c r="A42" s="25" t="s">
        <v>83</v>
      </c>
      <c r="B42" s="25" t="s">
        <v>347</v>
      </c>
      <c r="C42" s="234" t="s">
        <v>110</v>
      </c>
    </row>
    <row r="43" spans="1:10">
      <c r="A43" s="88" t="s">
        <v>328</v>
      </c>
      <c r="B43" s="240">
        <v>1</v>
      </c>
      <c r="C43" s="238">
        <f>100 / (100 +  B43 * (365/360) )</f>
        <v>0.98996287639213532</v>
      </c>
      <c r="D43" s="235" t="s">
        <v>388</v>
      </c>
    </row>
    <row r="44" spans="1:10">
      <c r="A44" s="88" t="s">
        <v>329</v>
      </c>
      <c r="B44" s="240">
        <v>1.5</v>
      </c>
      <c r="C44" s="238">
        <f>(100 - (B44/1) * SUM($C$43:C43) ) / ( 100 + B44/1)</f>
        <v>0.97059168162967291</v>
      </c>
      <c r="D44" s="235" t="s">
        <v>333</v>
      </c>
    </row>
    <row r="45" spans="1:10">
      <c r="A45" s="88" t="s">
        <v>330</v>
      </c>
      <c r="B45" s="240">
        <v>2</v>
      </c>
      <c r="C45" s="238">
        <f>(100 - B45/1 * SUM($C$43:C44)) / ( 100 + B45/1)</f>
        <v>0.94194991062702338</v>
      </c>
      <c r="D45" s="235" t="s">
        <v>334</v>
      </c>
    </row>
    <row r="47" spans="1:10" ht="18.75">
      <c r="A47" s="87" t="s">
        <v>335</v>
      </c>
      <c r="H47" s="245" t="s">
        <v>351</v>
      </c>
      <c r="I47" s="227"/>
      <c r="J47" s="221"/>
    </row>
    <row r="48" spans="1:10">
      <c r="A48" s="207"/>
      <c r="B48" s="207" t="s">
        <v>337</v>
      </c>
      <c r="C48" s="241" t="s">
        <v>338</v>
      </c>
      <c r="E48" s="241" t="s">
        <v>342</v>
      </c>
      <c r="F48" s="241" t="s">
        <v>343</v>
      </c>
      <c r="H48" s="243" t="s">
        <v>327</v>
      </c>
      <c r="I48" s="244" t="s">
        <v>352</v>
      </c>
      <c r="J48" s="244"/>
    </row>
    <row r="49" spans="1:10">
      <c r="A49" s="207" t="s">
        <v>327</v>
      </c>
      <c r="B49" s="207">
        <v>2</v>
      </c>
      <c r="C49" s="239">
        <f>B49*C43</f>
        <v>1.9799257527842706</v>
      </c>
      <c r="D49" s="144" t="s">
        <v>344</v>
      </c>
      <c r="E49" s="207">
        <v>1.5</v>
      </c>
      <c r="F49" s="207">
        <v>2</v>
      </c>
      <c r="H49" s="243" t="s">
        <v>353</v>
      </c>
      <c r="I49" s="244" t="s">
        <v>354</v>
      </c>
      <c r="J49" s="244"/>
    </row>
    <row r="50" spans="1:10">
      <c r="A50" s="207" t="s">
        <v>339</v>
      </c>
      <c r="B50" s="207">
        <v>2</v>
      </c>
      <c r="C50" s="239">
        <f>B50*C44</f>
        <v>1.9411833632593458</v>
      </c>
      <c r="D50" s="144" t="s">
        <v>345</v>
      </c>
      <c r="E50" s="207">
        <v>101.5</v>
      </c>
      <c r="F50" s="207">
        <v>2</v>
      </c>
      <c r="H50" s="243" t="s">
        <v>355</v>
      </c>
      <c r="I50" s="244" t="s">
        <v>356</v>
      </c>
      <c r="J50" s="244"/>
    </row>
    <row r="51" spans="1:10">
      <c r="A51" s="207" t="s">
        <v>340</v>
      </c>
      <c r="B51" s="207">
        <v>102</v>
      </c>
      <c r="C51" s="239">
        <f>B51*C45</f>
        <v>96.07889088395639</v>
      </c>
      <c r="D51" s="144" t="s">
        <v>346</v>
      </c>
      <c r="E51" s="207"/>
      <c r="F51" s="207">
        <v>102</v>
      </c>
      <c r="H51" s="224"/>
      <c r="I51" s="231"/>
      <c r="J51" s="225"/>
    </row>
    <row r="52" spans="1:10">
      <c r="B52" s="209" t="s">
        <v>341</v>
      </c>
      <c r="C52" s="248">
        <f>SUM(C49:C51)</f>
        <v>100</v>
      </c>
      <c r="E52" s="252">
        <f>SUMPRODUCT(E49:E51,$C$43:$C$45)</f>
        <v>100</v>
      </c>
      <c r="F52" s="252">
        <f>SUMPRODUCT(F49:F51,$C$43:$C$45)</f>
        <v>100</v>
      </c>
      <c r="G52" s="144"/>
    </row>
    <row r="53" spans="1:10" ht="17.25">
      <c r="C53" s="87" t="s">
        <v>350</v>
      </c>
      <c r="E53" s="144" t="s">
        <v>348</v>
      </c>
      <c r="F53" s="242"/>
      <c r="H53" s="247" t="s">
        <v>415</v>
      </c>
      <c r="I53" s="227"/>
      <c r="J53" s="221"/>
    </row>
    <row r="54" spans="1:10">
      <c r="E54" s="242"/>
      <c r="F54" s="144" t="s">
        <v>349</v>
      </c>
      <c r="H54" s="222" t="s">
        <v>358</v>
      </c>
      <c r="I54" s="229"/>
      <c r="J54" s="223"/>
    </row>
    <row r="55" spans="1:10">
      <c r="H55" s="224"/>
      <c r="I55" s="231"/>
      <c r="J55" s="225"/>
    </row>
    <row r="57" spans="1:10" ht="21">
      <c r="A57" s="206" t="s">
        <v>359</v>
      </c>
      <c r="D57" s="87" t="s">
        <v>416</v>
      </c>
      <c r="H57" s="245" t="s">
        <v>351</v>
      </c>
      <c r="I57" s="227"/>
      <c r="J57" s="221"/>
    </row>
    <row r="58" spans="1:10">
      <c r="A58" s="25" t="s">
        <v>83</v>
      </c>
      <c r="B58" s="25" t="s">
        <v>347</v>
      </c>
      <c r="C58" s="234" t="s">
        <v>110</v>
      </c>
      <c r="H58" s="243" t="s">
        <v>190</v>
      </c>
      <c r="I58" s="229" t="s">
        <v>378</v>
      </c>
      <c r="J58" s="223"/>
    </row>
    <row r="59" spans="1:10">
      <c r="A59" s="88" t="s">
        <v>190</v>
      </c>
      <c r="B59" s="240">
        <v>0.5</v>
      </c>
      <c r="C59" s="236">
        <f>100 / (100 +  B59 * (182.5/360) )</f>
        <v>0.99747168635056971</v>
      </c>
      <c r="D59" s="249" t="s">
        <v>390</v>
      </c>
      <c r="H59" s="243" t="s">
        <v>362</v>
      </c>
      <c r="I59" s="229" t="s">
        <v>379</v>
      </c>
      <c r="J59" s="223"/>
    </row>
    <row r="60" spans="1:10">
      <c r="A60" s="88" t="s">
        <v>362</v>
      </c>
      <c r="B60" s="240">
        <v>0.8</v>
      </c>
      <c r="C60" s="236">
        <f>(100 - (B60/2) * SUM($C$59:C59) ) / ( 100 + B60/2 )</f>
        <v>0.99204194547270674</v>
      </c>
      <c r="D60" s="250" t="s">
        <v>373</v>
      </c>
      <c r="H60" s="243" t="s">
        <v>364</v>
      </c>
      <c r="I60" s="229" t="s">
        <v>380</v>
      </c>
      <c r="J60" s="223"/>
    </row>
    <row r="61" spans="1:10">
      <c r="A61" s="88" t="s">
        <v>364</v>
      </c>
      <c r="B61" s="240">
        <v>1.2</v>
      </c>
      <c r="C61" s="236">
        <f>(100 - (B61/2) * SUM($C$59:C60) ) / ( 100 + B61/2 )</f>
        <v>0.98216989881616346</v>
      </c>
      <c r="D61" s="250" t="s">
        <v>375</v>
      </c>
      <c r="H61" s="243" t="s">
        <v>366</v>
      </c>
      <c r="I61" s="229"/>
      <c r="J61" s="223"/>
    </row>
    <row r="62" spans="1:10">
      <c r="A62" s="88" t="s">
        <v>366</v>
      </c>
      <c r="B62" s="240">
        <v>1.5</v>
      </c>
      <c r="C62" s="236">
        <f>(100 - (B62/2) * SUM($C$59:C61) ) / ( 100 + B62/2 )</f>
        <v>0.97043411763791976</v>
      </c>
      <c r="D62" s="250" t="s">
        <v>377</v>
      </c>
      <c r="H62" s="243" t="s">
        <v>368</v>
      </c>
      <c r="I62" s="229"/>
      <c r="J62" s="223"/>
    </row>
    <row r="63" spans="1:10">
      <c r="A63" s="88" t="s">
        <v>368</v>
      </c>
      <c r="B63" s="240">
        <f>(B62+B64)/2</f>
        <v>1.75</v>
      </c>
      <c r="C63" s="236">
        <f>(100 - (B63/2) * SUM($C$59:C62) ) / ( 100 + B63/2 )</f>
        <v>0.95713156934579746</v>
      </c>
      <c r="D63" s="251"/>
      <c r="H63" s="243" t="s">
        <v>370</v>
      </c>
      <c r="I63" s="231"/>
      <c r="J63" s="225"/>
    </row>
    <row r="64" spans="1:10">
      <c r="A64" s="88" t="s">
        <v>370</v>
      </c>
      <c r="B64" s="240">
        <v>2</v>
      </c>
      <c r="C64" s="236">
        <f>(100 - (B64/2) * SUM($C$59:C63) ) / ( 100 + B64/2 )</f>
        <v>0.9415915919047213</v>
      </c>
    </row>
    <row r="67" spans="1:6">
      <c r="A67" s="87" t="s">
        <v>335</v>
      </c>
    </row>
    <row r="68" spans="1:6">
      <c r="A68" s="207"/>
      <c r="B68" s="207" t="s">
        <v>337</v>
      </c>
      <c r="C68" s="241" t="s">
        <v>338</v>
      </c>
      <c r="E68" s="241" t="s">
        <v>342</v>
      </c>
      <c r="F68" s="241" t="s">
        <v>343</v>
      </c>
    </row>
    <row r="69" spans="1:6">
      <c r="A69" s="88" t="s">
        <v>190</v>
      </c>
      <c r="B69" s="207">
        <v>1</v>
      </c>
      <c r="C69" s="207">
        <f>B69*C59</f>
        <v>0.99747168635056971</v>
      </c>
      <c r="E69" s="207">
        <v>0.75</v>
      </c>
      <c r="F69" s="207">
        <v>1</v>
      </c>
    </row>
    <row r="70" spans="1:6">
      <c r="A70" s="88" t="s">
        <v>362</v>
      </c>
      <c r="B70" s="207">
        <v>1</v>
      </c>
      <c r="C70" s="207">
        <f t="shared" ref="C70:C74" si="0">B70*C60</f>
        <v>0.99204194547270674</v>
      </c>
      <c r="E70" s="207">
        <v>0.75</v>
      </c>
      <c r="F70" s="207">
        <v>1</v>
      </c>
    </row>
    <row r="71" spans="1:6">
      <c r="A71" s="88" t="s">
        <v>364</v>
      </c>
      <c r="B71" s="207">
        <v>1</v>
      </c>
      <c r="C71" s="207">
        <f t="shared" si="0"/>
        <v>0.98216989881616346</v>
      </c>
      <c r="E71" s="207">
        <v>0.75</v>
      </c>
      <c r="F71" s="207">
        <v>1</v>
      </c>
    </row>
    <row r="72" spans="1:6">
      <c r="A72" s="88" t="s">
        <v>366</v>
      </c>
      <c r="B72" s="207">
        <v>1</v>
      </c>
      <c r="C72" s="207">
        <f t="shared" si="0"/>
        <v>0.97043411763791976</v>
      </c>
      <c r="E72" s="207">
        <v>100.75</v>
      </c>
      <c r="F72" s="207">
        <v>1</v>
      </c>
    </row>
    <row r="73" spans="1:6">
      <c r="A73" s="88" t="s">
        <v>368</v>
      </c>
      <c r="B73" s="207">
        <v>1</v>
      </c>
      <c r="C73" s="207">
        <f t="shared" si="0"/>
        <v>0.95713156934579746</v>
      </c>
      <c r="E73" s="207"/>
      <c r="F73" s="207">
        <v>1</v>
      </c>
    </row>
    <row r="74" spans="1:6">
      <c r="A74" s="88" t="s">
        <v>370</v>
      </c>
      <c r="B74" s="207">
        <v>101</v>
      </c>
      <c r="C74" s="207">
        <f t="shared" si="0"/>
        <v>95.100750782376849</v>
      </c>
      <c r="E74" s="207"/>
      <c r="F74" s="207">
        <v>101</v>
      </c>
    </row>
    <row r="75" spans="1:6">
      <c r="B75" s="209" t="s">
        <v>341</v>
      </c>
      <c r="C75" s="248">
        <f>SUM(C69:C74)</f>
        <v>100</v>
      </c>
      <c r="E75" s="252">
        <f>SUMPRODUCT(E69:E74,$C59:$C$64)</f>
        <v>100</v>
      </c>
      <c r="F75" s="252">
        <f>SUMPRODUCT(F69:F74,$C59:$C$64)</f>
        <v>100</v>
      </c>
    </row>
    <row r="76" spans="1:6">
      <c r="C76" s="87" t="s">
        <v>350</v>
      </c>
    </row>
    <row r="80" spans="1:6" ht="12">
      <c r="A80" s="214" t="s">
        <v>58</v>
      </c>
      <c r="B80" s="256" t="s">
        <v>381</v>
      </c>
      <c r="C80" s="215"/>
    </row>
    <row r="81" spans="1:4">
      <c r="A81" s="216"/>
      <c r="B81" s="242"/>
      <c r="C81" s="217"/>
    </row>
    <row r="82" spans="1:4">
      <c r="A82" s="216" t="s">
        <v>382</v>
      </c>
      <c r="B82" s="242"/>
      <c r="C82" s="217"/>
    </row>
    <row r="83" spans="1:4">
      <c r="A83" s="216" t="s">
        <v>408</v>
      </c>
      <c r="B83" s="242"/>
      <c r="C83" s="217"/>
    </row>
    <row r="84" spans="1:4">
      <c r="A84" s="262" t="s">
        <v>383</v>
      </c>
      <c r="B84" s="263"/>
      <c r="C84" s="217"/>
    </row>
    <row r="85" spans="1:4">
      <c r="A85" s="262" t="s">
        <v>384</v>
      </c>
      <c r="B85" s="263"/>
      <c r="C85" s="217"/>
    </row>
    <row r="86" spans="1:4">
      <c r="A86" s="218"/>
      <c r="B86" s="246"/>
      <c r="C86" s="219"/>
    </row>
    <row r="88" spans="1:4">
      <c r="A88" s="264" t="s">
        <v>386</v>
      </c>
      <c r="B88" s="264"/>
      <c r="C88" s="264"/>
      <c r="D88" s="264"/>
    </row>
    <row r="89" spans="1:4">
      <c r="A89" s="264" t="s">
        <v>387</v>
      </c>
      <c r="B89" s="264"/>
      <c r="C89" s="264"/>
      <c r="D89" s="264"/>
    </row>
    <row r="91" spans="1:4">
      <c r="A91" s="87" t="s">
        <v>6</v>
      </c>
    </row>
    <row r="92" spans="1:4">
      <c r="A92" s="87" t="s">
        <v>391</v>
      </c>
    </row>
    <row r="93" spans="1:4">
      <c r="A93" s="254">
        <f>10000000000*(0.6%/2)*SUM(C59:C64)</f>
        <v>175225224.28583637</v>
      </c>
    </row>
    <row r="97" spans="1:4" s="232" customFormat="1"/>
    <row r="98" spans="1:4" ht="24">
      <c r="A98" s="253" t="s">
        <v>417</v>
      </c>
    </row>
    <row r="100" spans="1:4" ht="12" thickBot="1">
      <c r="A100" s="87" t="s">
        <v>418</v>
      </c>
    </row>
    <row r="101" spans="1:4">
      <c r="A101" s="266"/>
      <c r="B101" s="267"/>
    </row>
    <row r="102" spans="1:4" ht="17.25">
      <c r="A102" s="268" t="s">
        <v>419</v>
      </c>
      <c r="B102" s="269"/>
    </row>
    <row r="103" spans="1:4" ht="12" thickBot="1">
      <c r="A103" s="270"/>
      <c r="B103" s="271"/>
    </row>
    <row r="105" spans="1:4" s="265" customFormat="1" ht="14.25">
      <c r="A105" s="150" t="s">
        <v>420</v>
      </c>
      <c r="C105" s="265" t="s">
        <v>421</v>
      </c>
    </row>
    <row r="106" spans="1:4" s="265" customFormat="1" ht="14.25">
      <c r="A106" s="274" t="s">
        <v>422</v>
      </c>
      <c r="C106" s="265" t="s">
        <v>423</v>
      </c>
    </row>
    <row r="107" spans="1:4" s="265" customFormat="1" ht="14.25">
      <c r="A107" s="274" t="s">
        <v>426</v>
      </c>
      <c r="C107" s="265" t="s">
        <v>424</v>
      </c>
    </row>
    <row r="108" spans="1:4" s="265" customFormat="1" ht="14.25">
      <c r="A108" s="274" t="s">
        <v>427</v>
      </c>
      <c r="C108" s="265" t="s">
        <v>425</v>
      </c>
    </row>
    <row r="109" spans="1:4" s="265" customFormat="1" ht="14.25">
      <c r="A109" s="274" t="s">
        <v>428</v>
      </c>
      <c r="C109" s="265" t="s">
        <v>429</v>
      </c>
    </row>
    <row r="110" spans="1:4" s="265" customFormat="1" ht="14.25">
      <c r="A110" s="274"/>
    </row>
    <row r="111" spans="1:4" s="265" customFormat="1" ht="14.25">
      <c r="A111" s="272" t="s">
        <v>433</v>
      </c>
      <c r="B111" s="273"/>
      <c r="C111" s="273" t="s">
        <v>430</v>
      </c>
      <c r="D111" s="273"/>
    </row>
    <row r="112" spans="1:4" s="265" customFormat="1" ht="14.25">
      <c r="A112" s="272" t="s">
        <v>432</v>
      </c>
      <c r="B112" s="273"/>
      <c r="C112" s="273" t="s">
        <v>431</v>
      </c>
      <c r="D112" s="273"/>
    </row>
    <row r="113" spans="1:2" s="265" customFormat="1" ht="14.25"/>
    <row r="115" spans="1:2" ht="13.5">
      <c r="A115" s="79" t="s">
        <v>434</v>
      </c>
    </row>
    <row r="117" spans="1:2">
      <c r="A117" s="25" t="s">
        <v>435</v>
      </c>
      <c r="B117" s="25" t="s">
        <v>436</v>
      </c>
    </row>
    <row r="118" spans="1:2">
      <c r="A118" s="88">
        <v>0.5</v>
      </c>
      <c r="B118" s="276">
        <v>0.99199999999999999</v>
      </c>
    </row>
    <row r="119" spans="1:2">
      <c r="A119" s="88">
        <v>1</v>
      </c>
      <c r="B119" s="276">
        <v>0.98499999999999999</v>
      </c>
    </row>
    <row r="120" spans="1:2">
      <c r="A120" s="88">
        <v>1.5</v>
      </c>
      <c r="B120" s="276">
        <v>0.98099999999999998</v>
      </c>
    </row>
    <row r="121" spans="1:2">
      <c r="A121" s="88">
        <v>2</v>
      </c>
      <c r="B121" s="276">
        <v>0.97499999999999998</v>
      </c>
    </row>
    <row r="123" spans="1:2" ht="14.25">
      <c r="A123" s="265" t="s">
        <v>438</v>
      </c>
    </row>
    <row r="124" spans="1:2">
      <c r="A124" s="87" t="s">
        <v>437</v>
      </c>
    </row>
    <row r="126" spans="1:2" ht="14.25">
      <c r="A126" s="277" t="s">
        <v>439</v>
      </c>
    </row>
    <row r="127" spans="1:2">
      <c r="A127" s="87" t="s">
        <v>437</v>
      </c>
    </row>
    <row r="129" spans="1:6">
      <c r="A129" s="87" t="s">
        <v>440</v>
      </c>
    </row>
    <row r="130" spans="1:6">
      <c r="A130" s="87" t="s">
        <v>441</v>
      </c>
    </row>
    <row r="131" spans="1:6">
      <c r="A131" s="87" t="s">
        <v>442</v>
      </c>
    </row>
    <row r="137" spans="1:6" ht="24">
      <c r="A137" s="253" t="s">
        <v>443</v>
      </c>
    </row>
    <row r="139" spans="1:6">
      <c r="A139" s="87" t="s">
        <v>444</v>
      </c>
    </row>
    <row r="140" spans="1:6">
      <c r="A140" s="278" t="s">
        <v>445</v>
      </c>
      <c r="B140" s="279"/>
      <c r="C140" s="279"/>
      <c r="D140" s="279"/>
      <c r="E140" s="279"/>
      <c r="F140" s="280"/>
    </row>
    <row r="141" spans="1:6">
      <c r="A141" s="281" t="s">
        <v>446</v>
      </c>
      <c r="B141" s="282"/>
      <c r="C141" s="282"/>
      <c r="D141" s="282"/>
      <c r="E141" s="282"/>
      <c r="F141" s="283"/>
    </row>
    <row r="142" spans="1:6">
      <c r="A142" s="281"/>
      <c r="B142" s="282"/>
      <c r="C142" s="282"/>
      <c r="D142" s="282"/>
      <c r="E142" s="282"/>
      <c r="F142" s="283"/>
    </row>
    <row r="143" spans="1:6">
      <c r="A143" s="281" t="s">
        <v>447</v>
      </c>
      <c r="B143" s="282"/>
      <c r="C143" s="282"/>
      <c r="D143" s="282"/>
      <c r="E143" s="282"/>
      <c r="F143" s="283"/>
    </row>
    <row r="144" spans="1:6">
      <c r="A144" s="281" t="s">
        <v>435</v>
      </c>
      <c r="B144" s="282" t="s">
        <v>450</v>
      </c>
      <c r="C144" s="282"/>
      <c r="D144" s="282"/>
      <c r="E144" s="282"/>
      <c r="F144" s="283"/>
    </row>
    <row r="145" spans="1:10">
      <c r="A145" s="281" t="s">
        <v>448</v>
      </c>
      <c r="B145" s="282" t="s">
        <v>451</v>
      </c>
      <c r="C145" s="282"/>
      <c r="D145" s="282"/>
      <c r="E145" s="282"/>
      <c r="F145" s="283"/>
    </row>
    <row r="146" spans="1:10">
      <c r="A146" s="284" t="s">
        <v>449</v>
      </c>
      <c r="B146" s="285" t="s">
        <v>452</v>
      </c>
      <c r="C146" s="285"/>
      <c r="D146" s="285"/>
      <c r="E146" s="285"/>
      <c r="F146" s="286"/>
    </row>
    <row r="153" spans="1:10">
      <c r="I153" s="304" t="s">
        <v>494</v>
      </c>
    </row>
    <row r="154" spans="1:10">
      <c r="A154" s="25" t="s">
        <v>83</v>
      </c>
      <c r="B154" s="25" t="s">
        <v>347</v>
      </c>
      <c r="C154" s="234" t="s">
        <v>332</v>
      </c>
      <c r="H154" s="303" t="s">
        <v>493</v>
      </c>
    </row>
    <row r="155" spans="1:10">
      <c r="A155" s="88" t="s">
        <v>360</v>
      </c>
      <c r="B155" s="240">
        <v>0.5</v>
      </c>
      <c r="C155" s="236">
        <v>0.99747168635056971</v>
      </c>
      <c r="G155" s="25" t="s">
        <v>83</v>
      </c>
      <c r="H155" s="234" t="s">
        <v>487</v>
      </c>
      <c r="I155" s="234" t="s">
        <v>488</v>
      </c>
    </row>
    <row r="156" spans="1:10">
      <c r="A156" s="88" t="s">
        <v>361</v>
      </c>
      <c r="B156" s="240">
        <v>0.8</v>
      </c>
      <c r="C156" s="236">
        <v>0.99204194547270674</v>
      </c>
      <c r="G156" s="88" t="s">
        <v>489</v>
      </c>
      <c r="H156" s="302">
        <f>(C156/C157 - 1 ) * 200</f>
        <v>2.0102523338258127</v>
      </c>
      <c r="I156" s="236">
        <f>100 * (H156/200) * C157</f>
        <v>0.98720466565432741</v>
      </c>
    </row>
    <row r="157" spans="1:10">
      <c r="A157" s="88" t="s">
        <v>363</v>
      </c>
      <c r="B157" s="240">
        <v>1.2</v>
      </c>
      <c r="C157" s="236">
        <v>0.98216989881616346</v>
      </c>
      <c r="G157" s="88" t="s">
        <v>490</v>
      </c>
      <c r="H157" s="301">
        <f>(C157/C158 - 1 ) * 200</f>
        <v>2.4186662370876189</v>
      </c>
      <c r="I157" s="236">
        <f>100 * (H157/200) * C158</f>
        <v>1.1735781178243756</v>
      </c>
    </row>
    <row r="158" spans="1:10">
      <c r="A158" s="88" t="s">
        <v>365</v>
      </c>
      <c r="B158" s="240">
        <v>1.5</v>
      </c>
      <c r="C158" s="236">
        <v>0.97043411763791976</v>
      </c>
      <c r="G158" s="88" t="s">
        <v>491</v>
      </c>
      <c r="H158" s="301">
        <f>(C158/C159 - 1 ) * 200</f>
        <v>2.779669737821866</v>
      </c>
      <c r="I158" s="236">
        <f>100 * (H158/200) * C159</f>
        <v>1.330254829212232</v>
      </c>
    </row>
    <row r="159" spans="1:10">
      <c r="A159" s="88" t="s">
        <v>367</v>
      </c>
      <c r="B159" s="240">
        <v>1.75</v>
      </c>
      <c r="C159" s="236">
        <v>0.95713156934579746</v>
      </c>
      <c r="G159" s="88" t="s">
        <v>492</v>
      </c>
      <c r="H159" s="302">
        <f>(C159/C160 - 1 ) * 200</f>
        <v>3.3007893389618737</v>
      </c>
      <c r="I159" s="236">
        <f>100 * (H159/200) * C160</f>
        <v>1.5539977441076216</v>
      </c>
    </row>
    <row r="160" spans="1:10">
      <c r="A160" s="88" t="s">
        <v>369</v>
      </c>
      <c r="B160" s="240">
        <v>2</v>
      </c>
      <c r="C160" s="236">
        <v>0.9415915919047213</v>
      </c>
      <c r="G160" s="297"/>
      <c r="H160" s="207" t="s">
        <v>495</v>
      </c>
      <c r="I160" s="305">
        <f>SUM(I156:I159)</f>
        <v>5.0450353567985564</v>
      </c>
      <c r="J160" s="242"/>
    </row>
    <row r="161" spans="1:10">
      <c r="G161" s="297"/>
      <c r="H161" s="298"/>
      <c r="I161" s="299"/>
      <c r="J161" s="242"/>
    </row>
    <row r="162" spans="1:10">
      <c r="A162" s="87" t="s">
        <v>454</v>
      </c>
    </row>
    <row r="163" spans="1:10">
      <c r="A163" s="87" t="s">
        <v>458</v>
      </c>
    </row>
    <row r="164" spans="1:10">
      <c r="A164" s="264">
        <f>100 * (C156-C160)</f>
        <v>5.045035356798544</v>
      </c>
    </row>
    <row r="166" spans="1:10">
      <c r="A166" s="87" t="s">
        <v>453</v>
      </c>
    </row>
    <row r="167" spans="1:10">
      <c r="A167" s="87" t="s">
        <v>457</v>
      </c>
    </row>
    <row r="169" spans="1:10">
      <c r="A169" s="87" t="s">
        <v>456</v>
      </c>
    </row>
    <row r="170" spans="1:10">
      <c r="A170" s="87" t="s">
        <v>455</v>
      </c>
    </row>
    <row r="171" spans="1:10">
      <c r="A171" s="287">
        <f>A164/(0.5*SUM(C157:C160))</f>
        <v>2.6198944540491595</v>
      </c>
    </row>
    <row r="175" spans="1:10" ht="24">
      <c r="A175" s="253" t="s">
        <v>459</v>
      </c>
    </row>
    <row r="177" spans="1:6">
      <c r="A177" s="87" t="s">
        <v>460</v>
      </c>
    </row>
    <row r="178" spans="1:6">
      <c r="A178" s="278" t="s">
        <v>461</v>
      </c>
      <c r="B178" s="279"/>
      <c r="C178" s="279"/>
      <c r="D178" s="279"/>
      <c r="E178" s="279"/>
      <c r="F178" s="280"/>
    </row>
    <row r="179" spans="1:6">
      <c r="A179" s="281"/>
      <c r="B179" s="282"/>
      <c r="C179" s="282"/>
      <c r="D179" s="282"/>
      <c r="E179" s="282"/>
      <c r="F179" s="283"/>
    </row>
    <row r="180" spans="1:6">
      <c r="A180" s="281" t="s">
        <v>462</v>
      </c>
      <c r="B180" s="282"/>
      <c r="C180" s="282"/>
      <c r="D180" s="282"/>
      <c r="E180" s="282"/>
      <c r="F180" s="283"/>
    </row>
    <row r="181" spans="1:6">
      <c r="A181" s="281" t="s">
        <v>463</v>
      </c>
      <c r="B181" s="282"/>
      <c r="C181" s="282"/>
      <c r="D181" s="282"/>
      <c r="E181" s="282"/>
      <c r="F181" s="283"/>
    </row>
    <row r="182" spans="1:6">
      <c r="A182" s="281"/>
      <c r="B182" s="282"/>
      <c r="C182" s="282"/>
      <c r="D182" s="282"/>
      <c r="E182" s="282"/>
      <c r="F182" s="283"/>
    </row>
    <row r="183" spans="1:6">
      <c r="A183" s="281" t="s">
        <v>464</v>
      </c>
      <c r="B183" s="282"/>
      <c r="C183" s="282"/>
      <c r="D183" s="282"/>
      <c r="E183" s="282"/>
      <c r="F183" s="283"/>
    </row>
    <row r="184" spans="1:6">
      <c r="A184" s="281"/>
      <c r="B184" s="282"/>
      <c r="C184" s="282"/>
      <c r="D184" s="282"/>
      <c r="E184" s="282"/>
      <c r="F184" s="283"/>
    </row>
    <row r="185" spans="1:6">
      <c r="A185" s="234" t="s">
        <v>435</v>
      </c>
      <c r="B185" s="234" t="s">
        <v>467</v>
      </c>
      <c r="C185" s="282"/>
      <c r="D185" s="282"/>
      <c r="E185" s="282"/>
      <c r="F185" s="283"/>
    </row>
    <row r="186" spans="1:6">
      <c r="A186" s="288" t="s">
        <v>466</v>
      </c>
      <c r="B186" s="288">
        <v>0.99199999999999999</v>
      </c>
      <c r="C186" s="282"/>
      <c r="D186" s="282"/>
      <c r="E186" s="282"/>
      <c r="F186" s="283"/>
    </row>
    <row r="187" spans="1:6">
      <c r="A187" s="288" t="s">
        <v>465</v>
      </c>
      <c r="B187" s="288">
        <v>0.98499999999999999</v>
      </c>
      <c r="C187" s="282"/>
      <c r="D187" s="282"/>
      <c r="E187" s="282"/>
      <c r="F187" s="283"/>
    </row>
    <row r="188" spans="1:6">
      <c r="A188" s="284"/>
      <c r="B188" s="285"/>
      <c r="C188" s="285"/>
      <c r="D188" s="285"/>
      <c r="E188" s="285"/>
      <c r="F188" s="286"/>
    </row>
    <row r="190" spans="1:6" ht="18.75">
      <c r="A190" s="289" t="s">
        <v>472</v>
      </c>
    </row>
    <row r="191" spans="1:6">
      <c r="A191" s="220" t="s">
        <v>468</v>
      </c>
      <c r="B191" s="227"/>
      <c r="C191" s="227"/>
      <c r="D191" s="227"/>
      <c r="E191" s="221"/>
    </row>
    <row r="192" spans="1:6" ht="24">
      <c r="A192" s="290" t="s">
        <v>475</v>
      </c>
      <c r="B192" s="291"/>
      <c r="C192" s="291"/>
      <c r="D192" s="229"/>
      <c r="E192" s="223"/>
    </row>
    <row r="193" spans="1:6">
      <c r="A193" s="222"/>
      <c r="B193" s="229"/>
      <c r="C193" s="229"/>
      <c r="D193" s="229"/>
      <c r="E193" s="223"/>
    </row>
    <row r="194" spans="1:6">
      <c r="A194" s="222" t="s">
        <v>469</v>
      </c>
      <c r="B194" s="229"/>
      <c r="C194" s="229" t="s">
        <v>476</v>
      </c>
      <c r="D194" s="229"/>
      <c r="E194" s="223"/>
    </row>
    <row r="195" spans="1:6">
      <c r="A195" s="222" t="s">
        <v>470</v>
      </c>
      <c r="B195" s="229"/>
      <c r="C195" s="229"/>
      <c r="D195" s="229"/>
      <c r="E195" s="223"/>
    </row>
    <row r="196" spans="1:6">
      <c r="A196" s="222"/>
      <c r="B196" s="229"/>
      <c r="C196" s="229"/>
      <c r="D196" s="229"/>
      <c r="E196" s="223"/>
    </row>
    <row r="197" spans="1:6">
      <c r="A197" s="292" t="s">
        <v>471</v>
      </c>
      <c r="B197" s="293"/>
      <c r="C197" s="229"/>
      <c r="D197" s="229"/>
      <c r="E197" s="223"/>
    </row>
    <row r="198" spans="1:6">
      <c r="A198" s="224"/>
      <c r="B198" s="231"/>
      <c r="C198" s="231"/>
      <c r="D198" s="231"/>
      <c r="E198" s="225"/>
    </row>
    <row r="201" spans="1:6" ht="18.75">
      <c r="A201" s="289" t="s">
        <v>473</v>
      </c>
    </row>
    <row r="202" spans="1:6">
      <c r="A202" s="220"/>
      <c r="B202" s="227"/>
      <c r="C202" s="227"/>
      <c r="D202" s="227"/>
      <c r="E202" s="227"/>
      <c r="F202" s="221"/>
    </row>
    <row r="203" spans="1:6">
      <c r="A203" s="222" t="s">
        <v>474</v>
      </c>
      <c r="B203" s="229"/>
      <c r="C203" s="229"/>
      <c r="D203" s="229"/>
      <c r="E203" s="229"/>
      <c r="F203" s="223"/>
    </row>
    <row r="204" spans="1:6">
      <c r="A204" s="222"/>
      <c r="B204" s="229"/>
      <c r="C204" s="229"/>
      <c r="D204" s="229"/>
      <c r="E204" s="229"/>
      <c r="F204" s="223"/>
    </row>
    <row r="205" spans="1:6" ht="24">
      <c r="A205" s="290" t="s">
        <v>477</v>
      </c>
      <c r="B205" s="229"/>
      <c r="C205" s="229"/>
      <c r="D205" s="229"/>
      <c r="E205" s="229"/>
      <c r="F205" s="223"/>
    </row>
    <row r="206" spans="1:6">
      <c r="A206" s="224"/>
      <c r="B206" s="231"/>
      <c r="C206" s="231"/>
      <c r="D206" s="231"/>
      <c r="E206" s="231"/>
      <c r="F206" s="225"/>
    </row>
    <row r="209" spans="1:7">
      <c r="A209" s="87" t="s">
        <v>478</v>
      </c>
    </row>
    <row r="210" spans="1:7">
      <c r="A210" s="87" t="s">
        <v>479</v>
      </c>
    </row>
    <row r="211" spans="1:7">
      <c r="A211" s="87" t="s">
        <v>480</v>
      </c>
    </row>
    <row r="212" spans="1:7">
      <c r="A212" s="294">
        <f>(B186/B187-1)*2</f>
        <v>1.4213197969543234E-2</v>
      </c>
    </row>
    <row r="214" spans="1:7">
      <c r="A214" s="87" t="s">
        <v>481</v>
      </c>
    </row>
    <row r="215" spans="1:7">
      <c r="A215" s="296">
        <f>100 * ((A212*100)/200) * B187</f>
        <v>0.70000000000000429</v>
      </c>
    </row>
    <row r="217" spans="1:7">
      <c r="A217" s="87" t="s">
        <v>482</v>
      </c>
    </row>
    <row r="218" spans="1:7">
      <c r="A218" s="87" t="s">
        <v>483</v>
      </c>
    </row>
    <row r="219" spans="1:7">
      <c r="A219" s="295">
        <f>100 * (B186-B187)</f>
        <v>0.70000000000000062</v>
      </c>
    </row>
    <row r="222" spans="1:7" ht="18.75">
      <c r="A222" s="289" t="s">
        <v>484</v>
      </c>
    </row>
    <row r="223" spans="1:7">
      <c r="A223" s="220"/>
      <c r="B223" s="227"/>
      <c r="C223" s="227"/>
      <c r="D223" s="227"/>
      <c r="E223" s="227"/>
      <c r="F223" s="227"/>
      <c r="G223" s="221"/>
    </row>
    <row r="224" spans="1:7">
      <c r="A224" s="222" t="s">
        <v>485</v>
      </c>
      <c r="B224" s="229"/>
      <c r="C224" s="229"/>
      <c r="D224" s="229"/>
      <c r="E224" s="229"/>
      <c r="F224" s="229"/>
      <c r="G224" s="223"/>
    </row>
    <row r="225" spans="1:8">
      <c r="A225" s="222" t="s">
        <v>486</v>
      </c>
      <c r="B225" s="229"/>
      <c r="C225" s="229"/>
      <c r="D225" s="229"/>
      <c r="E225" s="229"/>
      <c r="F225" s="229"/>
      <c r="G225" s="223"/>
    </row>
    <row r="226" spans="1:8" ht="21">
      <c r="A226" s="344" t="s">
        <v>632</v>
      </c>
      <c r="B226" s="229"/>
      <c r="C226" s="229"/>
      <c r="D226" s="229"/>
      <c r="E226" s="229"/>
      <c r="F226" s="229"/>
      <c r="G226" s="223"/>
      <c r="H226" s="345" t="s">
        <v>633</v>
      </c>
    </row>
    <row r="227" spans="1:8">
      <c r="A227" s="224"/>
      <c r="B227" s="231"/>
      <c r="C227" s="231"/>
      <c r="D227" s="231"/>
      <c r="E227" s="231"/>
      <c r="F227" s="231"/>
      <c r="G227" s="225"/>
    </row>
    <row r="230" spans="1:8" ht="24">
      <c r="A230" s="253" t="s">
        <v>496</v>
      </c>
    </row>
    <row r="231" spans="1:8">
      <c r="A231" s="278" t="s">
        <v>497</v>
      </c>
      <c r="B231" s="279"/>
      <c r="C231" s="279"/>
      <c r="D231" s="280"/>
    </row>
    <row r="232" spans="1:8">
      <c r="A232" s="281" t="s">
        <v>498</v>
      </c>
      <c r="B232" s="282"/>
      <c r="C232" s="282"/>
      <c r="D232" s="283"/>
    </row>
    <row r="233" spans="1:8">
      <c r="A233" s="281"/>
      <c r="B233" s="282"/>
      <c r="C233" s="282"/>
      <c r="D233" s="283"/>
    </row>
    <row r="234" spans="1:8">
      <c r="A234" s="281" t="s">
        <v>499</v>
      </c>
      <c r="B234" s="282" t="s">
        <v>504</v>
      </c>
      <c r="C234" s="282"/>
      <c r="D234" s="283"/>
    </row>
    <row r="235" spans="1:8">
      <c r="A235" s="281" t="s">
        <v>500</v>
      </c>
      <c r="B235" s="282" t="s">
        <v>502</v>
      </c>
      <c r="C235" s="282"/>
      <c r="D235" s="283"/>
    </row>
    <row r="236" spans="1:8">
      <c r="A236" s="284" t="s">
        <v>501</v>
      </c>
      <c r="B236" s="285" t="s">
        <v>503</v>
      </c>
      <c r="C236" s="285"/>
      <c r="D236" s="286"/>
    </row>
    <row r="238" spans="1:8">
      <c r="A238" s="25" t="s">
        <v>83</v>
      </c>
      <c r="B238" s="25" t="s">
        <v>347</v>
      </c>
      <c r="C238" s="25" t="s">
        <v>332</v>
      </c>
      <c r="D238" s="234" t="s">
        <v>487</v>
      </c>
    </row>
    <row r="239" spans="1:8">
      <c r="A239" s="88" t="s">
        <v>360</v>
      </c>
      <c r="B239" s="306">
        <v>0.5</v>
      </c>
      <c r="C239" s="236">
        <v>0.99747168635056971</v>
      </c>
      <c r="D239" s="236">
        <f>B239*365/360</f>
        <v>0.50694444444444442</v>
      </c>
      <c r="E239" s="304" t="s">
        <v>510</v>
      </c>
    </row>
    <row r="240" spans="1:8">
      <c r="A240" s="88" t="s">
        <v>361</v>
      </c>
      <c r="B240" s="240">
        <v>0.8</v>
      </c>
      <c r="C240" s="236">
        <v>0.99204194547270674</v>
      </c>
      <c r="D240" s="236">
        <f>(C239/C240 - 1 ) * 200</f>
        <v>1.0946595358476863</v>
      </c>
      <c r="E240" s="304" t="s">
        <v>505</v>
      </c>
    </row>
    <row r="241" spans="1:7">
      <c r="A241" s="88" t="s">
        <v>363</v>
      </c>
      <c r="B241" s="240">
        <v>1.2</v>
      </c>
      <c r="C241" s="236">
        <v>0.98216989881616346</v>
      </c>
      <c r="D241" s="236">
        <f>(C240/C241 - 1 ) * 200</f>
        <v>2.0102523338258127</v>
      </c>
      <c r="E241" s="304" t="s">
        <v>506</v>
      </c>
    </row>
    <row r="242" spans="1:7">
      <c r="A242" s="88" t="s">
        <v>365</v>
      </c>
      <c r="B242" s="240">
        <v>1.5</v>
      </c>
      <c r="C242" s="236">
        <v>0.97043411763791976</v>
      </c>
      <c r="D242" s="236">
        <f>(C241/C242 - 1 ) * 200</f>
        <v>2.4186662370876189</v>
      </c>
      <c r="E242" s="304" t="s">
        <v>509</v>
      </c>
    </row>
    <row r="243" spans="1:7">
      <c r="A243" s="88" t="s">
        <v>367</v>
      </c>
      <c r="B243" s="240">
        <v>1.75</v>
      </c>
      <c r="C243" s="236">
        <v>0.95713156934579746</v>
      </c>
      <c r="D243" s="236">
        <f>(C242/C243 - 1 ) * 200</f>
        <v>2.779669737821866</v>
      </c>
      <c r="E243" s="304" t="s">
        <v>507</v>
      </c>
    </row>
    <row r="244" spans="1:7">
      <c r="A244" s="88" t="s">
        <v>369</v>
      </c>
      <c r="B244" s="240">
        <v>2</v>
      </c>
      <c r="C244" s="236">
        <v>0.9415915919047213</v>
      </c>
      <c r="D244" s="236">
        <f>(C243/C244 - 1 ) * 200</f>
        <v>3.3007893389618737</v>
      </c>
      <c r="E244" s="304" t="s">
        <v>508</v>
      </c>
    </row>
    <row r="246" spans="1:7">
      <c r="A246" s="25" t="s">
        <v>83</v>
      </c>
      <c r="B246" s="25" t="s">
        <v>81</v>
      </c>
      <c r="C246" s="234" t="s">
        <v>487</v>
      </c>
      <c r="D246" s="25" t="s">
        <v>511</v>
      </c>
      <c r="E246" s="234" t="s">
        <v>512</v>
      </c>
      <c r="F246" s="234" t="s">
        <v>513</v>
      </c>
    </row>
    <row r="247" spans="1:7">
      <c r="A247" s="88" t="s">
        <v>360</v>
      </c>
      <c r="B247" s="90">
        <v>600000000</v>
      </c>
      <c r="C247" s="236">
        <v>0.50694444444444442</v>
      </c>
      <c r="D247" s="88">
        <v>1</v>
      </c>
      <c r="E247" s="239">
        <f>B247 * (C247/200) * C239</f>
        <v>1516988.189658158</v>
      </c>
      <c r="F247" s="239">
        <f t="shared" ref="F247:F252" si="1">B247 * ( D247/200) * C239</f>
        <v>2992415.0590517092</v>
      </c>
    </row>
    <row r="248" spans="1:7">
      <c r="A248" s="88" t="s">
        <v>361</v>
      </c>
      <c r="B248" s="90">
        <v>500000000</v>
      </c>
      <c r="C248" s="236">
        <v>1.0946595358476863</v>
      </c>
      <c r="D248" s="88">
        <v>1</v>
      </c>
      <c r="E248" s="207">
        <f t="shared" ref="E248:E252" si="2">B248 * (C248/200) * C240</f>
        <v>2714870.4389314721</v>
      </c>
      <c r="F248" s="207">
        <f t="shared" si="1"/>
        <v>2480104.8636817667</v>
      </c>
    </row>
    <row r="249" spans="1:7">
      <c r="A249" s="88" t="s">
        <v>363</v>
      </c>
      <c r="B249" s="90">
        <v>400000000</v>
      </c>
      <c r="C249" s="236">
        <v>2.0102523338258127</v>
      </c>
      <c r="D249" s="88">
        <v>1</v>
      </c>
      <c r="E249" s="207">
        <f t="shared" si="2"/>
        <v>3948818.66261731</v>
      </c>
      <c r="F249" s="207">
        <f t="shared" si="1"/>
        <v>1964339.7976323268</v>
      </c>
    </row>
    <row r="250" spans="1:7">
      <c r="A250" s="88" t="s">
        <v>365</v>
      </c>
      <c r="B250" s="90">
        <v>300000000</v>
      </c>
      <c r="C250" s="236">
        <v>2.4186662370876189</v>
      </c>
      <c r="D250" s="88">
        <v>1</v>
      </c>
      <c r="E250" s="207">
        <f t="shared" si="2"/>
        <v>3520734.3534731264</v>
      </c>
      <c r="F250" s="207">
        <f t="shared" si="1"/>
        <v>1455651.1764568796</v>
      </c>
    </row>
    <row r="251" spans="1:7">
      <c r="A251" s="88" t="s">
        <v>367</v>
      </c>
      <c r="B251" s="90">
        <v>200000000</v>
      </c>
      <c r="C251" s="236">
        <v>2.779669737821866</v>
      </c>
      <c r="D251" s="88">
        <v>1</v>
      </c>
      <c r="E251" s="207">
        <f t="shared" si="2"/>
        <v>2660509.6584244636</v>
      </c>
      <c r="F251" s="207">
        <f t="shared" si="1"/>
        <v>957131.56934579741</v>
      </c>
    </row>
    <row r="252" spans="1:7">
      <c r="A252" s="88" t="s">
        <v>369</v>
      </c>
      <c r="B252" s="90">
        <v>100000000</v>
      </c>
      <c r="C252" s="236">
        <v>3.3007893389618737</v>
      </c>
      <c r="D252" s="88">
        <v>1</v>
      </c>
      <c r="E252" s="207">
        <f t="shared" si="2"/>
        <v>1553997.7441076217</v>
      </c>
      <c r="F252" s="207">
        <f t="shared" si="1"/>
        <v>470795.79595236067</v>
      </c>
    </row>
    <row r="253" spans="1:7">
      <c r="D253" s="307" t="s">
        <v>495</v>
      </c>
      <c r="E253" s="308">
        <f>SUM(E247:E252)</f>
        <v>15915919.04721215</v>
      </c>
      <c r="F253" s="308">
        <f>SUM(F247:F252)</f>
        <v>10320438.262120843</v>
      </c>
    </row>
    <row r="255" spans="1:7">
      <c r="E255" s="144" t="s">
        <v>516</v>
      </c>
      <c r="F255" s="242"/>
      <c r="G255" s="242"/>
    </row>
    <row r="256" spans="1:7">
      <c r="A256" s="87" t="s">
        <v>514</v>
      </c>
      <c r="E256" s="242"/>
      <c r="F256" s="144" t="s">
        <v>517</v>
      </c>
      <c r="G256" s="242"/>
    </row>
    <row r="257" spans="1:7">
      <c r="A257" s="87" t="s">
        <v>515</v>
      </c>
      <c r="E257" s="242"/>
      <c r="F257" s="242"/>
      <c r="G257" s="242"/>
    </row>
    <row r="258" spans="1:7">
      <c r="A258" s="209">
        <f>E253/F253</f>
        <v>1.5421747258184209</v>
      </c>
    </row>
    <row r="265" spans="1:7" ht="24">
      <c r="A265" s="253" t="s">
        <v>550</v>
      </c>
    </row>
    <row r="267" spans="1:7">
      <c r="A267" s="87" t="s">
        <v>551</v>
      </c>
    </row>
    <row r="269" spans="1:7">
      <c r="A269" s="211" t="s">
        <v>552</v>
      </c>
    </row>
    <row r="271" spans="1:7">
      <c r="A271" s="278" t="s">
        <v>553</v>
      </c>
      <c r="B271" s="279"/>
      <c r="C271" s="279"/>
      <c r="D271" s="280"/>
    </row>
    <row r="272" spans="1:7" ht="13.5">
      <c r="A272" s="281" t="s">
        <v>554</v>
      </c>
      <c r="B272" s="282"/>
      <c r="C272" s="282"/>
      <c r="D272" s="283"/>
      <c r="E272" s="79" t="s">
        <v>561</v>
      </c>
    </row>
    <row r="273" spans="1:4">
      <c r="A273" s="281" t="s">
        <v>555</v>
      </c>
      <c r="B273" s="282"/>
      <c r="C273" s="282"/>
      <c r="D273" s="283"/>
    </row>
    <row r="274" spans="1:4">
      <c r="A274" s="281" t="s">
        <v>556</v>
      </c>
      <c r="B274" s="282"/>
      <c r="C274" s="282"/>
      <c r="D274" s="283"/>
    </row>
    <row r="275" spans="1:4">
      <c r="A275" s="281"/>
      <c r="B275" s="282"/>
      <c r="C275" s="282"/>
      <c r="D275" s="283"/>
    </row>
    <row r="276" spans="1:4">
      <c r="A276" s="281" t="s">
        <v>557</v>
      </c>
      <c r="B276" s="282" t="s">
        <v>563</v>
      </c>
      <c r="C276" s="282"/>
      <c r="D276" s="283"/>
    </row>
    <row r="277" spans="1:4">
      <c r="A277" s="281" t="s">
        <v>558</v>
      </c>
      <c r="B277" s="282" t="s">
        <v>564</v>
      </c>
      <c r="C277" s="282"/>
      <c r="D277" s="283"/>
    </row>
    <row r="278" spans="1:4">
      <c r="A278" s="281" t="s">
        <v>559</v>
      </c>
      <c r="B278" s="282" t="s">
        <v>580</v>
      </c>
      <c r="C278" s="282"/>
      <c r="D278" s="283"/>
    </row>
    <row r="279" spans="1:4">
      <c r="A279" s="281" t="s">
        <v>560</v>
      </c>
      <c r="B279" s="282" t="s">
        <v>565</v>
      </c>
      <c r="C279" s="282"/>
      <c r="D279" s="283"/>
    </row>
    <row r="280" spans="1:4">
      <c r="A280" s="281" t="s">
        <v>562</v>
      </c>
      <c r="B280" s="282" t="s">
        <v>566</v>
      </c>
      <c r="C280" s="282"/>
      <c r="D280" s="283"/>
    </row>
    <row r="281" spans="1:4">
      <c r="A281" s="284"/>
      <c r="B281" s="285"/>
      <c r="C281" s="285"/>
      <c r="D281" s="286"/>
    </row>
    <row r="284" spans="1:4">
      <c r="A284" s="87" t="s">
        <v>567</v>
      </c>
    </row>
    <row r="285" spans="1:4">
      <c r="A285" s="25" t="s">
        <v>83</v>
      </c>
      <c r="B285" s="25" t="s">
        <v>347</v>
      </c>
      <c r="C285" s="234" t="s">
        <v>332</v>
      </c>
    </row>
    <row r="286" spans="1:4">
      <c r="A286" s="88" t="s">
        <v>360</v>
      </c>
      <c r="B286" s="315">
        <v>0.5</v>
      </c>
      <c r="C286" s="236">
        <f>100 / (100 +  B286 * (182.5/360) )</f>
        <v>0.99747168635056971</v>
      </c>
      <c r="D286" s="304" t="s">
        <v>571</v>
      </c>
    </row>
    <row r="287" spans="1:4">
      <c r="A287" s="88" t="s">
        <v>361</v>
      </c>
      <c r="B287" s="240">
        <v>0.8</v>
      </c>
      <c r="C287" s="236">
        <f>(100 - (B287/2) * SUM($C$286:C286) ) / ( 100 + B287/2 )</f>
        <v>0.99204194547270674</v>
      </c>
      <c r="D287" s="304" t="s">
        <v>572</v>
      </c>
    </row>
    <row r="288" spans="1:4">
      <c r="A288" s="88" t="s">
        <v>363</v>
      </c>
      <c r="B288" s="240">
        <v>1.2</v>
      </c>
      <c r="C288" s="236">
        <f>(100 - (B288/2) * SUM($C$286:C287) ) / ( 100 + B288/2 )</f>
        <v>0.98216989881616346</v>
      </c>
      <c r="D288" s="304" t="s">
        <v>573</v>
      </c>
    </row>
    <row r="289" spans="1:4">
      <c r="A289" s="88" t="s">
        <v>365</v>
      </c>
      <c r="B289" s="240">
        <v>1.5</v>
      </c>
      <c r="C289" s="236">
        <f>(100 - (B289/2) * SUM($C$286:C288) ) / ( 100 + B289/2 )</f>
        <v>0.97043411763791976</v>
      </c>
    </row>
    <row r="290" spans="1:4">
      <c r="A290" s="88" t="s">
        <v>367</v>
      </c>
      <c r="B290" s="240">
        <v>1.75</v>
      </c>
      <c r="C290" s="236">
        <f>(100 - (B290/2) * SUM($C$286:C289) ) / ( 100 + B290/2 )</f>
        <v>0.95713156934579746</v>
      </c>
    </row>
    <row r="291" spans="1:4">
      <c r="A291" s="88" t="s">
        <v>369</v>
      </c>
      <c r="B291" s="240">
        <v>2</v>
      </c>
      <c r="C291" s="236">
        <f>(100 - (B291/2) * SUM($C$286:C290) ) / ( 100 + B291/2 )</f>
        <v>0.9415915919047213</v>
      </c>
    </row>
    <row r="293" spans="1:4">
      <c r="A293" s="87" t="s">
        <v>569</v>
      </c>
    </row>
    <row r="294" spans="1:4">
      <c r="A294" s="25" t="s">
        <v>83</v>
      </c>
      <c r="B294" s="25" t="s">
        <v>347</v>
      </c>
      <c r="C294" s="234" t="s">
        <v>332</v>
      </c>
    </row>
    <row r="295" spans="1:4">
      <c r="A295" s="88" t="s">
        <v>360</v>
      </c>
      <c r="B295" s="315">
        <v>3</v>
      </c>
      <c r="C295" s="236">
        <f>100 / (100 +  B295 * (182.5/360) )</f>
        <v>0.98501949517750875</v>
      </c>
      <c r="D295" s="304" t="s">
        <v>574</v>
      </c>
    </row>
    <row r="296" spans="1:4">
      <c r="A296" s="88" t="s">
        <v>361</v>
      </c>
      <c r="B296" s="240">
        <v>3.5</v>
      </c>
      <c r="C296" s="236">
        <f>(100 - (B296/2) * SUM($C$295:C295) ) / ( 100 + B296/2 )</f>
        <v>0.96585961556205757</v>
      </c>
      <c r="D296" s="304" t="s">
        <v>575</v>
      </c>
    </row>
    <row r="297" spans="1:4">
      <c r="A297" s="88" t="s">
        <v>363</v>
      </c>
      <c r="B297" s="240">
        <v>4</v>
      </c>
      <c r="C297" s="236">
        <f>(100 - (B297/2) * SUM($C$295:C296) ) / ( 100 + B297/2 )</f>
        <v>0.94213962527961637</v>
      </c>
      <c r="D297" s="304" t="s">
        <v>576</v>
      </c>
    </row>
    <row r="298" spans="1:4">
      <c r="A298" s="88" t="s">
        <v>365</v>
      </c>
      <c r="B298" s="240">
        <v>4.5</v>
      </c>
      <c r="C298" s="236">
        <f>(100 - (B298/2) * SUM($C$295:C297) ) / ( 100 + B298/2 )</f>
        <v>0.9143345510411427</v>
      </c>
    </row>
    <row r="299" spans="1:4">
      <c r="A299" s="88" t="s">
        <v>367</v>
      </c>
      <c r="B299" s="240">
        <v>5</v>
      </c>
      <c r="C299" s="236">
        <f>(100 - (B299/2) * SUM($C$295:C298) ) / ( 100 + B299/2 )</f>
        <v>0.8827474808034067</v>
      </c>
    </row>
    <row r="300" spans="1:4">
      <c r="A300" s="88" t="s">
        <v>369</v>
      </c>
      <c r="B300" s="240">
        <v>5.5</v>
      </c>
      <c r="C300" s="236">
        <f>(100 - (B300/2) * SUM($C$295:C299) ) / ( 100 + B300/2 )</f>
        <v>0.84771019842700479</v>
      </c>
    </row>
    <row r="302" spans="1:4">
      <c r="A302" s="87" t="s">
        <v>570</v>
      </c>
    </row>
    <row r="303" spans="1:4">
      <c r="A303" s="87" t="s">
        <v>577</v>
      </c>
    </row>
    <row r="304" spans="1:4">
      <c r="A304" s="316">
        <f>1000000000 * (2/200) * SUM(C286:C291)</f>
        <v>58408408.095278785</v>
      </c>
    </row>
    <row r="306" spans="1:3">
      <c r="A306" s="87" t="s">
        <v>578</v>
      </c>
    </row>
    <row r="307" spans="1:3">
      <c r="A307" s="87" t="s">
        <v>581</v>
      </c>
    </row>
    <row r="308" spans="1:3">
      <c r="A308" s="316">
        <f>10000000 * (2.4/200) * SUM(C295:C300) * 110</f>
        <v>73099104.755037725</v>
      </c>
    </row>
    <row r="310" spans="1:3">
      <c r="A310" s="87" t="s">
        <v>579</v>
      </c>
    </row>
    <row r="311" spans="1:3">
      <c r="A311" s="317">
        <f>A308-A304</f>
        <v>14690696.65975894</v>
      </c>
    </row>
    <row r="312" spans="1:3">
      <c r="A312" s="365">
        <f>A311/1000</f>
        <v>14690.69665975894</v>
      </c>
    </row>
    <row r="316" spans="1:3" ht="24">
      <c r="A316" s="253" t="s">
        <v>582</v>
      </c>
    </row>
    <row r="318" spans="1:3">
      <c r="A318" s="87" t="s">
        <v>567</v>
      </c>
    </row>
    <row r="319" spans="1:3">
      <c r="A319" s="25" t="s">
        <v>83</v>
      </c>
      <c r="B319" s="25" t="s">
        <v>347</v>
      </c>
      <c r="C319" s="234" t="s">
        <v>332</v>
      </c>
    </row>
    <row r="320" spans="1:3">
      <c r="A320" s="88" t="s">
        <v>360</v>
      </c>
      <c r="B320" s="315">
        <v>0.76</v>
      </c>
      <c r="C320" s="236">
        <v>0.99616000000000005</v>
      </c>
    </row>
    <row r="321" spans="1:3">
      <c r="A321" s="88" t="s">
        <v>361</v>
      </c>
      <c r="B321" s="240">
        <v>0.98</v>
      </c>
      <c r="C321" s="236">
        <v>0.99026999999999998</v>
      </c>
    </row>
    <row r="322" spans="1:3">
      <c r="A322" s="88" t="s">
        <v>363</v>
      </c>
      <c r="B322" s="240">
        <v>1.1399999999999999</v>
      </c>
      <c r="C322" s="236">
        <v>0.98307</v>
      </c>
    </row>
    <row r="323" spans="1:3">
      <c r="A323" s="88" t="s">
        <v>365</v>
      </c>
      <c r="B323" s="240">
        <v>1.3</v>
      </c>
      <c r="C323" s="236">
        <v>0.97436</v>
      </c>
    </row>
    <row r="324" spans="1:3">
      <c r="A324" s="88" t="s">
        <v>367</v>
      </c>
      <c r="B324" s="240">
        <v>1.45</v>
      </c>
      <c r="C324" s="236">
        <v>0.96440999999999999</v>
      </c>
    </row>
    <row r="325" spans="1:3">
      <c r="A325" s="88" t="s">
        <v>369</v>
      </c>
      <c r="B325" s="240">
        <v>1.6</v>
      </c>
      <c r="C325" s="236">
        <v>0.95311000000000001</v>
      </c>
    </row>
    <row r="327" spans="1:3">
      <c r="A327" s="87" t="s">
        <v>568</v>
      </c>
    </row>
    <row r="328" spans="1:3">
      <c r="A328" s="25" t="s">
        <v>83</v>
      </c>
      <c r="B328" s="25" t="s">
        <v>347</v>
      </c>
      <c r="C328" s="234" t="s">
        <v>332</v>
      </c>
    </row>
    <row r="329" spans="1:3">
      <c r="A329" s="88" t="s">
        <v>360</v>
      </c>
      <c r="B329" s="315">
        <v>4.62</v>
      </c>
      <c r="C329" s="236">
        <v>0.97711999999999999</v>
      </c>
    </row>
    <row r="330" spans="1:3">
      <c r="A330" s="88" t="s">
        <v>361</v>
      </c>
      <c r="B330" s="240">
        <v>4.76</v>
      </c>
      <c r="C330" s="236">
        <v>0.95404</v>
      </c>
    </row>
    <row r="331" spans="1:3">
      <c r="A331" s="88" t="s">
        <v>363</v>
      </c>
      <c r="B331" s="240">
        <v>4.84</v>
      </c>
      <c r="C331" s="236">
        <v>0.93074000000000001</v>
      </c>
    </row>
    <row r="332" spans="1:3">
      <c r="A332" s="88" t="s">
        <v>365</v>
      </c>
      <c r="B332" s="240">
        <v>5</v>
      </c>
      <c r="C332" s="236">
        <v>0.90581</v>
      </c>
    </row>
    <row r="333" spans="1:3">
      <c r="A333" s="88" t="s">
        <v>367</v>
      </c>
      <c r="B333" s="240">
        <v>5.08</v>
      </c>
      <c r="C333" s="236">
        <v>0.88190000000000002</v>
      </c>
    </row>
    <row r="334" spans="1:3">
      <c r="A334" s="88" t="s">
        <v>369</v>
      </c>
      <c r="B334" s="240">
        <v>5.16</v>
      </c>
      <c r="C334" s="236">
        <v>0.85790999999999995</v>
      </c>
    </row>
    <row r="336" spans="1:3" ht="12" thickBot="1">
      <c r="A336" s="87" t="s">
        <v>583</v>
      </c>
    </row>
    <row r="337" spans="1:4" ht="12">
      <c r="A337" s="318" t="s">
        <v>590</v>
      </c>
      <c r="B337" s="319"/>
      <c r="C337" s="319"/>
      <c r="D337" s="320"/>
    </row>
    <row r="338" spans="1:4">
      <c r="A338" s="321" t="s">
        <v>435</v>
      </c>
      <c r="B338" s="88" t="s">
        <v>589</v>
      </c>
      <c r="C338" s="242"/>
      <c r="D338" s="322"/>
    </row>
    <row r="339" spans="1:4">
      <c r="A339" s="321" t="s">
        <v>584</v>
      </c>
      <c r="B339" s="88" t="s">
        <v>564</v>
      </c>
      <c r="C339" s="242"/>
      <c r="D339" s="322"/>
    </row>
    <row r="340" spans="1:4">
      <c r="A340" s="321" t="s">
        <v>585</v>
      </c>
      <c r="B340" s="88" t="s">
        <v>588</v>
      </c>
      <c r="C340" s="242"/>
      <c r="D340" s="322"/>
    </row>
    <row r="341" spans="1:4">
      <c r="A341" s="321" t="s">
        <v>586</v>
      </c>
      <c r="B341" s="91">
        <v>0.08</v>
      </c>
      <c r="C341" s="242"/>
      <c r="D341" s="322"/>
    </row>
    <row r="342" spans="1:4">
      <c r="A342" s="321" t="s">
        <v>587</v>
      </c>
      <c r="B342" s="88" t="s">
        <v>455</v>
      </c>
      <c r="C342" s="242"/>
      <c r="D342" s="322"/>
    </row>
    <row r="343" spans="1:4">
      <c r="A343" s="323"/>
      <c r="B343" s="242"/>
      <c r="C343" s="242"/>
      <c r="D343" s="322"/>
    </row>
    <row r="344" spans="1:4">
      <c r="A344" s="323" t="s">
        <v>594</v>
      </c>
      <c r="B344" s="242"/>
      <c r="C344" s="242"/>
      <c r="D344" s="322"/>
    </row>
    <row r="345" spans="1:4">
      <c r="A345" s="328" t="s">
        <v>591</v>
      </c>
      <c r="B345" s="242"/>
      <c r="C345" s="242"/>
      <c r="D345" s="322"/>
    </row>
    <row r="346" spans="1:4">
      <c r="A346" s="323"/>
      <c r="B346" s="242"/>
      <c r="C346" s="242"/>
      <c r="D346" s="322"/>
    </row>
    <row r="347" spans="1:4">
      <c r="A347" s="323" t="s">
        <v>455</v>
      </c>
      <c r="B347" s="242"/>
      <c r="C347" s="242"/>
      <c r="D347" s="322"/>
    </row>
    <row r="348" spans="1:4">
      <c r="A348" s="324">
        <f>8 * SUM(C329:C334) / SUM(C320:C325)</f>
        <v>7.5170284131040814</v>
      </c>
      <c r="B348" s="242"/>
      <c r="C348" s="242"/>
      <c r="D348" s="322"/>
    </row>
    <row r="349" spans="1:4" ht="12" thickBot="1">
      <c r="A349" s="325"/>
      <c r="B349" s="326"/>
      <c r="C349" s="326"/>
      <c r="D349" s="327"/>
    </row>
    <row r="350" spans="1:4" ht="12" thickBot="1"/>
    <row r="351" spans="1:4" ht="12">
      <c r="A351" s="318" t="s">
        <v>592</v>
      </c>
      <c r="B351" s="319"/>
      <c r="C351" s="319"/>
      <c r="D351" s="320"/>
    </row>
    <row r="352" spans="1:4">
      <c r="A352" s="321" t="s">
        <v>435</v>
      </c>
      <c r="B352" s="275" t="s">
        <v>589</v>
      </c>
      <c r="C352" s="242"/>
      <c r="D352" s="322"/>
    </row>
    <row r="353" spans="1:4">
      <c r="A353" s="321" t="s">
        <v>584</v>
      </c>
      <c r="B353" s="88" t="s">
        <v>564</v>
      </c>
      <c r="C353" s="242"/>
      <c r="D353" s="322"/>
    </row>
    <row r="354" spans="1:4">
      <c r="A354" s="321" t="s">
        <v>585</v>
      </c>
      <c r="B354" s="88" t="s">
        <v>588</v>
      </c>
      <c r="C354" s="242"/>
      <c r="D354" s="322"/>
    </row>
    <row r="355" spans="1:4">
      <c r="A355" s="321" t="s">
        <v>586</v>
      </c>
      <c r="B355" s="91" t="s">
        <v>593</v>
      </c>
      <c r="C355" s="242"/>
      <c r="D355" s="322"/>
    </row>
    <row r="356" spans="1:4">
      <c r="A356" s="321" t="s">
        <v>587</v>
      </c>
      <c r="B356" s="91">
        <v>1.6E-2</v>
      </c>
      <c r="C356" s="242"/>
      <c r="D356" s="322"/>
    </row>
    <row r="357" spans="1:4">
      <c r="A357" s="323"/>
      <c r="B357" s="242"/>
      <c r="C357" s="242"/>
      <c r="D357" s="322"/>
    </row>
    <row r="358" spans="1:4">
      <c r="A358" s="323" t="s">
        <v>593</v>
      </c>
      <c r="B358" s="242"/>
      <c r="C358" s="242"/>
      <c r="D358" s="322"/>
    </row>
    <row r="359" spans="1:4">
      <c r="A359" s="329">
        <v>5.16E-2</v>
      </c>
      <c r="B359" s="242" t="s">
        <v>595</v>
      </c>
      <c r="C359" s="242"/>
      <c r="D359" s="322"/>
    </row>
    <row r="360" spans="1:4" ht="12" thickBot="1">
      <c r="A360" s="325"/>
      <c r="B360" s="326" t="s">
        <v>596</v>
      </c>
      <c r="C360" s="326"/>
      <c r="D360" s="327"/>
    </row>
  </sheetData>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401"/>
  <sheetViews>
    <sheetView showGridLines="0" topLeftCell="A365" zoomScaleNormal="100" workbookViewId="0">
      <selection activeCell="B383" sqref="B383"/>
    </sheetView>
  </sheetViews>
  <sheetFormatPr defaultRowHeight="11.25"/>
  <cols>
    <col min="1" max="1" width="24.625" style="87" customWidth="1"/>
    <col min="2" max="2" width="19.875" style="87" customWidth="1"/>
    <col min="3" max="109" width="15.625" style="87" customWidth="1"/>
    <col min="110" max="16384" width="9" style="87"/>
  </cols>
  <sheetData>
    <row r="1" spans="1:6" ht="42">
      <c r="A1" s="377" t="s">
        <v>694</v>
      </c>
    </row>
    <row r="4" spans="1:6" ht="12" thickBot="1">
      <c r="A4" s="87" t="s">
        <v>695</v>
      </c>
    </row>
    <row r="5" spans="1:6">
      <c r="A5" s="266"/>
      <c r="B5" s="378"/>
      <c r="C5" s="378"/>
      <c r="D5" s="378"/>
      <c r="E5" s="378"/>
      <c r="F5" s="267"/>
    </row>
    <row r="6" spans="1:6">
      <c r="A6" s="379" t="s">
        <v>696</v>
      </c>
      <c r="B6" s="229"/>
      <c r="C6" s="229"/>
      <c r="D6" s="229"/>
      <c r="E6" s="229"/>
      <c r="F6" s="269"/>
    </row>
    <row r="7" spans="1:6">
      <c r="A7" s="379" t="s">
        <v>697</v>
      </c>
      <c r="B7" s="229"/>
      <c r="C7" s="229"/>
      <c r="D7" s="229"/>
      <c r="E7" s="229"/>
      <c r="F7" s="269"/>
    </row>
    <row r="8" spans="1:6">
      <c r="A8" s="379"/>
      <c r="B8" s="229"/>
      <c r="C8" s="229"/>
      <c r="D8" s="229"/>
      <c r="E8" s="229"/>
      <c r="F8" s="269"/>
    </row>
    <row r="9" spans="1:6">
      <c r="A9" s="379" t="s">
        <v>698</v>
      </c>
      <c r="B9" s="229"/>
      <c r="C9" s="229"/>
      <c r="D9" s="229"/>
      <c r="E9" s="229"/>
      <c r="F9" s="269"/>
    </row>
    <row r="10" spans="1:6">
      <c r="A10" s="379" t="s">
        <v>699</v>
      </c>
      <c r="B10" s="229"/>
      <c r="C10" s="229"/>
      <c r="D10" s="229"/>
      <c r="E10" s="229"/>
      <c r="F10" s="269"/>
    </row>
    <row r="11" spans="1:6">
      <c r="A11" s="379"/>
      <c r="B11" s="229"/>
      <c r="C11" s="229"/>
      <c r="D11" s="229"/>
      <c r="E11" s="229"/>
      <c r="F11" s="269"/>
    </row>
    <row r="12" spans="1:6">
      <c r="A12" s="379" t="s">
        <v>700</v>
      </c>
      <c r="B12" s="229"/>
      <c r="C12" s="229"/>
      <c r="D12" s="229"/>
      <c r="E12" s="229"/>
      <c r="F12" s="269"/>
    </row>
    <row r="13" spans="1:6">
      <c r="A13" s="379"/>
      <c r="B13" s="229"/>
      <c r="C13" s="229"/>
      <c r="D13" s="229"/>
      <c r="E13" s="229"/>
      <c r="F13" s="269"/>
    </row>
    <row r="14" spans="1:6">
      <c r="A14" s="379" t="s">
        <v>701</v>
      </c>
      <c r="B14" s="229"/>
      <c r="C14" s="229"/>
      <c r="D14" s="229"/>
      <c r="E14" s="229"/>
      <c r="F14" s="269"/>
    </row>
    <row r="15" spans="1:6" ht="12" thickBot="1">
      <c r="A15" s="270"/>
      <c r="B15" s="380"/>
      <c r="C15" s="380"/>
      <c r="D15" s="380"/>
      <c r="E15" s="380"/>
      <c r="F15" s="271"/>
    </row>
    <row r="18" spans="1:6">
      <c r="A18" s="87" t="s">
        <v>702</v>
      </c>
    </row>
    <row r="19" spans="1:6">
      <c r="A19" s="297"/>
      <c r="B19" s="25" t="s">
        <v>703</v>
      </c>
      <c r="C19" s="25" t="s">
        <v>704</v>
      </c>
      <c r="D19" s="25" t="s">
        <v>705</v>
      </c>
      <c r="E19" s="25" t="s">
        <v>706</v>
      </c>
    </row>
    <row r="20" spans="1:6">
      <c r="A20" s="297"/>
      <c r="B20" s="88">
        <v>1</v>
      </c>
      <c r="C20" s="88">
        <v>0</v>
      </c>
      <c r="D20" s="88">
        <v>2</v>
      </c>
      <c r="E20" s="88">
        <v>3</v>
      </c>
    </row>
    <row r="21" spans="1:6" ht="12" thickBot="1">
      <c r="A21" s="297"/>
      <c r="B21" s="88">
        <v>2</v>
      </c>
      <c r="C21" s="389">
        <v>2</v>
      </c>
      <c r="D21" s="88">
        <v>4</v>
      </c>
      <c r="E21" s="88">
        <v>4</v>
      </c>
    </row>
    <row r="22" spans="1:6" ht="12" thickBot="1">
      <c r="A22" s="297"/>
      <c r="B22" s="388">
        <v>3</v>
      </c>
      <c r="C22" s="391">
        <v>3</v>
      </c>
      <c r="D22" s="381">
        <v>6</v>
      </c>
      <c r="E22" s="88">
        <v>5</v>
      </c>
    </row>
    <row r="23" spans="1:6">
      <c r="A23" s="297"/>
      <c r="B23" s="88">
        <v>4</v>
      </c>
      <c r="C23" s="390">
        <v>4</v>
      </c>
      <c r="D23" s="88">
        <v>8</v>
      </c>
      <c r="E23" s="88">
        <v>6</v>
      </c>
    </row>
    <row r="24" spans="1:6">
      <c r="A24" s="297"/>
      <c r="B24" s="88">
        <v>5</v>
      </c>
      <c r="C24" s="88">
        <v>5</v>
      </c>
      <c r="D24" s="88">
        <v>10</v>
      </c>
      <c r="E24" s="88">
        <v>7</v>
      </c>
    </row>
    <row r="25" spans="1:6">
      <c r="A25" s="297"/>
      <c r="B25" s="88">
        <v>6</v>
      </c>
      <c r="C25" s="88">
        <v>7</v>
      </c>
      <c r="D25" s="88">
        <v>12</v>
      </c>
      <c r="E25" s="88">
        <v>8</v>
      </c>
    </row>
    <row r="26" spans="1:6">
      <c r="A26" s="242"/>
    </row>
    <row r="27" spans="1:6">
      <c r="A27" s="25" t="s">
        <v>707</v>
      </c>
      <c r="B27" s="384">
        <f>AVERAGE(B20:B25)</f>
        <v>3.5</v>
      </c>
      <c r="C27" s="384">
        <f>AVERAGE(C20:C25)</f>
        <v>3.5</v>
      </c>
      <c r="D27" s="385">
        <f>AVERAGE(D20:D25)</f>
        <v>7</v>
      </c>
      <c r="E27" s="382">
        <f>AVERAGE(E20:E25)</f>
        <v>5.5</v>
      </c>
      <c r="F27" s="235" t="s">
        <v>710</v>
      </c>
    </row>
    <row r="28" spans="1:6">
      <c r="A28" s="25" t="s">
        <v>708</v>
      </c>
      <c r="B28" s="384">
        <f>VARP(B20:B25)</f>
        <v>2.9166666666666665</v>
      </c>
      <c r="C28" s="88">
        <f>VARP(C20:C25)</f>
        <v>4.916666666666667</v>
      </c>
      <c r="D28" s="88">
        <f>VARP(D20:D25)</f>
        <v>11.666666666666666</v>
      </c>
      <c r="E28" s="386">
        <f>VARP(E20:E25)</f>
        <v>2.9166666666666665</v>
      </c>
      <c r="F28" s="235" t="s">
        <v>711</v>
      </c>
    </row>
    <row r="29" spans="1:6">
      <c r="A29" s="25" t="s">
        <v>709</v>
      </c>
      <c r="B29" s="384">
        <f>B28^0.5</f>
        <v>1.707825127659933</v>
      </c>
      <c r="C29" s="88">
        <f>C28^0.5</f>
        <v>2.2173557826083452</v>
      </c>
      <c r="D29" s="385">
        <f>D28^0.5</f>
        <v>3.415650255319866</v>
      </c>
      <c r="E29" s="386">
        <f>E28^0.5</f>
        <v>1.707825127659933</v>
      </c>
      <c r="F29" s="235" t="s">
        <v>712</v>
      </c>
    </row>
    <row r="32" spans="1:6" s="387" customFormat="1" ht="6.75" customHeight="1"/>
    <row r="35" spans="1:3" ht="12" thickBot="1">
      <c r="A35" s="87" t="s">
        <v>713</v>
      </c>
    </row>
    <row r="36" spans="1:3" ht="14.25">
      <c r="A36" s="392" t="s">
        <v>714</v>
      </c>
      <c r="B36" s="378"/>
      <c r="C36" s="267"/>
    </row>
    <row r="37" spans="1:3" ht="14.25">
      <c r="A37" s="393"/>
      <c r="B37" s="229"/>
      <c r="C37" s="269"/>
    </row>
    <row r="38" spans="1:3" ht="14.25">
      <c r="A38" s="393" t="s">
        <v>715</v>
      </c>
      <c r="B38" s="229"/>
      <c r="C38" s="269"/>
    </row>
    <row r="39" spans="1:3" ht="14.25">
      <c r="A39" s="393"/>
      <c r="B39" s="229"/>
      <c r="C39" s="269"/>
    </row>
    <row r="40" spans="1:3" ht="14.25">
      <c r="A40" s="393" t="s">
        <v>716</v>
      </c>
      <c r="B40" s="229"/>
      <c r="C40" s="269"/>
    </row>
    <row r="41" spans="1:3" ht="14.25">
      <c r="A41" s="393"/>
      <c r="B41" s="229"/>
      <c r="C41" s="269"/>
    </row>
    <row r="42" spans="1:3" ht="14.25">
      <c r="A42" s="393" t="s">
        <v>717</v>
      </c>
      <c r="B42" s="229"/>
      <c r="C42" s="269"/>
    </row>
    <row r="43" spans="1:3" ht="14.25">
      <c r="A43" s="393"/>
      <c r="B43" s="229"/>
      <c r="C43" s="269"/>
    </row>
    <row r="44" spans="1:3" ht="14.25">
      <c r="A44" s="393" t="s">
        <v>718</v>
      </c>
      <c r="B44" s="229"/>
      <c r="C44" s="269"/>
    </row>
    <row r="45" spans="1:3" ht="14.25">
      <c r="A45" s="393"/>
      <c r="B45" s="229"/>
      <c r="C45" s="269"/>
    </row>
    <row r="46" spans="1:3" ht="14.25">
      <c r="A46" s="393" t="s">
        <v>719</v>
      </c>
      <c r="B46" s="229"/>
      <c r="C46" s="269"/>
    </row>
    <row r="47" spans="1:3" ht="12" thickBot="1">
      <c r="A47" s="270"/>
      <c r="B47" s="380"/>
      <c r="C47" s="271"/>
    </row>
    <row r="51" spans="1:4">
      <c r="A51" s="87" t="s">
        <v>720</v>
      </c>
    </row>
    <row r="52" spans="1:4">
      <c r="A52" s="87" t="s">
        <v>721</v>
      </c>
    </row>
    <row r="53" spans="1:4" s="233" customFormat="1"/>
    <row r="54" spans="1:4" s="233" customFormat="1">
      <c r="B54" s="25" t="s">
        <v>722</v>
      </c>
      <c r="C54" s="395" t="s">
        <v>723</v>
      </c>
      <c r="D54" s="397"/>
    </row>
    <row r="55" spans="1:4" s="233" customFormat="1">
      <c r="B55" s="88">
        <v>2</v>
      </c>
      <c r="C55" s="396" t="s">
        <v>724</v>
      </c>
      <c r="D55" s="397"/>
    </row>
    <row r="56" spans="1:4" s="233" customFormat="1">
      <c r="B56" s="88">
        <v>3</v>
      </c>
      <c r="C56" s="396" t="s">
        <v>726</v>
      </c>
      <c r="D56" s="397"/>
    </row>
    <row r="57" spans="1:4" s="233" customFormat="1">
      <c r="B57" s="88">
        <v>4</v>
      </c>
      <c r="C57" s="396" t="s">
        <v>727</v>
      </c>
      <c r="D57" s="397"/>
    </row>
    <row r="58" spans="1:4" s="233" customFormat="1">
      <c r="B58" s="88">
        <v>5</v>
      </c>
      <c r="C58" s="396" t="s">
        <v>728</v>
      </c>
      <c r="D58" s="397"/>
    </row>
    <row r="59" spans="1:4" s="233" customFormat="1">
      <c r="B59" s="88">
        <v>6</v>
      </c>
      <c r="C59" s="396" t="s">
        <v>730</v>
      </c>
      <c r="D59" s="397"/>
    </row>
    <row r="60" spans="1:4" s="233" customFormat="1">
      <c r="B60" s="88">
        <v>7</v>
      </c>
      <c r="C60" s="396" t="s">
        <v>729</v>
      </c>
      <c r="D60" s="397"/>
    </row>
    <row r="61" spans="1:4" s="233" customFormat="1">
      <c r="B61" s="88">
        <v>8</v>
      </c>
      <c r="C61" s="396" t="s">
        <v>730</v>
      </c>
      <c r="D61" s="397"/>
    </row>
    <row r="62" spans="1:4" s="233" customFormat="1">
      <c r="B62" s="88">
        <v>9</v>
      </c>
      <c r="C62" s="396" t="s">
        <v>728</v>
      </c>
      <c r="D62" s="397"/>
    </row>
    <row r="63" spans="1:4" s="233" customFormat="1">
      <c r="B63" s="88">
        <v>10</v>
      </c>
      <c r="C63" s="388" t="s">
        <v>727</v>
      </c>
      <c r="D63" s="397"/>
    </row>
    <row r="64" spans="1:4" s="233" customFormat="1">
      <c r="B64" s="88">
        <v>11</v>
      </c>
      <c r="C64" s="388" t="s">
        <v>725</v>
      </c>
      <c r="D64" s="397"/>
    </row>
    <row r="65" spans="1:4" s="233" customFormat="1">
      <c r="B65" s="88">
        <v>12</v>
      </c>
      <c r="C65" s="388" t="s">
        <v>724</v>
      </c>
      <c r="D65" s="397"/>
    </row>
    <row r="66" spans="1:4" s="233" customFormat="1"/>
    <row r="67" spans="1:4" s="233" customFormat="1">
      <c r="A67" s="234" t="s">
        <v>707</v>
      </c>
      <c r="B67" s="383">
        <f>2*(1/36) + 3*(2/36) + 4*(3/36) + 5*(4/36) + 6*(5/36) + 7*(6/36) + 8*(5/36) + 9*(4/36) + 10*(3/36) + 11*(2/36) + 12*(1/36)</f>
        <v>6.9999999999999991</v>
      </c>
      <c r="C67" s="235" t="s">
        <v>731</v>
      </c>
    </row>
    <row r="68" spans="1:4" s="233" customFormat="1">
      <c r="A68" s="234" t="s">
        <v>708</v>
      </c>
      <c r="B68" s="394">
        <f>(2-7)^2 * (1/36) + (3-7)^2 * (2/36) + (4-7)^2 * (3/36) + (5-7)^2 * (4/36) + (6-7)^2 * (5/36) + (7-7)^2 * (6/36) + (8-7)^2 * (5/36) + (9-7)^2 * (4/36) + (10-7)^2 * (3/36) + (11-7)^2 * (2/36) + (12-7)^2 * (1/36)</f>
        <v>5.8333333333333339</v>
      </c>
      <c r="C68" s="255" t="s">
        <v>732</v>
      </c>
    </row>
    <row r="69" spans="1:4" s="233" customFormat="1">
      <c r="A69" s="234" t="s">
        <v>709</v>
      </c>
      <c r="B69" s="398">
        <f>B68^0.5</f>
        <v>2.4152294576982398</v>
      </c>
    </row>
    <row r="70" spans="1:4" s="233" customFormat="1"/>
    <row r="71" spans="1:4" s="233" customFormat="1"/>
    <row r="72" spans="1:4" s="233" customFormat="1"/>
    <row r="73" spans="1:4" s="233" customFormat="1">
      <c r="A73" s="255" t="s">
        <v>733</v>
      </c>
    </row>
    <row r="74" spans="1:4" s="233" customFormat="1"/>
    <row r="75" spans="1:4" s="233" customFormat="1">
      <c r="A75" s="297"/>
      <c r="B75" s="25" t="s">
        <v>703</v>
      </c>
      <c r="D75" s="233" t="s">
        <v>707</v>
      </c>
    </row>
    <row r="76" spans="1:4" s="233" customFormat="1">
      <c r="A76" s="297"/>
      <c r="B76" s="88">
        <v>1</v>
      </c>
      <c r="D76" s="233" t="s">
        <v>734</v>
      </c>
    </row>
    <row r="77" spans="1:4" s="233" customFormat="1">
      <c r="A77" s="297"/>
      <c r="B77" s="88">
        <v>2</v>
      </c>
    </row>
    <row r="78" spans="1:4" s="233" customFormat="1">
      <c r="A78" s="297"/>
      <c r="B78" s="388">
        <v>3</v>
      </c>
      <c r="D78" s="233" t="s">
        <v>708</v>
      </c>
    </row>
    <row r="79" spans="1:4" s="233" customFormat="1">
      <c r="A79" s="297"/>
      <c r="B79" s="88">
        <v>4</v>
      </c>
      <c r="D79" s="233" t="s">
        <v>735</v>
      </c>
    </row>
    <row r="80" spans="1:4" s="233" customFormat="1">
      <c r="A80" s="297"/>
      <c r="B80" s="88">
        <v>5</v>
      </c>
    </row>
    <row r="81" spans="1:4" s="233" customFormat="1">
      <c r="A81" s="297"/>
      <c r="B81" s="88">
        <v>6</v>
      </c>
      <c r="D81" s="233" t="s">
        <v>709</v>
      </c>
    </row>
    <row r="82" spans="1:4" s="233" customFormat="1">
      <c r="A82" s="242"/>
      <c r="B82" s="87"/>
      <c r="D82" s="233" t="s">
        <v>736</v>
      </c>
    </row>
    <row r="83" spans="1:4" s="233" customFormat="1">
      <c r="A83" s="25" t="s">
        <v>707</v>
      </c>
      <c r="B83" s="384">
        <f>AVERAGE(B76:B81)</f>
        <v>3.5</v>
      </c>
    </row>
    <row r="84" spans="1:4" s="233" customFormat="1">
      <c r="A84" s="25" t="s">
        <v>708</v>
      </c>
      <c r="B84" s="384">
        <f>VARP(B76:B81)</f>
        <v>2.9166666666666665</v>
      </c>
    </row>
    <row r="85" spans="1:4" s="233" customFormat="1">
      <c r="A85" s="25" t="s">
        <v>709</v>
      </c>
      <c r="B85" s="384">
        <f>B84^0.5</f>
        <v>1.707825127659933</v>
      </c>
    </row>
    <row r="86" spans="1:4" s="233" customFormat="1"/>
    <row r="87" spans="1:4" s="233" customFormat="1"/>
    <row r="88" spans="1:4" s="233" customFormat="1"/>
    <row r="89" spans="1:4" s="233" customFormat="1">
      <c r="A89" s="255" t="s">
        <v>737</v>
      </c>
    </row>
    <row r="90" spans="1:4" s="233" customFormat="1"/>
    <row r="91" spans="1:4" s="233" customFormat="1">
      <c r="A91" s="233" t="s">
        <v>707</v>
      </c>
    </row>
    <row r="92" spans="1:4" s="233" customFormat="1">
      <c r="A92" s="255" t="s">
        <v>738</v>
      </c>
    </row>
    <row r="93" spans="1:4" s="233" customFormat="1"/>
    <row r="94" spans="1:4" s="233" customFormat="1">
      <c r="A94" s="233" t="s">
        <v>708</v>
      </c>
    </row>
    <row r="95" spans="1:4" s="233" customFormat="1">
      <c r="A95" s="255" t="s">
        <v>739</v>
      </c>
    </row>
    <row r="96" spans="1:4" s="233" customFormat="1"/>
    <row r="97" spans="1:9" s="233" customFormat="1">
      <c r="A97" s="233" t="s">
        <v>709</v>
      </c>
    </row>
    <row r="98" spans="1:9" s="233" customFormat="1">
      <c r="A98" s="255" t="s">
        <v>740</v>
      </c>
    </row>
    <row r="99" spans="1:9" s="233" customFormat="1"/>
    <row r="100" spans="1:9" s="233" customFormat="1"/>
    <row r="101" spans="1:9" s="233" customFormat="1">
      <c r="A101" s="233">
        <f>NORMSDIST(2.5)</f>
        <v>0.99379033467422384</v>
      </c>
    </row>
    <row r="102" spans="1:9" s="233" customFormat="1">
      <c r="A102" s="233">
        <f>NORMSDIST(-2.5)</f>
        <v>6.2096653257761331E-3</v>
      </c>
    </row>
    <row r="103" spans="1:9" s="233" customFormat="1"/>
    <row r="104" spans="1:9" s="233" customFormat="1"/>
    <row r="105" spans="1:9" s="233" customFormat="1"/>
    <row r="106" spans="1:9" s="233" customFormat="1"/>
    <row r="107" spans="1:9" s="233" customFormat="1"/>
    <row r="108" spans="1:9">
      <c r="A108" s="87" t="s">
        <v>741</v>
      </c>
    </row>
    <row r="109" spans="1:9" s="233" customFormat="1">
      <c r="A109" s="255" t="s">
        <v>742</v>
      </c>
    </row>
    <row r="110" spans="1:9" s="233" customFormat="1">
      <c r="A110" s="255" t="s">
        <v>743</v>
      </c>
    </row>
    <row r="111" spans="1:9" s="233" customFormat="1"/>
    <row r="112" spans="1:9" s="233" customFormat="1">
      <c r="C112" s="25" t="s">
        <v>722</v>
      </c>
      <c r="D112" s="25" t="s">
        <v>744</v>
      </c>
      <c r="E112" s="25" t="s">
        <v>745</v>
      </c>
      <c r="F112" s="25" t="s">
        <v>746</v>
      </c>
      <c r="G112" s="234" t="s">
        <v>747</v>
      </c>
      <c r="H112" s="234" t="s">
        <v>748</v>
      </c>
      <c r="I112" s="458"/>
    </row>
    <row r="113" spans="1:9" s="233" customFormat="1">
      <c r="A113" s="399" t="s">
        <v>749</v>
      </c>
      <c r="C113" s="88">
        <v>3</v>
      </c>
      <c r="D113" s="88">
        <v>1</v>
      </c>
      <c r="E113" s="88">
        <v>0.5</v>
      </c>
      <c r="F113" s="88">
        <v>1</v>
      </c>
      <c r="G113" s="88">
        <f>(C113-E113)/F113</f>
        <v>2.5</v>
      </c>
      <c r="H113" s="88">
        <f>NORMSDIST(G113 * D113 )</f>
        <v>0.99379033467422384</v>
      </c>
      <c r="I113" s="297"/>
    </row>
    <row r="114" spans="1:9" s="233" customFormat="1">
      <c r="A114" s="399" t="s">
        <v>750</v>
      </c>
      <c r="C114" s="88">
        <v>1.6</v>
      </c>
      <c r="D114" s="88">
        <v>1</v>
      </c>
      <c r="E114" s="88">
        <v>1</v>
      </c>
      <c r="F114" s="88">
        <v>0.5</v>
      </c>
      <c r="G114" s="88">
        <f>(C114-E114)/F114</f>
        <v>1.2000000000000002</v>
      </c>
      <c r="H114" s="88">
        <f>NORMSDIST(G114 * D114 )</f>
        <v>0.88493032977829178</v>
      </c>
      <c r="I114" s="297"/>
    </row>
    <row r="115" spans="1:9" s="233" customFormat="1">
      <c r="A115" s="399" t="s">
        <v>751</v>
      </c>
      <c r="C115" s="88">
        <v>1.4</v>
      </c>
      <c r="D115" s="88">
        <v>1</v>
      </c>
      <c r="E115" s="88">
        <v>-1</v>
      </c>
      <c r="F115" s="88">
        <v>2</v>
      </c>
      <c r="G115" s="88">
        <f>(C115-E115)/F115</f>
        <v>1.2</v>
      </c>
      <c r="H115" s="88">
        <f>NORMSDIST(G115 * D115 )</f>
        <v>0.88493032977829178</v>
      </c>
      <c r="I115" s="297"/>
    </row>
    <row r="116" spans="1:9" s="233" customFormat="1">
      <c r="A116" s="399" t="s">
        <v>752</v>
      </c>
      <c r="C116" s="88">
        <v>-1.5</v>
      </c>
      <c r="D116" s="88">
        <v>-1</v>
      </c>
      <c r="E116" s="88">
        <v>1</v>
      </c>
      <c r="F116" s="88">
        <v>1</v>
      </c>
      <c r="G116" s="88">
        <f>(C116-E116)/F116</f>
        <v>-2.5</v>
      </c>
      <c r="H116" s="88">
        <f>NORMSDIST(G116 * D116 )</f>
        <v>0.99379033467422384</v>
      </c>
      <c r="I116" s="297"/>
    </row>
    <row r="117" spans="1:9" s="233" customFormat="1" ht="12" thickBot="1"/>
    <row r="118" spans="1:9" s="233" customFormat="1" ht="12">
      <c r="A118" s="400" t="s">
        <v>753</v>
      </c>
      <c r="B118" s="401"/>
    </row>
    <row r="119" spans="1:9" s="233" customFormat="1" ht="12">
      <c r="A119" s="402" t="s">
        <v>754</v>
      </c>
      <c r="B119" s="403"/>
    </row>
    <row r="120" spans="1:9" s="233" customFormat="1" ht="12">
      <c r="A120" s="402"/>
      <c r="B120" s="403"/>
    </row>
    <row r="121" spans="1:9" s="233" customFormat="1" ht="12">
      <c r="A121" s="402" t="s">
        <v>755</v>
      </c>
      <c r="B121" s="403" t="s">
        <v>757</v>
      </c>
    </row>
    <row r="122" spans="1:9" s="233" customFormat="1" ht="12.75" thickBot="1">
      <c r="A122" s="404" t="s">
        <v>756</v>
      </c>
      <c r="B122" s="405" t="s">
        <v>758</v>
      </c>
    </row>
    <row r="123" spans="1:9" s="233" customFormat="1"/>
    <row r="124" spans="1:9" s="233" customFormat="1"/>
    <row r="125" spans="1:9" s="233" customFormat="1"/>
    <row r="126" spans="1:9" s="233" customFormat="1"/>
    <row r="127" spans="1:9" s="421" customFormat="1"/>
    <row r="128" spans="1:9" s="233" customFormat="1"/>
    <row r="129" spans="1:9" s="233" customFormat="1" ht="32.25">
      <c r="A129" s="432" t="s">
        <v>795</v>
      </c>
      <c r="B129" s="427" t="s">
        <v>852</v>
      </c>
      <c r="C129" s="425"/>
      <c r="D129" s="425"/>
      <c r="E129" s="425"/>
    </row>
    <row r="130" spans="1:9" s="233" customFormat="1"/>
    <row r="131" spans="1:9" s="233" customFormat="1">
      <c r="A131" s="25" t="s">
        <v>816</v>
      </c>
      <c r="B131" s="25" t="s">
        <v>817</v>
      </c>
      <c r="C131" s="25" t="s">
        <v>818</v>
      </c>
      <c r="F131" s="424" t="s">
        <v>821</v>
      </c>
    </row>
    <row r="132" spans="1:9" s="233" customFormat="1">
      <c r="A132" s="88" t="s">
        <v>796</v>
      </c>
      <c r="B132" s="88">
        <v>4020</v>
      </c>
      <c r="C132" s="88"/>
      <c r="F132" s="88">
        <v>-3.7735849056603774</v>
      </c>
      <c r="G132" s="233" t="s">
        <v>822</v>
      </c>
      <c r="H132" s="255" t="s">
        <v>832</v>
      </c>
      <c r="I132" s="255"/>
    </row>
    <row r="133" spans="1:9" s="233" customFormat="1">
      <c r="A133" s="88" t="s">
        <v>797</v>
      </c>
      <c r="B133" s="88">
        <v>3920</v>
      </c>
      <c r="C133" s="382">
        <f>100*(B133-B132)/B132</f>
        <v>-2.4875621890547261</v>
      </c>
      <c r="D133" s="255" t="s">
        <v>819</v>
      </c>
      <c r="F133" s="88">
        <v>-3.7037037037037037</v>
      </c>
      <c r="G133" s="233" t="s">
        <v>823</v>
      </c>
    </row>
    <row r="134" spans="1:9" s="233" customFormat="1">
      <c r="A134" s="88" t="s">
        <v>798</v>
      </c>
      <c r="B134" s="88">
        <v>3850</v>
      </c>
      <c r="C134" s="382">
        <f>100*(B134-B133)/B133</f>
        <v>-1.7857142857142858</v>
      </c>
      <c r="D134" s="255" t="s">
        <v>820</v>
      </c>
      <c r="F134" s="88">
        <v>-2.6246719160104988</v>
      </c>
      <c r="G134" s="233" t="s">
        <v>824</v>
      </c>
    </row>
    <row r="135" spans="1:9" s="233" customFormat="1">
      <c r="A135" s="88" t="s">
        <v>799</v>
      </c>
      <c r="B135" s="88">
        <v>3850</v>
      </c>
      <c r="C135" s="88">
        <f t="shared" ref="C135:C151" si="0">100*(B135-B134)/B134</f>
        <v>0</v>
      </c>
      <c r="F135" s="88">
        <v>-2.6041666666666665</v>
      </c>
      <c r="G135" s="233" t="s">
        <v>825</v>
      </c>
    </row>
    <row r="136" spans="1:9" s="233" customFormat="1">
      <c r="A136" s="88" t="s">
        <v>800</v>
      </c>
      <c r="B136" s="88">
        <v>3880</v>
      </c>
      <c r="C136" s="88">
        <f t="shared" si="0"/>
        <v>0.77922077922077926</v>
      </c>
      <c r="F136" s="88">
        <v>-2.4875621890547261</v>
      </c>
      <c r="G136" s="233" t="s">
        <v>826</v>
      </c>
    </row>
    <row r="137" spans="1:9" s="233" customFormat="1">
      <c r="A137" s="88" t="s">
        <v>801</v>
      </c>
      <c r="B137" s="88">
        <v>3870</v>
      </c>
      <c r="C137" s="88">
        <f t="shared" si="0"/>
        <v>-0.25773195876288657</v>
      </c>
      <c r="F137" s="382">
        <v>-1.8087855297157622</v>
      </c>
      <c r="G137" s="233" t="s">
        <v>827</v>
      </c>
    </row>
    <row r="138" spans="1:9" s="233" customFormat="1">
      <c r="A138" s="88" t="s">
        <v>802</v>
      </c>
      <c r="B138" s="88">
        <v>3800</v>
      </c>
      <c r="C138" s="88">
        <f t="shared" si="0"/>
        <v>-1.8087855297157622</v>
      </c>
      <c r="F138" s="88">
        <v>-1.7902813299232736</v>
      </c>
      <c r="G138" s="233" t="s">
        <v>828</v>
      </c>
      <c r="H138" s="311" t="s">
        <v>833</v>
      </c>
      <c r="I138" s="311"/>
    </row>
    <row r="139" spans="1:9" s="233" customFormat="1">
      <c r="A139" s="88" t="s">
        <v>803</v>
      </c>
      <c r="B139" s="88">
        <v>3910</v>
      </c>
      <c r="C139" s="88">
        <f t="shared" si="0"/>
        <v>2.8947368421052633</v>
      </c>
      <c r="F139" s="88">
        <v>-1.7857142857142858</v>
      </c>
      <c r="G139" s="233" t="s">
        <v>829</v>
      </c>
      <c r="H139" s="334">
        <v>-8.0000000000000002E-3</v>
      </c>
      <c r="I139" s="459"/>
    </row>
    <row r="140" spans="1:9" s="233" customFormat="1">
      <c r="A140" s="88" t="s">
        <v>804</v>
      </c>
      <c r="B140" s="88">
        <v>3840</v>
      </c>
      <c r="C140" s="88">
        <f t="shared" si="0"/>
        <v>-1.7902813299232736</v>
      </c>
      <c r="F140" s="88">
        <v>-1.680672268907563</v>
      </c>
      <c r="G140" s="233" t="s">
        <v>830</v>
      </c>
    </row>
    <row r="141" spans="1:9" s="233" customFormat="1">
      <c r="A141" s="88" t="s">
        <v>805</v>
      </c>
      <c r="B141" s="88">
        <v>3740</v>
      </c>
      <c r="C141" s="88">
        <f t="shared" si="0"/>
        <v>-2.6041666666666665</v>
      </c>
      <c r="F141" s="25">
        <v>-0.8</v>
      </c>
      <c r="G141" s="233" t="s">
        <v>831</v>
      </c>
      <c r="H141" s="311" t="s">
        <v>834</v>
      </c>
      <c r="I141" s="311"/>
    </row>
    <row r="142" spans="1:9" s="233" customFormat="1">
      <c r="A142" s="88" t="s">
        <v>806</v>
      </c>
      <c r="B142" s="88">
        <v>3750</v>
      </c>
      <c r="C142" s="88">
        <f t="shared" si="0"/>
        <v>0.26737967914438504</v>
      </c>
      <c r="F142" s="88">
        <v>-0.52219321148825071</v>
      </c>
      <c r="H142" s="233" t="s">
        <v>835</v>
      </c>
    </row>
    <row r="143" spans="1:9" s="233" customFormat="1">
      <c r="A143" s="88" t="s">
        <v>807</v>
      </c>
      <c r="B143" s="88">
        <v>3720</v>
      </c>
      <c r="C143" s="88">
        <f t="shared" si="0"/>
        <v>-0.8</v>
      </c>
      <c r="F143" s="382">
        <v>-0.25773195876288657</v>
      </c>
      <c r="H143" s="88">
        <f>100000000 * (-0.8%)</f>
        <v>-800000</v>
      </c>
      <c r="I143" s="297"/>
    </row>
    <row r="144" spans="1:9" s="233" customFormat="1">
      <c r="A144" s="88" t="s">
        <v>808</v>
      </c>
      <c r="B144" s="88">
        <v>3780</v>
      </c>
      <c r="C144" s="88">
        <f t="shared" si="0"/>
        <v>1.6129032258064515</v>
      </c>
      <c r="F144" s="88">
        <v>0</v>
      </c>
    </row>
    <row r="145" spans="1:7" s="233" customFormat="1">
      <c r="A145" s="88" t="s">
        <v>809</v>
      </c>
      <c r="B145" s="88">
        <v>3830</v>
      </c>
      <c r="C145" s="88">
        <f t="shared" si="0"/>
        <v>1.3227513227513228</v>
      </c>
      <c r="F145" s="88">
        <v>0</v>
      </c>
    </row>
    <row r="146" spans="1:7" s="233" customFormat="1">
      <c r="A146" s="88" t="s">
        <v>810</v>
      </c>
      <c r="B146" s="88">
        <v>3810</v>
      </c>
      <c r="C146" s="88">
        <f t="shared" si="0"/>
        <v>-0.52219321148825071</v>
      </c>
      <c r="F146" s="88">
        <v>0.26737967914438504</v>
      </c>
    </row>
    <row r="147" spans="1:7" s="233" customFormat="1">
      <c r="A147" s="88" t="s">
        <v>811</v>
      </c>
      <c r="B147" s="88">
        <v>3710</v>
      </c>
      <c r="C147" s="88">
        <f t="shared" si="0"/>
        <v>-2.6246719160104988</v>
      </c>
      <c r="F147" s="88">
        <v>0.77922077922077926</v>
      </c>
    </row>
    <row r="148" spans="1:7" s="233" customFormat="1">
      <c r="A148" s="88" t="s">
        <v>812</v>
      </c>
      <c r="B148" s="88">
        <v>3570</v>
      </c>
      <c r="C148" s="88">
        <f t="shared" si="0"/>
        <v>-3.7735849056603774</v>
      </c>
      <c r="F148" s="88">
        <v>1.3227513227513228</v>
      </c>
    </row>
    <row r="149" spans="1:7" s="233" customFormat="1">
      <c r="A149" s="88" t="s">
        <v>813</v>
      </c>
      <c r="B149" s="88">
        <v>3570</v>
      </c>
      <c r="C149" s="88">
        <f t="shared" si="0"/>
        <v>0</v>
      </c>
      <c r="F149" s="88">
        <v>1.6129032258064515</v>
      </c>
    </row>
    <row r="150" spans="1:7" s="233" customFormat="1">
      <c r="A150" s="88" t="s">
        <v>814</v>
      </c>
      <c r="B150" s="88">
        <v>3510</v>
      </c>
      <c r="C150" s="88">
        <f t="shared" si="0"/>
        <v>-1.680672268907563</v>
      </c>
      <c r="F150" s="88">
        <v>2.8947368421052633</v>
      </c>
    </row>
    <row r="151" spans="1:7" s="233" customFormat="1">
      <c r="A151" s="88" t="s">
        <v>815</v>
      </c>
      <c r="B151" s="88">
        <v>3380</v>
      </c>
      <c r="C151" s="88">
        <f t="shared" si="0"/>
        <v>-3.7037037037037037</v>
      </c>
      <c r="F151" s="88"/>
    </row>
    <row r="152" spans="1:7" s="233" customFormat="1">
      <c r="F152" s="297"/>
    </row>
    <row r="153" spans="1:7" s="233" customFormat="1">
      <c r="F153" s="297"/>
    </row>
    <row r="154" spans="1:7" s="233" customFormat="1">
      <c r="F154" s="297"/>
    </row>
    <row r="155" spans="1:7" s="233" customFormat="1">
      <c r="F155" s="424" t="s">
        <v>836</v>
      </c>
    </row>
    <row r="156" spans="1:7" s="233" customFormat="1"/>
    <row r="157" spans="1:7" s="233" customFormat="1">
      <c r="F157" s="311" t="s">
        <v>837</v>
      </c>
      <c r="G157" s="422"/>
    </row>
    <row r="158" spans="1:7" s="233" customFormat="1">
      <c r="F158" s="88" t="s">
        <v>838</v>
      </c>
      <c r="G158" s="88" t="s">
        <v>839</v>
      </c>
    </row>
    <row r="159" spans="1:7" s="233" customFormat="1">
      <c r="F159" s="88">
        <f>VARP(C133:C151)</f>
        <v>3.1343075312178019</v>
      </c>
      <c r="G159" s="88">
        <f>F159^0.5</f>
        <v>1.7703975630399522</v>
      </c>
    </row>
    <row r="160" spans="1:7" s="233" customFormat="1"/>
    <row r="161" spans="1:7" s="233" customFormat="1">
      <c r="F161" s="311" t="s">
        <v>840</v>
      </c>
      <c r="G161" s="422"/>
    </row>
    <row r="162" spans="1:7" s="233" customFormat="1">
      <c r="F162" s="88">
        <f>-2.33 * G159</f>
        <v>-4.1250263218830892</v>
      </c>
      <c r="G162" s="255" t="s">
        <v>843</v>
      </c>
    </row>
    <row r="163" spans="1:7" s="233" customFormat="1"/>
    <row r="164" spans="1:7" s="233" customFormat="1">
      <c r="F164" s="311" t="s">
        <v>841</v>
      </c>
    </row>
    <row r="165" spans="1:7" s="233" customFormat="1">
      <c r="F165" s="233" t="s">
        <v>842</v>
      </c>
    </row>
    <row r="166" spans="1:7" s="233" customFormat="1">
      <c r="F166" s="423">
        <f>100000000 * F162 / 100</f>
        <v>-4125026.3218830889</v>
      </c>
    </row>
    <row r="167" spans="1:7" s="233" customFormat="1"/>
    <row r="168" spans="1:7" s="233" customFormat="1"/>
    <row r="169" spans="1:7" s="233" customFormat="1"/>
    <row r="170" spans="1:7" s="233" customFormat="1"/>
    <row r="171" spans="1:7" s="233" customFormat="1"/>
    <row r="172" spans="1:7" s="233" customFormat="1"/>
    <row r="173" spans="1:7" s="233" customFormat="1"/>
    <row r="174" spans="1:7" s="233" customFormat="1" ht="32.25">
      <c r="A174" s="433" t="s">
        <v>853</v>
      </c>
      <c r="B174" s="425"/>
      <c r="C174" s="425"/>
      <c r="D174" s="425"/>
      <c r="E174" s="425"/>
    </row>
    <row r="175" spans="1:7" s="233" customFormat="1">
      <c r="A175" s="425"/>
      <c r="B175" s="425"/>
      <c r="C175" s="425"/>
      <c r="D175" s="425"/>
      <c r="E175" s="425"/>
    </row>
    <row r="176" spans="1:7" s="233" customFormat="1">
      <c r="A176" s="427" t="s">
        <v>844</v>
      </c>
      <c r="B176" s="425"/>
      <c r="C176" s="425"/>
      <c r="D176" s="425"/>
      <c r="E176" s="425"/>
    </row>
    <row r="177" spans="1:12" s="233" customFormat="1"/>
    <row r="178" spans="1:12" s="233" customFormat="1" ht="12" thickBot="1"/>
    <row r="179" spans="1:12" s="233" customFormat="1" ht="19.5" thickBot="1">
      <c r="A179" s="426" t="s">
        <v>845</v>
      </c>
    </row>
    <row r="180" spans="1:12" s="233" customFormat="1">
      <c r="A180" s="255" t="s">
        <v>846</v>
      </c>
    </row>
    <row r="181" spans="1:12" s="233" customFormat="1">
      <c r="A181" s="255" t="s">
        <v>847</v>
      </c>
    </row>
    <row r="182" spans="1:12" s="233" customFormat="1">
      <c r="A182" s="255"/>
    </row>
    <row r="183" spans="1:12" s="233" customFormat="1">
      <c r="A183" s="255"/>
    </row>
    <row r="184" spans="1:12" s="233" customFormat="1">
      <c r="A184" s="255"/>
    </row>
    <row r="185" spans="1:12" s="233" customFormat="1">
      <c r="A185" s="255"/>
    </row>
    <row r="186" spans="1:12" s="233" customFormat="1"/>
    <row r="187" spans="1:12" s="233" customFormat="1">
      <c r="A187" s="255" t="s">
        <v>851</v>
      </c>
      <c r="F187" s="255" t="s">
        <v>851</v>
      </c>
    </row>
    <row r="188" spans="1:12" s="233" customFormat="1">
      <c r="A188" s="428" t="s">
        <v>848</v>
      </c>
      <c r="B188" s="429"/>
      <c r="F188" s="428" t="s">
        <v>858</v>
      </c>
      <c r="G188" s="429"/>
    </row>
    <row r="189" spans="1:12" s="233" customFormat="1">
      <c r="A189" s="430" t="s">
        <v>849</v>
      </c>
      <c r="B189" s="431"/>
      <c r="F189" s="430" t="s">
        <v>849</v>
      </c>
      <c r="G189" s="431"/>
    </row>
    <row r="190" spans="1:12" s="233" customFormat="1"/>
    <row r="191" spans="1:12" s="233" customFormat="1" ht="17.25">
      <c r="A191" s="10" t="s">
        <v>252</v>
      </c>
      <c r="B191" s="99"/>
      <c r="C191" s="99"/>
      <c r="D191" s="99"/>
      <c r="E191" s="99"/>
      <c r="F191" s="10" t="s">
        <v>252</v>
      </c>
      <c r="G191" s="99"/>
      <c r="H191" s="99"/>
      <c r="I191" s="99"/>
      <c r="J191" s="99"/>
      <c r="K191" s="99"/>
      <c r="L191" s="99"/>
    </row>
    <row r="192" spans="1:12" s="233" customFormat="1">
      <c r="A192" s="100" t="s">
        <v>241</v>
      </c>
      <c r="B192" s="99"/>
      <c r="C192" s="99"/>
      <c r="D192" s="99"/>
      <c r="E192" s="99"/>
      <c r="F192" s="100" t="s">
        <v>241</v>
      </c>
      <c r="G192" s="99"/>
      <c r="H192" s="99"/>
      <c r="I192" s="99"/>
      <c r="J192" s="99"/>
      <c r="K192" s="99"/>
      <c r="L192" s="99"/>
    </row>
    <row r="193" spans="1:12" s="233" customFormat="1" ht="13.5">
      <c r="A193" s="13" t="s">
        <v>27</v>
      </c>
      <c r="B193" s="9" t="s">
        <v>4</v>
      </c>
      <c r="C193" s="25" t="s">
        <v>30</v>
      </c>
      <c r="D193" s="145" t="s">
        <v>47</v>
      </c>
      <c r="E193" s="99"/>
      <c r="F193" s="13" t="s">
        <v>27</v>
      </c>
      <c r="G193" s="9" t="s">
        <v>4</v>
      </c>
      <c r="H193" s="25" t="s">
        <v>30</v>
      </c>
      <c r="I193" s="25"/>
      <c r="J193" s="145" t="s">
        <v>47</v>
      </c>
      <c r="K193" s="460"/>
      <c r="L193" s="99"/>
    </row>
    <row r="194" spans="1:12" s="233" customFormat="1" ht="13.5">
      <c r="A194" s="34">
        <f>100 / ( ( 1 + D194/C194 )^(B194*C194) )</f>
        <v>94.259590913375433</v>
      </c>
      <c r="B194" s="8">
        <v>2</v>
      </c>
      <c r="C194" s="8">
        <v>1</v>
      </c>
      <c r="D194" s="11">
        <v>0.03</v>
      </c>
      <c r="E194" s="99" t="s">
        <v>235</v>
      </c>
      <c r="F194" s="34">
        <f>100 / ( ( 1 + J194/H194 )^(G194*H194) )</f>
        <v>74.409391489672515</v>
      </c>
      <c r="G194" s="8">
        <v>10</v>
      </c>
      <c r="H194" s="8">
        <v>1</v>
      </c>
      <c r="I194" s="8"/>
      <c r="J194" s="11">
        <v>0.03</v>
      </c>
      <c r="K194" s="80"/>
      <c r="L194" s="99" t="s">
        <v>235</v>
      </c>
    </row>
    <row r="195" spans="1:12" s="233" customFormat="1" ht="13.5">
      <c r="A195" s="34">
        <f>100 / ( ( 1 + D195/C195 )^(B195*C195) )</f>
        <v>94.241290745304511</v>
      </c>
      <c r="B195" s="8">
        <v>2</v>
      </c>
      <c r="C195" s="8">
        <v>1</v>
      </c>
      <c r="D195" s="11">
        <v>3.0099999999999998E-2</v>
      </c>
      <c r="E195" s="99" t="s">
        <v>235</v>
      </c>
      <c r="F195" s="34">
        <f>100 / ( ( 1 + J195/H195 )^(G195*H195) )</f>
        <v>74.337187922929829</v>
      </c>
      <c r="G195" s="8">
        <v>10</v>
      </c>
      <c r="H195" s="8">
        <v>1</v>
      </c>
      <c r="I195" s="8"/>
      <c r="J195" s="11">
        <v>3.0099999999999998E-2</v>
      </c>
      <c r="K195" s="80"/>
      <c r="L195" s="99" t="s">
        <v>235</v>
      </c>
    </row>
    <row r="196" spans="1:12" s="233" customFormat="1"/>
    <row r="197" spans="1:12" s="233" customFormat="1">
      <c r="A197" s="234" t="s">
        <v>850</v>
      </c>
      <c r="B197" s="234" t="s">
        <v>855</v>
      </c>
      <c r="F197" s="234" t="s">
        <v>850</v>
      </c>
      <c r="G197" s="234" t="s">
        <v>855</v>
      </c>
    </row>
    <row r="198" spans="1:12" s="233" customFormat="1">
      <c r="A198" s="233" t="s">
        <v>854</v>
      </c>
      <c r="B198" s="88" t="s">
        <v>856</v>
      </c>
      <c r="F198" s="233" t="s">
        <v>859</v>
      </c>
      <c r="G198" s="88" t="s">
        <v>856</v>
      </c>
    </row>
    <row r="199" spans="1:12" s="233" customFormat="1">
      <c r="A199" s="434">
        <f>A195-A194</f>
        <v>-1.8300168070922496E-2</v>
      </c>
      <c r="B199" s="276">
        <f>A199*10</f>
        <v>-0.18300168070922496</v>
      </c>
      <c r="C199" s="255" t="s">
        <v>857</v>
      </c>
      <c r="F199" s="434">
        <f>F195-F194</f>
        <v>-7.2203566742686576E-2</v>
      </c>
      <c r="G199" s="276">
        <f>F199*10</f>
        <v>-0.72203566742686576</v>
      </c>
      <c r="H199" s="255" t="s">
        <v>857</v>
      </c>
      <c r="I199" s="255"/>
    </row>
    <row r="200" spans="1:12" s="233" customFormat="1"/>
    <row r="201" spans="1:12" s="233" customFormat="1"/>
    <row r="202" spans="1:12" s="233" customFormat="1"/>
    <row r="203" spans="1:12" s="233" customFormat="1" ht="14.25">
      <c r="C203" s="435" t="s">
        <v>860</v>
      </c>
    </row>
    <row r="204" spans="1:12" s="233" customFormat="1" ht="21">
      <c r="C204" s="444" t="s">
        <v>861</v>
      </c>
      <c r="D204" s="446"/>
      <c r="E204" s="446"/>
    </row>
    <row r="205" spans="1:12" s="233" customFormat="1" ht="21">
      <c r="C205" s="447" t="s">
        <v>862</v>
      </c>
      <c r="D205" s="446"/>
      <c r="E205" s="446"/>
    </row>
    <row r="206" spans="1:12" s="233" customFormat="1" ht="21">
      <c r="C206" s="447" t="s">
        <v>863</v>
      </c>
      <c r="D206" s="446"/>
      <c r="E206" s="446"/>
    </row>
    <row r="207" spans="1:12" s="233" customFormat="1"/>
    <row r="208" spans="1:12" s="233" customFormat="1"/>
    <row r="209" spans="1:5" s="233" customFormat="1"/>
    <row r="210" spans="1:5" s="233" customFormat="1"/>
    <row r="211" spans="1:5" s="233" customFormat="1"/>
    <row r="212" spans="1:5" s="233" customFormat="1"/>
    <row r="213" spans="1:5" s="233" customFormat="1" ht="32.25">
      <c r="A213" s="433" t="s">
        <v>864</v>
      </c>
      <c r="B213" s="425"/>
      <c r="C213" s="425"/>
      <c r="D213" s="425"/>
      <c r="E213" s="425"/>
    </row>
    <row r="214" spans="1:5" s="233" customFormat="1">
      <c r="A214" s="425"/>
      <c r="B214" s="425"/>
      <c r="C214" s="425"/>
      <c r="D214" s="425"/>
      <c r="E214" s="425"/>
    </row>
    <row r="215" spans="1:5" s="233" customFormat="1">
      <c r="A215" s="427" t="s">
        <v>865</v>
      </c>
      <c r="B215" s="425"/>
      <c r="C215" s="425"/>
      <c r="D215" s="425"/>
      <c r="E215" s="425"/>
    </row>
    <row r="216" spans="1:5" s="233" customFormat="1">
      <c r="B216" s="436"/>
      <c r="C216" s="436"/>
    </row>
    <row r="217" spans="1:5" s="233" customFormat="1">
      <c r="A217" s="255" t="s">
        <v>866</v>
      </c>
    </row>
    <row r="218" spans="1:5" s="233" customFormat="1" ht="21">
      <c r="A218" s="444" t="s">
        <v>879</v>
      </c>
      <c r="B218" s="445"/>
      <c r="C218" s="445"/>
      <c r="D218" s="445"/>
    </row>
    <row r="219" spans="1:5" s="233" customFormat="1"/>
    <row r="220" spans="1:5" s="233" customFormat="1" ht="12" thickBot="1">
      <c r="A220" s="255" t="s">
        <v>867</v>
      </c>
    </row>
    <row r="221" spans="1:5" s="233" customFormat="1" ht="19.5" thickBot="1">
      <c r="A221" s="450" t="s">
        <v>845</v>
      </c>
    </row>
    <row r="222" spans="1:5" s="233" customFormat="1"/>
    <row r="223" spans="1:5" s="233" customFormat="1" ht="12" thickBot="1">
      <c r="A223" s="255" t="s">
        <v>869</v>
      </c>
    </row>
    <row r="224" spans="1:5" s="233" customFormat="1" ht="19.5" thickBot="1">
      <c r="A224" s="438" t="s">
        <v>868</v>
      </c>
      <c r="B224" s="437"/>
    </row>
    <row r="225" spans="1:7" s="233" customFormat="1"/>
    <row r="226" spans="1:7" s="233" customFormat="1" ht="12" thickBot="1">
      <c r="A226" s="255" t="s">
        <v>870</v>
      </c>
    </row>
    <row r="227" spans="1:7" s="233" customFormat="1" ht="19.5" thickBot="1">
      <c r="A227" s="438" t="s">
        <v>871</v>
      </c>
      <c r="B227" s="437"/>
    </row>
    <row r="228" spans="1:7" s="233" customFormat="1"/>
    <row r="229" spans="1:7" s="233" customFormat="1" ht="12" thickBot="1">
      <c r="A229" s="255" t="s">
        <v>872</v>
      </c>
    </row>
    <row r="230" spans="1:7" s="233" customFormat="1" ht="18" thickBot="1">
      <c r="A230" s="442" t="s">
        <v>873</v>
      </c>
      <c r="B230" s="440"/>
      <c r="C230" s="440"/>
      <c r="D230" s="441"/>
      <c r="E230" s="437"/>
    </row>
    <row r="231" spans="1:7" s="233" customFormat="1" ht="17.25">
      <c r="A231" s="439"/>
      <c r="B231" s="439"/>
      <c r="C231" s="439"/>
    </row>
    <row r="232" spans="1:7" s="233" customFormat="1" ht="12" thickBot="1">
      <c r="A232" s="255" t="s">
        <v>874</v>
      </c>
    </row>
    <row r="233" spans="1:7" s="233" customFormat="1" ht="18" thickBot="1">
      <c r="A233" s="442" t="s">
        <v>875</v>
      </c>
      <c r="B233" s="441"/>
      <c r="C233" s="441"/>
      <c r="D233" s="441"/>
      <c r="E233" s="437"/>
      <c r="F233" s="441"/>
      <c r="G233" s="437"/>
    </row>
    <row r="234" spans="1:7" s="233" customFormat="1"/>
    <row r="235" spans="1:7" s="233" customFormat="1"/>
    <row r="236" spans="1:7" s="233" customFormat="1" ht="32.25">
      <c r="A236" s="433" t="s">
        <v>876</v>
      </c>
      <c r="B236" s="425"/>
      <c r="C236" s="425"/>
      <c r="D236" s="425"/>
      <c r="E236" s="425"/>
    </row>
    <row r="237" spans="1:7" s="233" customFormat="1">
      <c r="A237" s="425"/>
      <c r="B237" s="425"/>
      <c r="C237" s="425"/>
      <c r="D237" s="425"/>
      <c r="E237" s="425"/>
    </row>
    <row r="238" spans="1:7" s="233" customFormat="1">
      <c r="A238" s="427" t="s">
        <v>877</v>
      </c>
      <c r="B238" s="425"/>
      <c r="C238" s="425"/>
      <c r="D238" s="425"/>
      <c r="E238" s="425"/>
    </row>
    <row r="239" spans="1:7" s="233" customFormat="1" ht="12" thickBot="1"/>
    <row r="240" spans="1:7" s="233" customFormat="1" ht="29.25" thickBot="1">
      <c r="A240" s="443" t="s">
        <v>878</v>
      </c>
      <c r="B240" s="437"/>
    </row>
    <row r="242" spans="1:5" s="233" customFormat="1">
      <c r="A242" s="255" t="s">
        <v>880</v>
      </c>
    </row>
    <row r="243" spans="1:5" s="233" customFormat="1" ht="21">
      <c r="A243" s="444" t="s">
        <v>881</v>
      </c>
      <c r="B243" s="445"/>
      <c r="C243" s="445"/>
      <c r="D243" s="445"/>
    </row>
    <row r="248" spans="1:5" s="233" customFormat="1" ht="32.25">
      <c r="A248" s="433" t="s">
        <v>882</v>
      </c>
      <c r="B248" s="425"/>
      <c r="C248" s="425"/>
      <c r="D248" s="425"/>
      <c r="E248" s="425"/>
    </row>
    <row r="249" spans="1:5" s="233" customFormat="1">
      <c r="A249" s="425"/>
      <c r="B249" s="425"/>
      <c r="C249" s="425"/>
      <c r="D249" s="425"/>
      <c r="E249" s="425"/>
    </row>
    <row r="250" spans="1:5" s="233" customFormat="1">
      <c r="A250" s="427" t="s">
        <v>883</v>
      </c>
      <c r="B250" s="425"/>
      <c r="C250" s="425"/>
      <c r="D250" s="425"/>
      <c r="E250" s="425"/>
    </row>
    <row r="251" spans="1:5" s="233" customFormat="1" ht="12" thickBot="1"/>
    <row r="252" spans="1:5" s="233" customFormat="1" ht="29.25" thickBot="1">
      <c r="A252" s="443" t="s">
        <v>884</v>
      </c>
      <c r="B252" s="437"/>
    </row>
    <row r="254" spans="1:5" s="233" customFormat="1">
      <c r="A254" s="255" t="s">
        <v>885</v>
      </c>
    </row>
    <row r="255" spans="1:5" s="233" customFormat="1" ht="21">
      <c r="A255" s="444" t="s">
        <v>886</v>
      </c>
      <c r="B255" s="445"/>
      <c r="C255" s="445"/>
      <c r="D255" s="445"/>
    </row>
    <row r="256" spans="1:5" ht="21">
      <c r="A256" s="444" t="s">
        <v>887</v>
      </c>
    </row>
    <row r="259" spans="1:5" ht="32.25">
      <c r="A259" s="433" t="s">
        <v>888</v>
      </c>
      <c r="B259" s="425"/>
      <c r="C259" s="425"/>
      <c r="D259" s="425"/>
      <c r="E259" s="425"/>
    </row>
    <row r="260" spans="1:5">
      <c r="A260" s="425"/>
      <c r="B260" s="425"/>
      <c r="C260" s="425"/>
      <c r="D260" s="425"/>
      <c r="E260" s="425"/>
    </row>
    <row r="261" spans="1:5">
      <c r="A261" s="427" t="s">
        <v>889</v>
      </c>
      <c r="B261" s="425"/>
      <c r="C261" s="425"/>
      <c r="D261" s="425"/>
      <c r="E261" s="425"/>
    </row>
    <row r="263" spans="1:5" ht="12" thickBot="1">
      <c r="A263" s="255" t="s">
        <v>867</v>
      </c>
      <c r="B263" s="233"/>
    </row>
    <row r="264" spans="1:5" ht="19.5" thickBot="1">
      <c r="A264" s="450" t="s">
        <v>845</v>
      </c>
      <c r="B264" s="233"/>
    </row>
    <row r="265" spans="1:5">
      <c r="A265" s="233"/>
      <c r="B265" s="233"/>
    </row>
    <row r="266" spans="1:5" ht="12" thickBot="1">
      <c r="A266" s="255" t="s">
        <v>869</v>
      </c>
      <c r="B266" s="233"/>
    </row>
    <row r="267" spans="1:5" ht="19.5" thickBot="1">
      <c r="A267" s="451" t="s">
        <v>891</v>
      </c>
      <c r="B267" s="452"/>
    </row>
    <row r="269" spans="1:5" ht="12" thickBot="1">
      <c r="A269" s="255" t="s">
        <v>890</v>
      </c>
      <c r="B269" s="233"/>
    </row>
    <row r="270" spans="1:5" ht="19.5" thickBot="1">
      <c r="A270" s="438" t="s">
        <v>892</v>
      </c>
      <c r="B270" s="437"/>
      <c r="C270" s="340"/>
      <c r="D270" s="341"/>
    </row>
    <row r="273" spans="1:14">
      <c r="A273" s="87" t="s">
        <v>893</v>
      </c>
    </row>
    <row r="274" spans="1:14" ht="12" thickBot="1"/>
    <row r="275" spans="1:14" ht="19.5" thickBot="1">
      <c r="A275" s="448" t="s">
        <v>894</v>
      </c>
      <c r="B275" s="449"/>
      <c r="C275" s="449"/>
      <c r="D275" s="449"/>
      <c r="E275" s="449"/>
      <c r="F275" s="340"/>
      <c r="G275" s="341"/>
    </row>
    <row r="279" spans="1:14">
      <c r="A279" s="87" t="s">
        <v>895</v>
      </c>
    </row>
    <row r="280" spans="1:14">
      <c r="A280" s="278" t="s">
        <v>896</v>
      </c>
      <c r="B280" s="280"/>
    </row>
    <row r="281" spans="1:14">
      <c r="A281" s="281" t="s">
        <v>897</v>
      </c>
      <c r="B281" s="283"/>
    </row>
    <row r="282" spans="1:14">
      <c r="A282" s="281"/>
      <c r="B282" s="283"/>
    </row>
    <row r="283" spans="1:14">
      <c r="A283" s="281" t="s">
        <v>898</v>
      </c>
      <c r="B283" s="283"/>
      <c r="F283" s="87" t="s">
        <v>909</v>
      </c>
    </row>
    <row r="284" spans="1:14">
      <c r="A284" s="284" t="s">
        <v>899</v>
      </c>
      <c r="B284" s="286"/>
    </row>
    <row r="286" spans="1:14" ht="14.25">
      <c r="B286" s="453" t="s">
        <v>907</v>
      </c>
    </row>
    <row r="287" spans="1:14">
      <c r="B287" s="25" t="s">
        <v>900</v>
      </c>
      <c r="C287" s="25" t="s">
        <v>901</v>
      </c>
      <c r="D287" s="25" t="s">
        <v>903</v>
      </c>
      <c r="E287" s="454" t="s">
        <v>905</v>
      </c>
      <c r="F287" s="454" t="s">
        <v>904</v>
      </c>
      <c r="G287" s="454" t="s">
        <v>908</v>
      </c>
      <c r="H287" s="455" t="s">
        <v>864</v>
      </c>
      <c r="I287" s="455" t="s">
        <v>910</v>
      </c>
      <c r="J287" s="455" t="s">
        <v>876</v>
      </c>
      <c r="K287" s="455" t="s">
        <v>911</v>
      </c>
      <c r="L287" s="455" t="s">
        <v>902</v>
      </c>
      <c r="M287" s="234" t="s">
        <v>888</v>
      </c>
      <c r="N287" s="234" t="s">
        <v>906</v>
      </c>
    </row>
    <row r="288" spans="1:14">
      <c r="B288" s="88">
        <v>2</v>
      </c>
      <c r="C288" s="91">
        <v>0.03</v>
      </c>
      <c r="D288" s="91">
        <v>1E-3</v>
      </c>
      <c r="E288" s="276">
        <f xml:space="preserve"> 100 / ( ( 1 + C288 ) ^ B288 )</f>
        <v>94.259590913375433</v>
      </c>
      <c r="F288" s="276">
        <f xml:space="preserve"> 100 / ( ( 1 + C288 + D288) ^ B288 )</f>
        <v>94.076828782993942</v>
      </c>
      <c r="G288" s="456">
        <f>F288-E288</f>
        <v>-0.18276213038149081</v>
      </c>
      <c r="H288" s="276">
        <f xml:space="preserve"> ( - 1 * B288 * 100 ) / ( ( 1 + C288 ) ^ (B288 + 1))</f>
        <v>-183.02833187063192</v>
      </c>
      <c r="I288" s="456">
        <f>D288*H288</f>
        <v>-0.18302833187063192</v>
      </c>
      <c r="J288" s="276">
        <f xml:space="preserve"> (-1 * H288 ) / E288</f>
        <v>1.941747572815534</v>
      </c>
      <c r="K288" s="461">
        <f>-1 * D288 * J288</f>
        <v>-1.9417475728155341E-3</v>
      </c>
      <c r="L288" s="276">
        <f xml:space="preserve"> ( 1 + C288 ) * J288</f>
        <v>2</v>
      </c>
      <c r="M288" s="276">
        <f xml:space="preserve"> ( B288 * (B288+1) * 100 ) / ( ( 1 + C288 ) ^ (B288+2) )</f>
        <v>533.09222874941338</v>
      </c>
      <c r="N288" s="457">
        <f>D288 * H288  +  (1/2) * (D288^2) * M288</f>
        <v>-0.18276178575625721</v>
      </c>
    </row>
    <row r="289" spans="1:14">
      <c r="B289" s="88">
        <v>2</v>
      </c>
      <c r="C289" s="91">
        <v>0.03</v>
      </c>
      <c r="D289" s="91">
        <v>5.0000000000000001E-3</v>
      </c>
      <c r="E289" s="276">
        <f xml:space="preserve"> 100 / ( ( 1 + C289 ) ^ B289 )</f>
        <v>94.259590913375433</v>
      </c>
      <c r="F289" s="276">
        <f xml:space="preserve"> 100 / ( ( 1 + C289 + D289) ^ B289 )</f>
        <v>93.351070036640309</v>
      </c>
      <c r="G289" s="456">
        <f>F289-E289</f>
        <v>-0.90852087673512472</v>
      </c>
      <c r="H289" s="276">
        <f xml:space="preserve"> ( - 1 * B289 * 100 ) / ( ( 1 + C289 ) ^ (B289 + 1))</f>
        <v>-183.02833187063192</v>
      </c>
      <c r="I289" s="456">
        <f>D289*H289</f>
        <v>-0.91514165935315961</v>
      </c>
      <c r="J289" s="276">
        <f xml:space="preserve"> (-1 * H289 ) / E289</f>
        <v>1.941747572815534</v>
      </c>
      <c r="K289" s="461">
        <f>-1 * D289 * J289</f>
        <v>-9.7087378640776708E-3</v>
      </c>
      <c r="L289" s="276">
        <f xml:space="preserve"> ( 1 + C289 ) * J289</f>
        <v>2</v>
      </c>
      <c r="M289" s="276">
        <f xml:space="preserve"> ( B289 * (B289+1) * 100 ) / ( ( 1 + C289 ) ^ (B289+2) )</f>
        <v>533.09222874941338</v>
      </c>
      <c r="N289" s="457">
        <f>D289 * H289  +  (1/2) * (D289^2) * M289</f>
        <v>-0.90847800649379196</v>
      </c>
    </row>
    <row r="290" spans="1:14">
      <c r="B290" s="88">
        <v>4</v>
      </c>
      <c r="C290" s="91">
        <v>0.03</v>
      </c>
      <c r="D290" s="91">
        <v>1E-3</v>
      </c>
      <c r="E290" s="276">
        <f xml:space="preserve"> 100 / ( ( 1 + C290 ) ^ B290 )</f>
        <v>88.848704791568892</v>
      </c>
      <c r="F290" s="276">
        <f xml:space="preserve"> 100 / ( ( 1 + C290 + D290) ^ B290 )</f>
        <v>88.504497138647551</v>
      </c>
      <c r="G290" s="456">
        <f>F290-E290</f>
        <v>-0.34420765292134092</v>
      </c>
      <c r="H290" s="276">
        <f xml:space="preserve"> ( - 1 * B290 * 100 ) / ( ( 1 + C290 ) ^ (B290 + 1))</f>
        <v>-345.04351375366565</v>
      </c>
      <c r="I290" s="456">
        <f>D290*H290</f>
        <v>-0.34504351375366565</v>
      </c>
      <c r="J290" s="276">
        <f xml:space="preserve"> (-1 * H290 ) / E290</f>
        <v>3.8834951456310685</v>
      </c>
      <c r="K290" s="461">
        <f>-1 * D290 * J290</f>
        <v>-3.8834951456310687E-3</v>
      </c>
      <c r="L290" s="276">
        <f xml:space="preserve"> ( 1 + C290 ) * J290</f>
        <v>4.0000000000000009</v>
      </c>
      <c r="M290" s="276">
        <f xml:space="preserve"> ( B290 * (B290+1) * 100 ) / ( ( 1 + C290 ) ^ (B290+2) )</f>
        <v>1674.9685133673088</v>
      </c>
      <c r="N290" s="457">
        <f>D290 * H290  +  (1/2) * (D290^2) * M290</f>
        <v>-0.34420602949698198</v>
      </c>
    </row>
    <row r="291" spans="1:14">
      <c r="B291" s="88">
        <v>4</v>
      </c>
      <c r="C291" s="91">
        <v>0.03</v>
      </c>
      <c r="D291" s="91">
        <v>5.0000000000000001E-3</v>
      </c>
      <c r="E291" s="276">
        <f xml:space="preserve"> 100 / ( ( 1 + C291 ) ^ B291 )</f>
        <v>88.848704791568892</v>
      </c>
      <c r="F291" s="276">
        <f xml:space="preserve"> 100 / ( ( 1 + C291 + D291) ^ B291 )</f>
        <v>87.144222769857237</v>
      </c>
      <c r="G291" s="456">
        <f>F291-E291</f>
        <v>-1.7044820217116552</v>
      </c>
      <c r="H291" s="276">
        <f xml:space="preserve"> ( - 1 * B291 * 100 ) / ( ( 1 + C291 ) ^ (B291 + 1))</f>
        <v>-345.04351375366565</v>
      </c>
      <c r="I291" s="456">
        <f>D291*H291</f>
        <v>-1.7252175687683282</v>
      </c>
      <c r="J291" s="276">
        <f xml:space="preserve"> (-1 * H291 ) / E291</f>
        <v>3.8834951456310685</v>
      </c>
      <c r="K291" s="461">
        <f>-1 * D291 * J291</f>
        <v>-1.9417475728155342E-2</v>
      </c>
      <c r="L291" s="276">
        <f xml:space="preserve"> ( 1 + C291 ) * J291</f>
        <v>4.0000000000000009</v>
      </c>
      <c r="M291" s="276">
        <f xml:space="preserve"> ( B291 * (B291+1) * 100 ) / ( ( 1 + C291 ) ^ (B291+2) )</f>
        <v>1674.9685133673088</v>
      </c>
      <c r="N291" s="457">
        <f>D291 * H291  +  (1/2) * (D291^2) * M291</f>
        <v>-1.7042804623512369</v>
      </c>
    </row>
    <row r="296" spans="1:14" s="387" customFormat="1"/>
    <row r="298" spans="1:14" ht="30.75">
      <c r="A298" s="72" t="s">
        <v>914</v>
      </c>
    </row>
    <row r="300" spans="1:14">
      <c r="A300" s="87" t="s">
        <v>915</v>
      </c>
    </row>
    <row r="301" spans="1:14">
      <c r="B301" s="25"/>
      <c r="C301" s="25" t="s">
        <v>919</v>
      </c>
      <c r="D301" s="25" t="s">
        <v>920</v>
      </c>
    </row>
    <row r="302" spans="1:14">
      <c r="B302" s="25" t="s">
        <v>916</v>
      </c>
      <c r="C302" s="88">
        <v>0.3</v>
      </c>
      <c r="D302" s="88" t="s">
        <v>921</v>
      </c>
    </row>
    <row r="303" spans="1:14">
      <c r="B303" s="25" t="s">
        <v>917</v>
      </c>
      <c r="C303" s="88">
        <v>0.5</v>
      </c>
      <c r="D303" s="88" t="s">
        <v>922</v>
      </c>
    </row>
    <row r="304" spans="1:14">
      <c r="B304" s="25" t="s">
        <v>918</v>
      </c>
      <c r="C304" s="88">
        <v>0.2</v>
      </c>
      <c r="D304" s="88" t="s">
        <v>923</v>
      </c>
    </row>
    <row r="305" spans="1:4" ht="12" thickBot="1"/>
    <row r="306" spans="1:4" ht="17.25">
      <c r="A306" s="469" t="s">
        <v>924</v>
      </c>
      <c r="B306" s="378"/>
      <c r="C306" s="267"/>
    </row>
    <row r="307" spans="1:4" ht="18" thickBot="1">
      <c r="A307" s="470" t="s">
        <v>925</v>
      </c>
      <c r="B307" s="380"/>
      <c r="C307" s="271"/>
    </row>
    <row r="310" spans="1:4">
      <c r="A310" s="87" t="s">
        <v>926</v>
      </c>
    </row>
    <row r="312" spans="1:4" ht="17.25">
      <c r="A312" s="10" t="s">
        <v>927</v>
      </c>
      <c r="B312" s="10"/>
      <c r="C312" s="10"/>
    </row>
    <row r="313" spans="1:4" ht="17.25">
      <c r="A313" s="10" t="s">
        <v>928</v>
      </c>
      <c r="B313" s="10"/>
      <c r="C313" s="10"/>
    </row>
    <row r="316" spans="1:4" ht="12" thickBot="1"/>
    <row r="317" spans="1:4" ht="32.25">
      <c r="A317" s="471" t="s">
        <v>929</v>
      </c>
      <c r="B317" s="378"/>
      <c r="C317" s="378"/>
      <c r="D317" s="267"/>
    </row>
    <row r="318" spans="1:4" ht="32.25">
      <c r="A318" s="472"/>
      <c r="B318" s="229"/>
      <c r="C318" s="229"/>
      <c r="D318" s="269"/>
    </row>
    <row r="319" spans="1:4" ht="33" thickBot="1">
      <c r="A319" s="473" t="s">
        <v>930</v>
      </c>
      <c r="B319" s="380"/>
      <c r="C319" s="380"/>
      <c r="D319" s="271"/>
    </row>
    <row r="320" spans="1:4">
      <c r="A320" s="87" t="s">
        <v>931</v>
      </c>
    </row>
    <row r="322" spans="1:6" ht="12" thickBot="1"/>
    <row r="323" spans="1:6" ht="18.75">
      <c r="A323" s="474" t="s">
        <v>932</v>
      </c>
      <c r="B323" s="378"/>
      <c r="C323" s="378"/>
      <c r="D323" s="267"/>
    </row>
    <row r="324" spans="1:6" ht="19.5" thickBot="1">
      <c r="A324" s="475" t="s">
        <v>933</v>
      </c>
      <c r="B324" s="380"/>
      <c r="C324" s="380"/>
      <c r="D324" s="271"/>
    </row>
    <row r="326" spans="1:6" ht="12" thickBot="1"/>
    <row r="327" spans="1:6" ht="21">
      <c r="A327" s="476" t="s">
        <v>934</v>
      </c>
      <c r="B327" s="477"/>
      <c r="C327" s="477" t="s">
        <v>942</v>
      </c>
      <c r="D327" s="477"/>
      <c r="E327" s="378"/>
      <c r="F327" s="267"/>
    </row>
    <row r="328" spans="1:6" ht="21.75" thickBot="1">
      <c r="A328" s="478" t="s">
        <v>935</v>
      </c>
      <c r="B328" s="479"/>
      <c r="C328" s="479"/>
      <c r="D328" s="479"/>
      <c r="E328" s="380"/>
      <c r="F328" s="271"/>
    </row>
    <row r="330" spans="1:6" ht="17.25">
      <c r="A330" s="10" t="s">
        <v>943</v>
      </c>
      <c r="B330" s="10"/>
      <c r="C330" s="10"/>
    </row>
    <row r="331" spans="1:6" ht="17.25">
      <c r="A331" s="10"/>
      <c r="B331" s="10"/>
      <c r="C331" s="10"/>
    </row>
    <row r="332" spans="1:6" ht="17.25">
      <c r="A332" s="10" t="s">
        <v>941</v>
      </c>
      <c r="B332" s="10"/>
      <c r="C332" s="10"/>
    </row>
    <row r="333" spans="1:6" ht="17.25">
      <c r="A333" s="10"/>
      <c r="B333" s="10"/>
      <c r="C333" s="10"/>
    </row>
    <row r="334" spans="1:6" ht="17.25">
      <c r="A334" s="10" t="s">
        <v>944</v>
      </c>
      <c r="B334" s="10"/>
      <c r="C334" s="10"/>
    </row>
    <row r="340" spans="1:7">
      <c r="A340" s="278" t="s">
        <v>936</v>
      </c>
      <c r="B340" s="279"/>
      <c r="C340" s="279"/>
      <c r="D340" s="279"/>
      <c r="E340" s="279"/>
      <c r="F340" s="279"/>
      <c r="G340" s="280"/>
    </row>
    <row r="341" spans="1:7">
      <c r="A341" s="281" t="s">
        <v>938</v>
      </c>
      <c r="B341" s="282"/>
      <c r="C341" s="282"/>
      <c r="D341" s="282"/>
      <c r="E341" s="282"/>
      <c r="F341" s="282"/>
      <c r="G341" s="283"/>
    </row>
    <row r="342" spans="1:7">
      <c r="A342" s="281" t="s">
        <v>937</v>
      </c>
      <c r="B342" s="282"/>
      <c r="C342" s="282"/>
      <c r="D342" s="282"/>
      <c r="E342" s="282"/>
      <c r="F342" s="282"/>
      <c r="G342" s="283"/>
    </row>
    <row r="343" spans="1:7">
      <c r="A343" s="281"/>
      <c r="B343" s="282"/>
      <c r="C343" s="282"/>
      <c r="D343" s="282"/>
      <c r="E343" s="282"/>
      <c r="F343" s="282"/>
      <c r="G343" s="283"/>
    </row>
    <row r="344" spans="1:7">
      <c r="A344" s="281" t="s">
        <v>940</v>
      </c>
      <c r="B344" s="282"/>
      <c r="C344" s="282"/>
      <c r="D344" s="282"/>
      <c r="E344" s="282"/>
      <c r="F344" s="282"/>
      <c r="G344" s="283"/>
    </row>
    <row r="345" spans="1:7">
      <c r="A345" s="281" t="s">
        <v>939</v>
      </c>
      <c r="B345" s="282"/>
      <c r="C345" s="282"/>
      <c r="D345" s="282"/>
      <c r="E345" s="282"/>
      <c r="F345" s="282"/>
      <c r="G345" s="283"/>
    </row>
    <row r="346" spans="1:7">
      <c r="A346" s="284"/>
      <c r="B346" s="285"/>
      <c r="C346" s="285"/>
      <c r="D346" s="285"/>
      <c r="E346" s="285"/>
      <c r="F346" s="285"/>
      <c r="G346" s="286"/>
    </row>
    <row r="348" spans="1:7">
      <c r="A348" s="483" t="s">
        <v>945</v>
      </c>
      <c r="B348" s="482" t="s">
        <v>946</v>
      </c>
      <c r="C348" s="482" t="s">
        <v>917</v>
      </c>
      <c r="D348" s="482" t="s">
        <v>918</v>
      </c>
    </row>
    <row r="349" spans="1:7">
      <c r="A349" s="481">
        <v>41180</v>
      </c>
      <c r="B349" s="207"/>
      <c r="C349" s="207"/>
      <c r="D349" s="207"/>
    </row>
    <row r="350" spans="1:7">
      <c r="A350" s="481">
        <v>41181</v>
      </c>
      <c r="B350" s="207">
        <v>-0.21762999999999999</v>
      </c>
      <c r="C350" s="207">
        <v>-1.67763</v>
      </c>
      <c r="D350" s="207">
        <v>0.19342400000000001</v>
      </c>
    </row>
    <row r="351" spans="1:7">
      <c r="A351" s="481">
        <v>41182</v>
      </c>
      <c r="B351" s="207">
        <v>1.199864</v>
      </c>
      <c r="C351" s="207">
        <v>0.16728000000000001</v>
      </c>
      <c r="D351" s="207">
        <v>0.19305</v>
      </c>
    </row>
    <row r="352" spans="1:7">
      <c r="A352" s="481">
        <v>41183</v>
      </c>
      <c r="B352" s="207">
        <v>0.10775899999999999</v>
      </c>
      <c r="C352" s="207">
        <v>0.36740099999999998</v>
      </c>
      <c r="D352" s="207">
        <v>-0.19267999999999999</v>
      </c>
    </row>
    <row r="353" spans="1:4">
      <c r="A353" s="481">
        <v>41184</v>
      </c>
      <c r="B353" s="207">
        <v>-0.75349999999999995</v>
      </c>
      <c r="C353" s="207">
        <v>2.9950079999999999</v>
      </c>
      <c r="D353" s="207">
        <v>1.351351</v>
      </c>
    </row>
    <row r="354" spans="1:4">
      <c r="A354" s="481">
        <v>41185</v>
      </c>
      <c r="B354" s="207">
        <v>2.819957</v>
      </c>
      <c r="C354" s="207">
        <v>-1.61551</v>
      </c>
      <c r="D354" s="207">
        <v>-0.19048000000000001</v>
      </c>
    </row>
    <row r="355" spans="1:4">
      <c r="A355" s="481">
        <v>41186</v>
      </c>
      <c r="B355" s="207">
        <v>-3.5865</v>
      </c>
      <c r="C355" s="207">
        <v>-1.47783</v>
      </c>
      <c r="D355" s="207">
        <v>-1.1450400000000001</v>
      </c>
    </row>
    <row r="356" spans="1:4">
      <c r="A356" s="481">
        <v>41187</v>
      </c>
      <c r="B356" s="207">
        <v>-1.8599600000000001</v>
      </c>
      <c r="C356" s="207">
        <v>-1.9</v>
      </c>
      <c r="D356" s="207">
        <v>1.158301</v>
      </c>
    </row>
    <row r="357" spans="1:4">
      <c r="A357" s="481">
        <v>41188</v>
      </c>
      <c r="B357" s="207">
        <v>-0.89185999999999999</v>
      </c>
      <c r="C357" s="207">
        <v>-1.3591599999999999</v>
      </c>
      <c r="D357" s="207">
        <v>2.099237</v>
      </c>
    </row>
    <row r="358" spans="1:4">
      <c r="A358" s="481">
        <v>41189</v>
      </c>
      <c r="B358" s="207">
        <v>2.1372330000000002</v>
      </c>
      <c r="C358" s="207">
        <v>1.0678609999999999</v>
      </c>
      <c r="D358" s="207">
        <v>0</v>
      </c>
    </row>
    <row r="359" spans="1:4">
      <c r="A359" s="481">
        <v>41190</v>
      </c>
      <c r="B359" s="207">
        <v>0.77092499999999997</v>
      </c>
      <c r="C359" s="207">
        <v>2.0790730000000002</v>
      </c>
      <c r="D359" s="207">
        <v>0.186916</v>
      </c>
    </row>
    <row r="360" spans="1:4">
      <c r="A360" s="480"/>
    </row>
    <row r="361" spans="1:4">
      <c r="A361" s="480" t="s">
        <v>947</v>
      </c>
      <c r="B361" s="482" t="s">
        <v>946</v>
      </c>
      <c r="C361" s="482" t="s">
        <v>917</v>
      </c>
      <c r="D361" s="482" t="s">
        <v>918</v>
      </c>
    </row>
    <row r="362" spans="1:4">
      <c r="A362" s="480"/>
      <c r="B362" s="207">
        <v>0.3</v>
      </c>
      <c r="C362" s="207">
        <v>0.5</v>
      </c>
      <c r="D362" s="207">
        <v>0.2</v>
      </c>
    </row>
    <row r="363" spans="1:4">
      <c r="A363" s="480"/>
      <c r="B363" s="242"/>
      <c r="C363" s="242"/>
      <c r="D363" s="242"/>
    </row>
    <row r="364" spans="1:4">
      <c r="A364" s="480" t="s">
        <v>956</v>
      </c>
      <c r="B364" s="482" t="s">
        <v>946</v>
      </c>
      <c r="C364" s="482" t="s">
        <v>917</v>
      </c>
      <c r="D364" s="482" t="s">
        <v>918</v>
      </c>
    </row>
    <row r="365" spans="1:4">
      <c r="A365" s="480"/>
      <c r="B365" s="209">
        <f>AVERAGE(B350:B359)</f>
        <v>-2.7371199999999984E-2</v>
      </c>
      <c r="C365" s="209">
        <f>AVERAGE(C350:C359)</f>
        <v>-0.13535069999999996</v>
      </c>
      <c r="D365" s="209">
        <f>AVERAGE(D350:D359)</f>
        <v>0.36540790000000001</v>
      </c>
    </row>
    <row r="366" spans="1:4">
      <c r="A366" s="480"/>
    </row>
    <row r="367" spans="1:4">
      <c r="A367" s="480" t="s">
        <v>952</v>
      </c>
      <c r="B367" s="487" t="s">
        <v>953</v>
      </c>
      <c r="C367" s="487" t="s">
        <v>954</v>
      </c>
      <c r="D367" s="487" t="s">
        <v>955</v>
      </c>
    </row>
    <row r="368" spans="1:4">
      <c r="B368" s="209">
        <f>CORREL(B349:B359,C349:C359)</f>
        <v>0.25807258767130553</v>
      </c>
      <c r="C368" s="209">
        <f>CORREL(C349:C359,D349:D359)</f>
        <v>0.10381981561692505</v>
      </c>
      <c r="D368" s="209">
        <f>CORREL(D349:D359,B349:B359)</f>
        <v>-6.7231251424815675E-2</v>
      </c>
    </row>
    <row r="369" spans="1:5">
      <c r="A369" s="480"/>
    </row>
    <row r="370" spans="1:5">
      <c r="A370" s="480" t="s">
        <v>948</v>
      </c>
      <c r="B370" s="482" t="s">
        <v>946</v>
      </c>
      <c r="C370" s="482" t="s">
        <v>917</v>
      </c>
      <c r="D370" s="482" t="s">
        <v>918</v>
      </c>
    </row>
    <row r="371" spans="1:5">
      <c r="A371" s="482" t="s">
        <v>946</v>
      </c>
      <c r="B371" s="209">
        <f>VARP(B349:B359)</f>
        <v>3.22910143065456</v>
      </c>
      <c r="C371" s="485">
        <f>COVAR(B349:B359,C349:C359)</f>
        <v>0.76873711130486</v>
      </c>
      <c r="D371" s="485">
        <f>COVAR(B349:B359,D349:D359)</f>
        <v>-0.10624308462552004</v>
      </c>
    </row>
    <row r="372" spans="1:5">
      <c r="A372" s="482" t="s">
        <v>917</v>
      </c>
      <c r="B372" s="207">
        <f>COVAR(C349:C359,B349:B359)</f>
        <v>0.76873711130486</v>
      </c>
      <c r="C372" s="209">
        <f>VARP(C349:C359)</f>
        <v>2.7478324939510101</v>
      </c>
      <c r="D372" s="485">
        <f>COVAR(C349:C359,D349:D359)</f>
        <v>0.15134358364613001</v>
      </c>
      <c r="E372" s="486" t="s">
        <v>951</v>
      </c>
    </row>
    <row r="373" spans="1:5">
      <c r="A373" s="482" t="s">
        <v>918</v>
      </c>
      <c r="B373" s="207">
        <f>COVAR(D349:D359,B349:B359)</f>
        <v>-0.10624308462552004</v>
      </c>
      <c r="C373" s="207">
        <f>COVAR(D349:D359,C349:C359)</f>
        <v>0.15134358364613001</v>
      </c>
      <c r="D373" s="209">
        <f>VARP(D349:D359)</f>
        <v>0.77335209318789</v>
      </c>
      <c r="E373" s="484" t="s">
        <v>950</v>
      </c>
    </row>
    <row r="374" spans="1:5" ht="12" thickBot="1">
      <c r="A374" s="480"/>
    </row>
    <row r="375" spans="1:5" ht="12" thickBot="1">
      <c r="A375" s="480" t="s">
        <v>957</v>
      </c>
      <c r="B375" s="488">
        <f>B362*B365 + C362*C365 + D362*D365</f>
        <v>-2.8051299999999751E-3</v>
      </c>
      <c r="C375" s="87" t="s">
        <v>962</v>
      </c>
    </row>
    <row r="376" spans="1:5" ht="12" thickBot="1">
      <c r="A376" s="480"/>
    </row>
    <row r="377" spans="1:5" ht="12" thickBot="1">
      <c r="A377" s="480" t="s">
        <v>949</v>
      </c>
      <c r="B377" s="488">
        <f>B362^2*B371^2 + C362^2*C372^2 + D362^2*D373^2 + 2*B362*C362*C371 + 2*C362*D362*D372 + 2*D362*B362*D371</f>
        <v>3.098148116521382</v>
      </c>
      <c r="C377" s="87" t="s">
        <v>963</v>
      </c>
    </row>
    <row r="378" spans="1:5" ht="12" thickBot="1">
      <c r="A378" s="480"/>
    </row>
    <row r="379" spans="1:5" ht="12" thickBot="1">
      <c r="A379" s="480" t="s">
        <v>958</v>
      </c>
      <c r="B379" s="488">
        <f>B377^0.5</f>
        <v>1.7601557080330654</v>
      </c>
      <c r="C379" s="87" t="s">
        <v>964</v>
      </c>
    </row>
    <row r="380" spans="1:5" ht="12" thickBot="1">
      <c r="A380" s="480"/>
    </row>
    <row r="381" spans="1:5" ht="12" thickBot="1">
      <c r="A381" s="480" t="s">
        <v>959</v>
      </c>
      <c r="B381" s="488">
        <f>-2.33 * B379</f>
        <v>-4.1011627997170423</v>
      </c>
      <c r="C381" s="87" t="s">
        <v>965</v>
      </c>
    </row>
    <row r="382" spans="1:5" ht="12" thickBot="1">
      <c r="A382" s="480"/>
    </row>
    <row r="383" spans="1:5" ht="12" thickBot="1">
      <c r="A383" s="480" t="s">
        <v>960</v>
      </c>
      <c r="B383" s="489">
        <f>1000 * B381 / 100</f>
        <v>-41.011627997170429</v>
      </c>
      <c r="C383" s="490" t="s">
        <v>966</v>
      </c>
    </row>
    <row r="384" spans="1:5">
      <c r="A384" s="480"/>
      <c r="B384" s="87" t="s">
        <v>961</v>
      </c>
    </row>
    <row r="385" spans="1:1">
      <c r="A385" s="480"/>
    </row>
    <row r="386" spans="1:1">
      <c r="A386" s="480"/>
    </row>
    <row r="387" spans="1:1">
      <c r="A387" s="480"/>
    </row>
    <row r="388" spans="1:1">
      <c r="A388" s="480"/>
    </row>
    <row r="389" spans="1:1">
      <c r="A389" s="480"/>
    </row>
    <row r="390" spans="1:1">
      <c r="A390" s="480"/>
    </row>
    <row r="391" spans="1:1">
      <c r="A391" s="480"/>
    </row>
    <row r="392" spans="1:1">
      <c r="A392" s="480"/>
    </row>
    <row r="393" spans="1:1">
      <c r="A393" s="480"/>
    </row>
    <row r="394" spans="1:1">
      <c r="A394" s="480"/>
    </row>
    <row r="395" spans="1:1">
      <c r="A395" s="480"/>
    </row>
    <row r="396" spans="1:1">
      <c r="A396" s="480"/>
    </row>
    <row r="397" spans="1:1">
      <c r="A397" s="480"/>
    </row>
    <row r="398" spans="1:1">
      <c r="A398" s="480"/>
    </row>
    <row r="399" spans="1:1">
      <c r="A399" s="480"/>
    </row>
    <row r="400" spans="1:1">
      <c r="A400" s="480"/>
    </row>
    <row r="401" spans="1:1">
      <c r="A401" s="480"/>
    </row>
  </sheetData>
  <sortState ref="F132:F151">
    <sortCondition ref="F132:F151"/>
  </sortState>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8"/>
  <sheetViews>
    <sheetView showGridLines="0" topLeftCell="A546" zoomScaleNormal="100" workbookViewId="0">
      <selection activeCell="A167" sqref="A167"/>
    </sheetView>
  </sheetViews>
  <sheetFormatPr defaultRowHeight="11.25"/>
  <cols>
    <col min="1" max="16384" width="9" style="255"/>
  </cols>
  <sheetData>
    <row r="1" spans="1:7" ht="32.25">
      <c r="A1" s="492" t="s">
        <v>967</v>
      </c>
    </row>
    <row r="3" spans="1:7" ht="13.5">
      <c r="A3" s="494" t="s">
        <v>986</v>
      </c>
    </row>
    <row r="4" spans="1:7" ht="13.5">
      <c r="A4" s="495" t="s">
        <v>987</v>
      </c>
    </row>
    <row r="7" spans="1:7" ht="14.25">
      <c r="A7" s="493" t="s">
        <v>968</v>
      </c>
      <c r="B7" s="349"/>
      <c r="C7" s="349"/>
      <c r="D7" s="349"/>
      <c r="E7" s="349"/>
      <c r="F7" s="349"/>
      <c r="G7" s="350"/>
    </row>
    <row r="8" spans="1:7">
      <c r="A8" s="351" t="s">
        <v>969</v>
      </c>
      <c r="B8" s="352"/>
      <c r="C8" s="352"/>
      <c r="D8" s="352"/>
      <c r="E8" s="352"/>
      <c r="F8" s="352"/>
      <c r="G8" s="353"/>
    </row>
    <row r="9" spans="1:7">
      <c r="A9" s="351" t="s">
        <v>970</v>
      </c>
      <c r="B9" s="352"/>
      <c r="C9" s="352"/>
      <c r="D9" s="352"/>
      <c r="E9" s="352"/>
      <c r="F9" s="352"/>
      <c r="G9" s="353"/>
    </row>
    <row r="10" spans="1:7">
      <c r="A10" s="355"/>
      <c r="B10" s="356"/>
      <c r="C10" s="356"/>
      <c r="D10" s="356"/>
      <c r="E10" s="356"/>
      <c r="F10" s="356"/>
      <c r="G10" s="357"/>
    </row>
    <row r="13" spans="1:7">
      <c r="B13" s="255" t="s">
        <v>974</v>
      </c>
      <c r="F13" s="255" t="s">
        <v>971</v>
      </c>
    </row>
    <row r="14" spans="1:7">
      <c r="C14" s="233">
        <v>110</v>
      </c>
      <c r="G14" s="233">
        <v>110</v>
      </c>
    </row>
    <row r="16" spans="1:7">
      <c r="B16" s="233">
        <v>10</v>
      </c>
      <c r="F16" s="233">
        <v>10</v>
      </c>
    </row>
    <row r="22" spans="1:6">
      <c r="F22" s="255" t="s">
        <v>972</v>
      </c>
    </row>
    <row r="23" spans="1:6">
      <c r="A23" s="233" t="s">
        <v>773</v>
      </c>
      <c r="E23" s="233" t="s">
        <v>774</v>
      </c>
      <c r="F23" s="255" t="s">
        <v>973</v>
      </c>
    </row>
    <row r="25" spans="1:6">
      <c r="F25" s="255" t="s">
        <v>975</v>
      </c>
    </row>
    <row r="26" spans="1:6">
      <c r="A26" s="255" t="s">
        <v>976</v>
      </c>
    </row>
    <row r="27" spans="1:6">
      <c r="A27" s="255" t="s">
        <v>977</v>
      </c>
    </row>
    <row r="28" spans="1:6">
      <c r="A28" s="255" t="s">
        <v>978</v>
      </c>
    </row>
    <row r="29" spans="1:6">
      <c r="A29" s="255" t="s">
        <v>979</v>
      </c>
    </row>
    <row r="31" spans="1:6">
      <c r="A31" s="255" t="s">
        <v>980</v>
      </c>
    </row>
    <row r="32" spans="1:6">
      <c r="A32" s="255" t="s">
        <v>983</v>
      </c>
    </row>
    <row r="33" spans="1:7">
      <c r="A33" s="255" t="s">
        <v>981</v>
      </c>
    </row>
    <row r="34" spans="1:7">
      <c r="A34" s="255" t="s">
        <v>982</v>
      </c>
    </row>
    <row r="36" spans="1:7">
      <c r="A36" s="255" t="s">
        <v>984</v>
      </c>
    </row>
    <row r="37" spans="1:7">
      <c r="A37" s="255" t="s">
        <v>985</v>
      </c>
    </row>
    <row r="41" spans="1:7" ht="14.25">
      <c r="A41" s="493" t="s">
        <v>988</v>
      </c>
      <c r="B41" s="349"/>
      <c r="C41" s="349"/>
      <c r="D41" s="349"/>
      <c r="E41" s="349"/>
      <c r="F41" s="349"/>
      <c r="G41" s="350"/>
    </row>
    <row r="42" spans="1:7">
      <c r="A42" s="351" t="s">
        <v>989</v>
      </c>
      <c r="B42" s="352"/>
      <c r="C42" s="352"/>
      <c r="D42" s="352"/>
      <c r="E42" s="352"/>
      <c r="F42" s="352"/>
      <c r="G42" s="353"/>
    </row>
    <row r="43" spans="1:7">
      <c r="A43" s="351" t="s">
        <v>990</v>
      </c>
      <c r="B43" s="352"/>
      <c r="C43" s="352"/>
      <c r="D43" s="352"/>
      <c r="E43" s="352"/>
      <c r="F43" s="352"/>
      <c r="G43" s="353"/>
    </row>
    <row r="44" spans="1:7">
      <c r="A44" s="355" t="s">
        <v>991</v>
      </c>
      <c r="B44" s="356"/>
      <c r="C44" s="356"/>
      <c r="D44" s="356"/>
      <c r="E44" s="356"/>
      <c r="F44" s="356"/>
      <c r="G44" s="357"/>
    </row>
    <row r="46" spans="1:7">
      <c r="F46" s="255" t="s">
        <v>971</v>
      </c>
    </row>
    <row r="60" spans="5:5">
      <c r="E60" s="255" t="s">
        <v>994</v>
      </c>
    </row>
    <row r="61" spans="5:5">
      <c r="E61" s="255" t="s">
        <v>995</v>
      </c>
    </row>
    <row r="63" spans="5:5">
      <c r="E63" s="255" t="s">
        <v>992</v>
      </c>
    </row>
    <row r="64" spans="5:5">
      <c r="E64" s="255" t="s">
        <v>993</v>
      </c>
    </row>
    <row r="66" spans="1:5">
      <c r="E66" s="255" t="s">
        <v>996</v>
      </c>
    </row>
    <row r="67" spans="1:5">
      <c r="E67" s="255" t="s">
        <v>997</v>
      </c>
    </row>
    <row r="69" spans="1:5">
      <c r="A69" s="255" t="s">
        <v>998</v>
      </c>
    </row>
    <row r="70" spans="1:5">
      <c r="A70" s="255" t="s">
        <v>999</v>
      </c>
    </row>
    <row r="71" spans="1:5">
      <c r="A71" s="255" t="s">
        <v>1000</v>
      </c>
    </row>
    <row r="72" spans="1:5">
      <c r="A72" s="255" t="s">
        <v>1001</v>
      </c>
    </row>
    <row r="74" spans="1:5">
      <c r="A74" s="255" t="s">
        <v>1002</v>
      </c>
    </row>
    <row r="75" spans="1:5">
      <c r="A75" s="255" t="s">
        <v>1003</v>
      </c>
    </row>
    <row r="76" spans="1:5">
      <c r="A76" s="255" t="s">
        <v>1004</v>
      </c>
    </row>
    <row r="77" spans="1:5">
      <c r="A77" s="255" t="s">
        <v>1005</v>
      </c>
    </row>
    <row r="79" spans="1:5">
      <c r="A79" s="255" t="s">
        <v>984</v>
      </c>
    </row>
    <row r="80" spans="1:5">
      <c r="A80" s="255" t="s">
        <v>1006</v>
      </c>
    </row>
    <row r="83" spans="1:5" s="496" customFormat="1"/>
    <row r="85" spans="1:5" ht="42">
      <c r="A85" s="497" t="s">
        <v>1007</v>
      </c>
    </row>
    <row r="88" spans="1:5">
      <c r="A88" s="498" t="s">
        <v>1008</v>
      </c>
      <c r="B88" s="499"/>
      <c r="C88" s="499"/>
      <c r="D88" s="499"/>
      <c r="E88" s="500"/>
    </row>
    <row r="89" spans="1:5">
      <c r="A89" s="501" t="s">
        <v>1009</v>
      </c>
      <c r="B89" s="502"/>
      <c r="C89" s="502"/>
      <c r="D89" s="502"/>
      <c r="E89" s="503"/>
    </row>
    <row r="90" spans="1:5">
      <c r="A90" s="501"/>
      <c r="B90" s="502"/>
      <c r="C90" s="502"/>
      <c r="D90" s="502"/>
      <c r="E90" s="503"/>
    </row>
    <row r="91" spans="1:5">
      <c r="A91" s="507" t="s">
        <v>1010</v>
      </c>
      <c r="B91" s="502"/>
      <c r="C91" s="502"/>
      <c r="D91" s="502"/>
      <c r="E91" s="503"/>
    </row>
    <row r="92" spans="1:5">
      <c r="A92" s="504"/>
      <c r="B92" s="505"/>
      <c r="C92" s="505"/>
      <c r="D92" s="505"/>
      <c r="E92" s="506"/>
    </row>
    <row r="95" spans="1:5">
      <c r="A95" s="498" t="s">
        <v>1011</v>
      </c>
      <c r="B95" s="499"/>
      <c r="C95" s="499"/>
      <c r="D95" s="499"/>
      <c r="E95" s="500"/>
    </row>
    <row r="96" spans="1:5">
      <c r="A96" s="501" t="s">
        <v>1013</v>
      </c>
      <c r="B96" s="502"/>
      <c r="C96" s="502"/>
      <c r="D96" s="502"/>
      <c r="E96" s="503"/>
    </row>
    <row r="97" spans="1:5">
      <c r="A97" s="501" t="s">
        <v>1014</v>
      </c>
      <c r="B97" s="502"/>
      <c r="C97" s="502"/>
      <c r="D97" s="502"/>
      <c r="E97" s="503"/>
    </row>
    <row r="98" spans="1:5">
      <c r="A98" s="501"/>
      <c r="B98" s="502"/>
      <c r="C98" s="502"/>
      <c r="D98" s="502"/>
      <c r="E98" s="503"/>
    </row>
    <row r="99" spans="1:5">
      <c r="A99" s="507" t="s">
        <v>1012</v>
      </c>
      <c r="B99" s="502"/>
      <c r="C99" s="502"/>
      <c r="D99" s="502"/>
      <c r="E99" s="503"/>
    </row>
    <row r="100" spans="1:5">
      <c r="A100" s="504"/>
      <c r="B100" s="505"/>
      <c r="C100" s="505"/>
      <c r="D100" s="505"/>
      <c r="E100" s="506"/>
    </row>
    <row r="103" spans="1:5">
      <c r="A103" s="498" t="s">
        <v>1015</v>
      </c>
      <c r="B103" s="499"/>
      <c r="C103" s="499"/>
      <c r="D103" s="499"/>
      <c r="E103" s="500"/>
    </row>
    <row r="104" spans="1:5">
      <c r="A104" s="501" t="s">
        <v>1016</v>
      </c>
      <c r="B104" s="502"/>
      <c r="C104" s="502"/>
      <c r="D104" s="502"/>
      <c r="E104" s="503"/>
    </row>
    <row r="105" spans="1:5">
      <c r="A105" s="501" t="s">
        <v>1017</v>
      </c>
      <c r="B105" s="502"/>
      <c r="C105" s="502"/>
      <c r="D105" s="502"/>
      <c r="E105" s="503"/>
    </row>
    <row r="106" spans="1:5">
      <c r="A106" s="501"/>
      <c r="B106" s="502"/>
      <c r="C106" s="502"/>
      <c r="D106" s="502"/>
      <c r="E106" s="503"/>
    </row>
    <row r="107" spans="1:5">
      <c r="A107" s="507" t="s">
        <v>1018</v>
      </c>
      <c r="B107" s="502"/>
      <c r="C107" s="502"/>
      <c r="D107" s="502"/>
      <c r="E107" s="503"/>
    </row>
    <row r="108" spans="1:5">
      <c r="A108" s="504"/>
      <c r="B108" s="505"/>
      <c r="C108" s="505"/>
      <c r="D108" s="505"/>
      <c r="E108" s="506"/>
    </row>
    <row r="111" spans="1:5">
      <c r="A111" s="498" t="s">
        <v>1019</v>
      </c>
      <c r="B111" s="499"/>
      <c r="C111" s="499"/>
      <c r="D111" s="499"/>
      <c r="E111" s="500"/>
    </row>
    <row r="112" spans="1:5">
      <c r="A112" s="501" t="s">
        <v>1020</v>
      </c>
      <c r="B112" s="502"/>
      <c r="C112" s="502"/>
      <c r="D112" s="502"/>
      <c r="E112" s="503"/>
    </row>
    <row r="113" spans="1:5">
      <c r="A113" s="501" t="s">
        <v>1021</v>
      </c>
      <c r="B113" s="502"/>
      <c r="C113" s="502"/>
      <c r="D113" s="502"/>
      <c r="E113" s="503"/>
    </row>
    <row r="114" spans="1:5">
      <c r="A114" s="501"/>
      <c r="B114" s="502"/>
      <c r="C114" s="502"/>
      <c r="D114" s="502"/>
      <c r="E114" s="503"/>
    </row>
    <row r="115" spans="1:5">
      <c r="A115" s="507" t="s">
        <v>1022</v>
      </c>
      <c r="B115" s="502"/>
      <c r="C115" s="502"/>
      <c r="D115" s="502"/>
      <c r="E115" s="503"/>
    </row>
    <row r="116" spans="1:5">
      <c r="A116" s="504"/>
      <c r="B116" s="505"/>
      <c r="C116" s="505"/>
      <c r="D116" s="505"/>
      <c r="E116" s="506"/>
    </row>
    <row r="119" spans="1:5">
      <c r="A119" s="498" t="s">
        <v>1023</v>
      </c>
      <c r="B119" s="499"/>
      <c r="C119" s="499"/>
      <c r="D119" s="499"/>
      <c r="E119" s="500"/>
    </row>
    <row r="120" spans="1:5">
      <c r="A120" s="501" t="s">
        <v>1024</v>
      </c>
      <c r="B120" s="502"/>
      <c r="C120" s="502"/>
      <c r="D120" s="502"/>
      <c r="E120" s="503"/>
    </row>
    <row r="121" spans="1:5">
      <c r="A121" s="501" t="s">
        <v>1021</v>
      </c>
      <c r="B121" s="502"/>
      <c r="C121" s="502"/>
      <c r="D121" s="502"/>
      <c r="E121" s="503"/>
    </row>
    <row r="122" spans="1:5">
      <c r="A122" s="501"/>
      <c r="B122" s="502"/>
      <c r="C122" s="502"/>
      <c r="D122" s="502"/>
      <c r="E122" s="503"/>
    </row>
    <row r="123" spans="1:5">
      <c r="A123" s="507" t="s">
        <v>1025</v>
      </c>
      <c r="B123" s="502"/>
      <c r="C123" s="502"/>
      <c r="D123" s="502"/>
      <c r="E123" s="503"/>
    </row>
    <row r="124" spans="1:5">
      <c r="A124" s="504"/>
      <c r="B124" s="505"/>
      <c r="C124" s="505"/>
      <c r="D124" s="505"/>
      <c r="E124" s="506"/>
    </row>
    <row r="127" spans="1:5" ht="28.5">
      <c r="A127" s="491" t="s">
        <v>971</v>
      </c>
    </row>
    <row r="129" spans="1:12" ht="17.25">
      <c r="A129" s="508" t="s">
        <v>1029</v>
      </c>
      <c r="B129" s="427"/>
      <c r="C129" s="427"/>
      <c r="D129" s="427"/>
      <c r="E129" s="427"/>
      <c r="F129" s="427"/>
      <c r="G129" s="427"/>
    </row>
    <row r="130" spans="1:12" ht="17.25">
      <c r="A130" s="508" t="s">
        <v>1026</v>
      </c>
      <c r="B130" s="427"/>
      <c r="C130" s="427"/>
      <c r="D130" s="427"/>
      <c r="E130" s="427"/>
      <c r="F130" s="427"/>
      <c r="G130" s="427"/>
    </row>
    <row r="133" spans="1:12" ht="17.25">
      <c r="A133" s="508" t="s">
        <v>1027</v>
      </c>
      <c r="B133" s="427"/>
      <c r="C133" s="427"/>
      <c r="D133" s="427"/>
      <c r="E133" s="427"/>
      <c r="F133" s="427"/>
      <c r="G133" s="427"/>
    </row>
    <row r="134" spans="1:12" ht="17.25">
      <c r="A134" s="508" t="s">
        <v>1028</v>
      </c>
      <c r="B134" s="427"/>
      <c r="C134" s="427"/>
      <c r="D134" s="427"/>
      <c r="E134" s="427"/>
      <c r="F134" s="427"/>
      <c r="G134" s="427"/>
    </row>
    <row r="137" spans="1:12" ht="17.25">
      <c r="A137" s="508" t="s">
        <v>1030</v>
      </c>
      <c r="B137" s="427"/>
      <c r="C137" s="427"/>
      <c r="D137" s="427"/>
      <c r="E137" s="427"/>
      <c r="F137" s="427"/>
      <c r="G137" s="427"/>
      <c r="H137" s="427"/>
      <c r="I137" s="427"/>
      <c r="J137" s="427"/>
      <c r="K137" s="427"/>
      <c r="L137" s="427"/>
    </row>
    <row r="138" spans="1:12" ht="17.25">
      <c r="A138" s="508" t="s">
        <v>1031</v>
      </c>
      <c r="B138" s="427"/>
      <c r="C138" s="427"/>
      <c r="D138" s="427"/>
      <c r="E138" s="427"/>
      <c r="F138" s="427"/>
      <c r="G138" s="427"/>
      <c r="H138" s="427"/>
      <c r="I138" s="427"/>
      <c r="J138" s="427"/>
      <c r="K138" s="427"/>
      <c r="L138" s="427"/>
    </row>
    <row r="141" spans="1:12" ht="17.25">
      <c r="A141" s="508" t="s">
        <v>1032</v>
      </c>
      <c r="B141" s="427"/>
      <c r="C141" s="427"/>
      <c r="D141" s="427"/>
      <c r="E141" s="427"/>
      <c r="F141" s="427"/>
      <c r="G141" s="427"/>
      <c r="H141" s="427"/>
      <c r="I141" s="427"/>
      <c r="J141" s="427"/>
      <c r="K141" s="427"/>
      <c r="L141" s="427"/>
    </row>
    <row r="142" spans="1:12" ht="17.25">
      <c r="A142" s="508" t="s">
        <v>1033</v>
      </c>
      <c r="B142" s="427"/>
      <c r="C142" s="427"/>
      <c r="D142" s="427"/>
      <c r="E142" s="427"/>
      <c r="F142" s="427"/>
      <c r="G142" s="427"/>
      <c r="H142" s="427"/>
      <c r="I142" s="427"/>
      <c r="J142" s="427"/>
      <c r="K142" s="427"/>
      <c r="L142" s="427"/>
    </row>
    <row r="145" spans="1:12" ht="17.25">
      <c r="A145" s="508" t="s">
        <v>1034</v>
      </c>
      <c r="B145" s="427"/>
      <c r="C145" s="427"/>
      <c r="D145" s="427"/>
      <c r="E145" s="427"/>
      <c r="F145" s="427"/>
      <c r="G145" s="427"/>
      <c r="H145" s="427"/>
      <c r="I145" s="427"/>
      <c r="J145" s="427"/>
      <c r="K145" s="427"/>
      <c r="L145" s="427"/>
    </row>
    <row r="146" spans="1:12" ht="17.25">
      <c r="A146" s="508" t="s">
        <v>1035</v>
      </c>
      <c r="B146" s="427"/>
      <c r="C146" s="427"/>
      <c r="D146" s="427"/>
      <c r="E146" s="427"/>
      <c r="F146" s="427"/>
      <c r="G146" s="427"/>
      <c r="H146" s="427"/>
      <c r="I146" s="427"/>
      <c r="J146" s="427"/>
      <c r="K146" s="427"/>
      <c r="L146" s="427"/>
    </row>
    <row r="149" spans="1:12" ht="17.25">
      <c r="A149" s="508" t="s">
        <v>1045</v>
      </c>
      <c r="B149" s="427"/>
      <c r="C149" s="427"/>
      <c r="D149" s="427"/>
      <c r="E149" s="427"/>
      <c r="F149" s="427"/>
      <c r="G149" s="427"/>
      <c r="H149" s="427"/>
      <c r="I149" s="427"/>
    </row>
    <row r="150" spans="1:12" ht="17.25">
      <c r="A150" s="508" t="s">
        <v>1046</v>
      </c>
      <c r="B150" s="427"/>
      <c r="C150" s="427"/>
      <c r="D150" s="427"/>
      <c r="E150" s="427"/>
      <c r="F150" s="427"/>
      <c r="G150" s="427"/>
      <c r="H150" s="427"/>
      <c r="I150" s="427"/>
    </row>
    <row r="153" spans="1:12" ht="17.25">
      <c r="A153" s="508" t="s">
        <v>1047</v>
      </c>
      <c r="B153" s="427"/>
      <c r="C153" s="427"/>
      <c r="D153" s="427"/>
      <c r="E153" s="427"/>
      <c r="F153" s="427"/>
      <c r="G153" s="427"/>
      <c r="H153" s="427"/>
      <c r="I153" s="427"/>
    </row>
    <row r="154" spans="1:12" ht="17.25">
      <c r="A154" s="508" t="s">
        <v>1048</v>
      </c>
      <c r="B154" s="427"/>
      <c r="C154" s="427"/>
      <c r="D154" s="427"/>
      <c r="E154" s="427"/>
      <c r="F154" s="427"/>
      <c r="G154" s="427"/>
      <c r="H154" s="427"/>
      <c r="I154" s="427"/>
    </row>
    <row r="156" spans="1:12" ht="12" thickBot="1"/>
    <row r="157" spans="1:12" ht="24">
      <c r="A157" s="509" t="s">
        <v>1036</v>
      </c>
      <c r="B157" s="510"/>
      <c r="C157" s="510"/>
      <c r="D157" s="510"/>
      <c r="E157" s="510"/>
      <c r="F157" s="511"/>
    </row>
    <row r="158" spans="1:12" ht="24.75" thickBot="1">
      <c r="A158" s="512" t="s">
        <v>1037</v>
      </c>
      <c r="B158" s="513"/>
      <c r="C158" s="513"/>
      <c r="D158" s="513"/>
      <c r="E158" s="513"/>
      <c r="F158" s="514"/>
    </row>
    <row r="161" spans="1:10" ht="12" thickBot="1">
      <c r="A161" s="255" t="s">
        <v>1038</v>
      </c>
    </row>
    <row r="162" spans="1:10" ht="21">
      <c r="A162" s="515" t="s">
        <v>1041</v>
      </c>
      <c r="B162" s="516"/>
      <c r="C162" s="516"/>
      <c r="D162" s="516"/>
      <c r="E162" s="516"/>
      <c r="F162" s="517"/>
      <c r="G162" s="255" t="s">
        <v>1043</v>
      </c>
    </row>
    <row r="163" spans="1:10" ht="21">
      <c r="A163" s="518" t="s">
        <v>1039</v>
      </c>
      <c r="B163" s="519"/>
      <c r="C163" s="519"/>
      <c r="D163" s="519"/>
      <c r="E163" s="519"/>
      <c r="F163" s="520"/>
    </row>
    <row r="164" spans="1:10" ht="21.75" thickBot="1">
      <c r="A164" s="521" t="s">
        <v>1042</v>
      </c>
      <c r="B164" s="522"/>
      <c r="C164" s="522"/>
      <c r="D164" s="522"/>
      <c r="E164" s="522"/>
      <c r="F164" s="523"/>
    </row>
    <row r="166" spans="1:10" ht="12" thickBot="1">
      <c r="A166" s="255" t="s">
        <v>1040</v>
      </c>
    </row>
    <row r="167" spans="1:10" ht="21">
      <c r="A167" s="515" t="s">
        <v>1340</v>
      </c>
      <c r="B167" s="516"/>
      <c r="C167" s="516"/>
      <c r="D167" s="516"/>
      <c r="E167" s="516"/>
      <c r="F167" s="517"/>
      <c r="G167" s="255" t="s">
        <v>1044</v>
      </c>
    </row>
    <row r="168" spans="1:10" ht="21.75" thickBot="1">
      <c r="A168" s="521" t="s">
        <v>1322</v>
      </c>
      <c r="B168" s="522"/>
      <c r="C168" s="522"/>
      <c r="D168" s="522"/>
      <c r="E168" s="522"/>
      <c r="F168" s="523"/>
    </row>
    <row r="171" spans="1:10" ht="28.5">
      <c r="A171" s="491" t="s">
        <v>1049</v>
      </c>
    </row>
    <row r="173" spans="1:10" ht="12">
      <c r="A173" s="525" t="s">
        <v>1050</v>
      </c>
      <c r="B173" s="349"/>
      <c r="C173" s="349"/>
      <c r="D173" s="349"/>
      <c r="E173" s="349"/>
      <c r="F173" s="349"/>
      <c r="G173" s="349"/>
      <c r="H173" s="349"/>
      <c r="I173" s="349"/>
      <c r="J173" s="350"/>
    </row>
    <row r="174" spans="1:10">
      <c r="A174" s="351"/>
      <c r="B174" s="352"/>
      <c r="C174" s="352"/>
      <c r="D174" s="352"/>
      <c r="E174" s="352"/>
      <c r="F174" s="352"/>
      <c r="G174" s="352"/>
      <c r="H174" s="352"/>
      <c r="I174" s="352"/>
      <c r="J174" s="353"/>
    </row>
    <row r="175" spans="1:10">
      <c r="A175" s="351" t="s">
        <v>1051</v>
      </c>
      <c r="B175" s="352"/>
      <c r="C175" s="352"/>
      <c r="D175" s="352"/>
      <c r="E175" s="352"/>
      <c r="F175" s="352"/>
      <c r="G175" s="352"/>
      <c r="H175" s="352"/>
      <c r="I175" s="352"/>
      <c r="J175" s="353"/>
    </row>
    <row r="176" spans="1:10">
      <c r="A176" s="351"/>
      <c r="B176" s="352"/>
      <c r="C176" s="352"/>
      <c r="D176" s="352"/>
      <c r="E176" s="352"/>
      <c r="F176" s="352"/>
      <c r="G176" s="352"/>
      <c r="H176" s="352"/>
      <c r="I176" s="352"/>
      <c r="J176" s="353"/>
    </row>
    <row r="177" spans="1:10">
      <c r="A177" s="351" t="s">
        <v>1052</v>
      </c>
      <c r="B177" s="352"/>
      <c r="C177" s="352"/>
      <c r="D177" s="352"/>
      <c r="E177" s="352"/>
      <c r="F177" s="352"/>
      <c r="G177" s="352"/>
      <c r="H177" s="352"/>
      <c r="I177" s="352"/>
      <c r="J177" s="353"/>
    </row>
    <row r="178" spans="1:10">
      <c r="A178" s="351"/>
      <c r="B178" s="352"/>
      <c r="C178" s="352"/>
      <c r="D178" s="352"/>
      <c r="E178" s="352"/>
      <c r="F178" s="352"/>
      <c r="G178" s="352"/>
      <c r="H178" s="352"/>
      <c r="I178" s="352"/>
      <c r="J178" s="353"/>
    </row>
    <row r="179" spans="1:10">
      <c r="A179" s="351" t="s">
        <v>1053</v>
      </c>
      <c r="B179" s="352"/>
      <c r="C179" s="352"/>
      <c r="D179" s="352"/>
      <c r="E179" s="352"/>
      <c r="F179" s="352"/>
      <c r="G179" s="352"/>
      <c r="H179" s="352"/>
      <c r="I179" s="352"/>
      <c r="J179" s="353"/>
    </row>
    <row r="180" spans="1:10">
      <c r="A180" s="351"/>
      <c r="B180" s="352"/>
      <c r="C180" s="352"/>
      <c r="D180" s="352"/>
      <c r="E180" s="352"/>
      <c r="F180" s="352"/>
      <c r="G180" s="352"/>
      <c r="H180" s="352"/>
      <c r="I180" s="352"/>
      <c r="J180" s="353"/>
    </row>
    <row r="181" spans="1:10">
      <c r="A181" s="351" t="s">
        <v>1054</v>
      </c>
      <c r="B181" s="352"/>
      <c r="C181" s="352"/>
      <c r="D181" s="352"/>
      <c r="E181" s="352"/>
      <c r="F181" s="352"/>
      <c r="G181" s="352"/>
      <c r="H181" s="352"/>
      <c r="I181" s="352"/>
      <c r="J181" s="353"/>
    </row>
    <row r="182" spans="1:10">
      <c r="A182" s="351"/>
      <c r="B182" s="352"/>
      <c r="C182" s="352"/>
      <c r="D182" s="352"/>
      <c r="E182" s="352"/>
      <c r="F182" s="352"/>
      <c r="G182" s="352"/>
      <c r="H182" s="352"/>
      <c r="I182" s="352"/>
      <c r="J182" s="353"/>
    </row>
    <row r="183" spans="1:10">
      <c r="A183" s="524" t="s">
        <v>1055</v>
      </c>
      <c r="B183" s="356"/>
      <c r="C183" s="356"/>
      <c r="D183" s="356"/>
      <c r="E183" s="356"/>
      <c r="F183" s="356"/>
      <c r="G183" s="356"/>
      <c r="H183" s="356"/>
      <c r="I183" s="356"/>
      <c r="J183" s="357"/>
    </row>
    <row r="184" spans="1:10" ht="12" thickBot="1"/>
    <row r="185" spans="1:10" ht="21.75" thickBot="1">
      <c r="A185" s="526" t="s">
        <v>1056</v>
      </c>
      <c r="B185" s="527"/>
      <c r="C185" s="527"/>
      <c r="D185" s="527"/>
      <c r="E185" s="527"/>
      <c r="F185" s="528"/>
      <c r="G185" s="529"/>
    </row>
    <row r="189" spans="1:10" ht="25.5">
      <c r="A189" s="530" t="s">
        <v>1059</v>
      </c>
    </row>
    <row r="191" spans="1:10" ht="21">
      <c r="A191" s="346" t="s">
        <v>1057</v>
      </c>
    </row>
    <row r="192" spans="1:10" ht="21">
      <c r="A192" s="531" t="s">
        <v>1058</v>
      </c>
      <c r="B192" s="532"/>
      <c r="C192" s="532"/>
      <c r="D192" s="532"/>
      <c r="E192" s="532"/>
      <c r="F192" s="532"/>
      <c r="G192" s="532"/>
      <c r="H192" s="533"/>
    </row>
    <row r="193" spans="1:8" ht="21">
      <c r="A193" s="534" t="s">
        <v>1060</v>
      </c>
      <c r="B193" s="535"/>
      <c r="C193" s="535"/>
      <c r="D193" s="535"/>
      <c r="E193" s="535"/>
      <c r="F193" s="535"/>
      <c r="G193" s="535"/>
      <c r="H193" s="536"/>
    </row>
    <row r="194" spans="1:8" ht="21">
      <c r="A194" s="534" t="s">
        <v>1061</v>
      </c>
      <c r="B194" s="535"/>
      <c r="C194" s="535"/>
      <c r="D194" s="535"/>
      <c r="E194" s="535"/>
      <c r="F194" s="535"/>
      <c r="G194" s="535"/>
      <c r="H194" s="536"/>
    </row>
    <row r="195" spans="1:8" ht="21">
      <c r="A195" s="534" t="s">
        <v>1062</v>
      </c>
      <c r="B195" s="535"/>
      <c r="C195" s="535"/>
      <c r="D195" s="535"/>
      <c r="E195" s="535"/>
      <c r="F195" s="535"/>
      <c r="G195" s="535"/>
      <c r="H195" s="536"/>
    </row>
    <row r="196" spans="1:8" ht="21">
      <c r="A196" s="537" t="s">
        <v>1063</v>
      </c>
      <c r="B196" s="538"/>
      <c r="C196" s="538"/>
      <c r="D196" s="538"/>
      <c r="E196" s="538"/>
      <c r="F196" s="538"/>
      <c r="G196" s="538"/>
      <c r="H196" s="539"/>
    </row>
    <row r="199" spans="1:8">
      <c r="A199" s="348" t="s">
        <v>1064</v>
      </c>
      <c r="B199" s="349"/>
      <c r="C199" s="349"/>
      <c r="D199" s="349"/>
      <c r="E199" s="349"/>
      <c r="F199" s="349"/>
      <c r="G199" s="349"/>
      <c r="H199" s="350"/>
    </row>
    <row r="200" spans="1:8">
      <c r="A200" s="351" t="s">
        <v>1065</v>
      </c>
      <c r="B200" s="352"/>
      <c r="C200" s="352"/>
      <c r="D200" s="352"/>
      <c r="E200" s="352"/>
      <c r="F200" s="352"/>
      <c r="G200" s="352"/>
      <c r="H200" s="353"/>
    </row>
    <row r="201" spans="1:8">
      <c r="A201" s="355" t="s">
        <v>1066</v>
      </c>
      <c r="B201" s="356"/>
      <c r="C201" s="356"/>
      <c r="D201" s="356"/>
      <c r="E201" s="356"/>
      <c r="F201" s="356"/>
      <c r="G201" s="356"/>
      <c r="H201" s="357"/>
    </row>
    <row r="203" spans="1:8">
      <c r="A203" s="255" t="s">
        <v>1067</v>
      </c>
      <c r="C203" s="540" t="s">
        <v>1069</v>
      </c>
      <c r="D203" s="540"/>
      <c r="E203" s="540"/>
    </row>
    <row r="204" spans="1:8">
      <c r="A204" s="255" t="s">
        <v>1068</v>
      </c>
    </row>
    <row r="205" spans="1:8">
      <c r="C205" s="255" t="s">
        <v>1071</v>
      </c>
    </row>
    <row r="206" spans="1:8">
      <c r="C206" s="540" t="s">
        <v>1070</v>
      </c>
      <c r="D206" s="540"/>
      <c r="E206" s="540"/>
    </row>
    <row r="209" spans="1:8">
      <c r="A209" s="348" t="s">
        <v>1072</v>
      </c>
      <c r="B209" s="349"/>
      <c r="C209" s="349"/>
      <c r="D209" s="349"/>
      <c r="E209" s="349"/>
      <c r="F209" s="349"/>
      <c r="G209" s="349"/>
      <c r="H209" s="350"/>
    </row>
    <row r="210" spans="1:8">
      <c r="A210" s="351" t="s">
        <v>1075</v>
      </c>
      <c r="B210" s="352"/>
      <c r="C210" s="352"/>
      <c r="D210" s="352"/>
      <c r="E210" s="352"/>
      <c r="F210" s="352"/>
      <c r="G210" s="352"/>
      <c r="H210" s="353"/>
    </row>
    <row r="211" spans="1:8">
      <c r="A211" s="355" t="s">
        <v>1066</v>
      </c>
      <c r="B211" s="356"/>
      <c r="C211" s="356"/>
      <c r="D211" s="356"/>
      <c r="E211" s="356"/>
      <c r="F211" s="356"/>
      <c r="G211" s="356"/>
      <c r="H211" s="357"/>
    </row>
    <row r="213" spans="1:8">
      <c r="A213" s="255" t="s">
        <v>1073</v>
      </c>
      <c r="B213" s="255" t="s">
        <v>1078</v>
      </c>
      <c r="C213" s="540" t="s">
        <v>1076</v>
      </c>
      <c r="D213" s="540"/>
      <c r="E213" s="540"/>
    </row>
    <row r="214" spans="1:8">
      <c r="A214" s="255" t="s">
        <v>1074</v>
      </c>
      <c r="B214" s="255" t="s">
        <v>1079</v>
      </c>
      <c r="C214" s="540" t="s">
        <v>1077</v>
      </c>
      <c r="D214" s="540"/>
      <c r="E214" s="540"/>
    </row>
    <row r="216" spans="1:8">
      <c r="C216" s="255" t="s">
        <v>1071</v>
      </c>
    </row>
    <row r="217" spans="1:8">
      <c r="C217" s="540" t="s">
        <v>1080</v>
      </c>
      <c r="D217" s="540"/>
      <c r="E217" s="540"/>
    </row>
    <row r="220" spans="1:8">
      <c r="C220" s="255" t="s">
        <v>1086</v>
      </c>
    </row>
    <row r="223" spans="1:8">
      <c r="C223" s="255" t="s">
        <v>1082</v>
      </c>
    </row>
    <row r="224" spans="1:8">
      <c r="F224" s="255" t="s">
        <v>1085</v>
      </c>
    </row>
    <row r="228" spans="1:8">
      <c r="D228" s="255" t="s">
        <v>1084</v>
      </c>
      <c r="E228" s="255" t="s">
        <v>1083</v>
      </c>
    </row>
    <row r="230" spans="1:8">
      <c r="A230" s="348" t="s">
        <v>1087</v>
      </c>
      <c r="B230" s="349"/>
      <c r="C230" s="349"/>
      <c r="D230" s="349"/>
      <c r="E230" s="349"/>
      <c r="F230" s="349"/>
      <c r="G230" s="349"/>
      <c r="H230" s="350"/>
    </row>
    <row r="231" spans="1:8">
      <c r="A231" s="351" t="s">
        <v>1088</v>
      </c>
      <c r="B231" s="352"/>
      <c r="C231" s="352"/>
      <c r="D231" s="352"/>
      <c r="E231" s="352"/>
      <c r="F231" s="352"/>
      <c r="G231" s="352"/>
      <c r="H231" s="353"/>
    </row>
    <row r="232" spans="1:8">
      <c r="A232" s="351" t="s">
        <v>1089</v>
      </c>
      <c r="B232" s="352"/>
      <c r="C232" s="352"/>
      <c r="D232" s="352"/>
      <c r="E232" s="352"/>
      <c r="F232" s="352"/>
      <c r="G232" s="352"/>
      <c r="H232" s="353"/>
    </row>
    <row r="233" spans="1:8">
      <c r="A233" s="355" t="s">
        <v>1066</v>
      </c>
      <c r="B233" s="356"/>
      <c r="C233" s="356"/>
      <c r="D233" s="356"/>
      <c r="E233" s="356"/>
      <c r="F233" s="356"/>
      <c r="G233" s="356"/>
      <c r="H233" s="357"/>
    </row>
    <row r="235" spans="1:8">
      <c r="A235" s="255" t="s">
        <v>1073</v>
      </c>
      <c r="B235" s="255" t="s">
        <v>1079</v>
      </c>
      <c r="D235" s="540" t="s">
        <v>1094</v>
      </c>
    </row>
    <row r="236" spans="1:8">
      <c r="A236" s="255" t="s">
        <v>1090</v>
      </c>
      <c r="B236" s="255" t="s">
        <v>1078</v>
      </c>
      <c r="D236" s="540" t="s">
        <v>1077</v>
      </c>
    </row>
    <row r="237" spans="1:8">
      <c r="A237" s="255" t="s">
        <v>1091</v>
      </c>
      <c r="B237" s="255" t="s">
        <v>1078</v>
      </c>
    </row>
    <row r="238" spans="1:8">
      <c r="D238" s="255" t="s">
        <v>1071</v>
      </c>
    </row>
    <row r="239" spans="1:8">
      <c r="A239" s="255" t="s">
        <v>1097</v>
      </c>
      <c r="D239" s="540" t="s">
        <v>1095</v>
      </c>
    </row>
    <row r="240" spans="1:8">
      <c r="A240" s="255" t="s">
        <v>1093</v>
      </c>
    </row>
    <row r="241" spans="1:8">
      <c r="A241" s="255" t="s">
        <v>1092</v>
      </c>
    </row>
    <row r="244" spans="1:8">
      <c r="F244" s="255" t="s">
        <v>1081</v>
      </c>
    </row>
    <row r="245" spans="1:8">
      <c r="C245" s="255" t="s">
        <v>1082</v>
      </c>
    </row>
    <row r="246" spans="1:8">
      <c r="F246" s="255" t="s">
        <v>1096</v>
      </c>
    </row>
    <row r="250" spans="1:8">
      <c r="D250" s="255" t="s">
        <v>1084</v>
      </c>
      <c r="E250" s="255" t="s">
        <v>1083</v>
      </c>
    </row>
    <row r="252" spans="1:8">
      <c r="A252" s="348" t="s">
        <v>1098</v>
      </c>
      <c r="B252" s="349"/>
      <c r="C252" s="349"/>
      <c r="D252" s="349"/>
      <c r="E252" s="349"/>
      <c r="F252" s="349"/>
      <c r="G252" s="349"/>
      <c r="H252" s="350"/>
    </row>
    <row r="253" spans="1:8">
      <c r="A253" s="351" t="s">
        <v>1099</v>
      </c>
      <c r="B253" s="352"/>
      <c r="C253" s="352"/>
      <c r="D253" s="352"/>
      <c r="E253" s="352"/>
      <c r="F253" s="352"/>
      <c r="G253" s="352"/>
      <c r="H253" s="353"/>
    </row>
    <row r="254" spans="1:8">
      <c r="A254" s="351" t="s">
        <v>1100</v>
      </c>
      <c r="B254" s="352"/>
      <c r="C254" s="352"/>
      <c r="D254" s="352"/>
      <c r="E254" s="352"/>
      <c r="F254" s="352"/>
      <c r="G254" s="352"/>
      <c r="H254" s="353"/>
    </row>
    <row r="255" spans="1:8">
      <c r="A255" s="355" t="s">
        <v>1066</v>
      </c>
      <c r="B255" s="356"/>
      <c r="C255" s="356"/>
      <c r="D255" s="356"/>
      <c r="E255" s="356"/>
      <c r="F255" s="356"/>
      <c r="G255" s="356"/>
      <c r="H255" s="357"/>
    </row>
    <row r="257" spans="1:8">
      <c r="A257" s="255" t="s">
        <v>1101</v>
      </c>
      <c r="C257" s="540" t="s">
        <v>1103</v>
      </c>
    </row>
    <row r="258" spans="1:8">
      <c r="A258" s="255" t="s">
        <v>1102</v>
      </c>
      <c r="B258" s="255" t="s">
        <v>1079</v>
      </c>
      <c r="C258" s="540" t="s">
        <v>1105</v>
      </c>
    </row>
    <row r="260" spans="1:8">
      <c r="A260" s="255" t="s">
        <v>1104</v>
      </c>
      <c r="C260" s="255" t="s">
        <v>1071</v>
      </c>
    </row>
    <row r="261" spans="1:8">
      <c r="C261" s="540" t="s">
        <v>1106</v>
      </c>
    </row>
    <row r="264" spans="1:8">
      <c r="A264" s="348" t="s">
        <v>1107</v>
      </c>
      <c r="B264" s="349"/>
      <c r="C264" s="349"/>
      <c r="D264" s="349"/>
      <c r="E264" s="349"/>
      <c r="F264" s="349"/>
      <c r="G264" s="349"/>
      <c r="H264" s="350"/>
    </row>
    <row r="265" spans="1:8">
      <c r="A265" s="351" t="s">
        <v>1108</v>
      </c>
      <c r="B265" s="352"/>
      <c r="C265" s="352"/>
      <c r="D265" s="352"/>
      <c r="E265" s="352"/>
      <c r="F265" s="352"/>
      <c r="G265" s="352"/>
      <c r="H265" s="353"/>
    </row>
    <row r="266" spans="1:8">
      <c r="A266" s="351" t="s">
        <v>1109</v>
      </c>
      <c r="B266" s="352"/>
      <c r="C266" s="352"/>
      <c r="D266" s="352"/>
      <c r="E266" s="352"/>
      <c r="F266" s="352"/>
      <c r="G266" s="352"/>
      <c r="H266" s="353"/>
    </row>
    <row r="267" spans="1:8">
      <c r="A267" s="351" t="s">
        <v>1111</v>
      </c>
      <c r="B267" s="352"/>
      <c r="C267" s="352"/>
      <c r="D267" s="352"/>
      <c r="E267" s="352"/>
      <c r="F267" s="352"/>
      <c r="G267" s="352"/>
      <c r="H267" s="353"/>
    </row>
    <row r="268" spans="1:8">
      <c r="A268" s="355" t="s">
        <v>1066</v>
      </c>
      <c r="B268" s="356"/>
      <c r="C268" s="356"/>
      <c r="D268" s="356"/>
      <c r="E268" s="356"/>
      <c r="F268" s="356"/>
      <c r="G268" s="356"/>
      <c r="H268" s="357"/>
    </row>
    <row r="270" spans="1:8">
      <c r="A270" s="255" t="s">
        <v>1110</v>
      </c>
      <c r="B270" s="255" t="s">
        <v>1078</v>
      </c>
      <c r="E270" s="540" t="s">
        <v>1117</v>
      </c>
    </row>
    <row r="271" spans="1:8">
      <c r="A271" s="255" t="s">
        <v>1112</v>
      </c>
      <c r="B271" s="255" t="s">
        <v>1116</v>
      </c>
      <c r="E271" s="540" t="s">
        <v>1118</v>
      </c>
    </row>
    <row r="272" spans="1:8">
      <c r="A272" s="255" t="s">
        <v>1091</v>
      </c>
      <c r="B272" s="255" t="s">
        <v>1116</v>
      </c>
    </row>
    <row r="273" spans="1:5">
      <c r="E273" s="255" t="s">
        <v>1071</v>
      </c>
    </row>
    <row r="274" spans="1:5">
      <c r="A274" s="255" t="s">
        <v>1097</v>
      </c>
      <c r="E274" s="540" t="s">
        <v>1119</v>
      </c>
    </row>
    <row r="275" spans="1:5">
      <c r="A275" s="255" t="s">
        <v>1093</v>
      </c>
    </row>
    <row r="276" spans="1:5">
      <c r="A276" s="255" t="s">
        <v>1113</v>
      </c>
    </row>
    <row r="277" spans="1:5">
      <c r="A277" s="255" t="s">
        <v>1114</v>
      </c>
    </row>
    <row r="278" spans="1:5">
      <c r="A278" s="359" t="s">
        <v>1115</v>
      </c>
    </row>
    <row r="281" spans="1:5">
      <c r="C281" s="255" t="s">
        <v>1120</v>
      </c>
    </row>
    <row r="284" spans="1:5">
      <c r="C284" s="255" t="s">
        <v>1082</v>
      </c>
    </row>
    <row r="285" spans="1:5">
      <c r="E285" s="255" t="s">
        <v>1085</v>
      </c>
    </row>
    <row r="289" spans="1:12">
      <c r="D289" s="255" t="s">
        <v>1084</v>
      </c>
      <c r="E289" s="255" t="s">
        <v>1083</v>
      </c>
    </row>
    <row r="291" spans="1:12">
      <c r="L291" s="255" t="s">
        <v>1294</v>
      </c>
    </row>
    <row r="295" spans="1:12" ht="21">
      <c r="A295" s="346" t="s">
        <v>1121</v>
      </c>
    </row>
    <row r="296" spans="1:12" ht="21">
      <c r="A296" s="531" t="s">
        <v>1122</v>
      </c>
      <c r="B296" s="532"/>
      <c r="C296" s="532"/>
      <c r="D296" s="532"/>
      <c r="E296" s="532"/>
      <c r="F296" s="532"/>
      <c r="G296" s="532"/>
      <c r="H296" s="533"/>
    </row>
    <row r="297" spans="1:12" ht="21">
      <c r="A297" s="534" t="s">
        <v>1123</v>
      </c>
      <c r="B297" s="535"/>
      <c r="C297" s="535"/>
      <c r="D297" s="535"/>
      <c r="E297" s="535"/>
      <c r="F297" s="535"/>
      <c r="G297" s="535"/>
      <c r="H297" s="536"/>
    </row>
    <row r="298" spans="1:12" ht="21">
      <c r="A298" s="534" t="s">
        <v>1142</v>
      </c>
      <c r="B298" s="535"/>
      <c r="C298" s="535"/>
      <c r="D298" s="535"/>
      <c r="E298" s="535"/>
      <c r="F298" s="535"/>
      <c r="G298" s="535"/>
      <c r="H298" s="536"/>
    </row>
    <row r="299" spans="1:12" ht="21">
      <c r="A299" s="534" t="s">
        <v>1062</v>
      </c>
      <c r="B299" s="535"/>
      <c r="C299" s="535"/>
      <c r="D299" s="535"/>
      <c r="E299" s="535"/>
      <c r="F299" s="535"/>
      <c r="G299" s="535"/>
      <c r="H299" s="536"/>
    </row>
    <row r="300" spans="1:12" ht="21">
      <c r="A300" s="537" t="s">
        <v>1063</v>
      </c>
      <c r="B300" s="538"/>
      <c r="C300" s="538"/>
      <c r="D300" s="538"/>
      <c r="E300" s="538"/>
      <c r="F300" s="538"/>
      <c r="G300" s="538"/>
      <c r="H300" s="539"/>
    </row>
    <row r="303" spans="1:12">
      <c r="A303" s="348" t="s">
        <v>1124</v>
      </c>
      <c r="B303" s="349"/>
      <c r="C303" s="349"/>
      <c r="D303" s="349"/>
      <c r="E303" s="349"/>
      <c r="F303" s="349"/>
      <c r="G303" s="349"/>
      <c r="H303" s="350"/>
    </row>
    <row r="304" spans="1:12">
      <c r="A304" s="351" t="s">
        <v>1126</v>
      </c>
      <c r="B304" s="352"/>
      <c r="C304" s="352"/>
      <c r="D304" s="352"/>
      <c r="E304" s="352"/>
      <c r="F304" s="352"/>
      <c r="G304" s="352"/>
      <c r="H304" s="353"/>
    </row>
    <row r="305" spans="1:8">
      <c r="A305" s="355" t="s">
        <v>1129</v>
      </c>
      <c r="B305" s="356"/>
      <c r="C305" s="356"/>
      <c r="D305" s="356"/>
      <c r="E305" s="356"/>
      <c r="F305" s="356"/>
      <c r="G305" s="356"/>
      <c r="H305" s="357"/>
    </row>
    <row r="307" spans="1:8">
      <c r="A307" s="255" t="s">
        <v>1125</v>
      </c>
      <c r="C307" s="540" t="s">
        <v>1127</v>
      </c>
      <c r="D307" s="540"/>
      <c r="E307" s="540"/>
    </row>
    <row r="308" spans="1:8">
      <c r="A308" s="255" t="s">
        <v>1068</v>
      </c>
    </row>
    <row r="309" spans="1:8">
      <c r="C309" s="255" t="s">
        <v>1071</v>
      </c>
    </row>
    <row r="310" spans="1:8">
      <c r="C310" s="540" t="s">
        <v>1130</v>
      </c>
      <c r="D310" s="540"/>
      <c r="E310" s="540"/>
    </row>
    <row r="313" spans="1:8">
      <c r="A313" s="348" t="s">
        <v>1131</v>
      </c>
      <c r="B313" s="349"/>
      <c r="C313" s="349"/>
      <c r="D313" s="349"/>
      <c r="E313" s="349"/>
      <c r="F313" s="349"/>
      <c r="G313" s="349"/>
      <c r="H313" s="350"/>
    </row>
    <row r="314" spans="1:8">
      <c r="A314" s="351" t="s">
        <v>1132</v>
      </c>
      <c r="B314" s="352"/>
      <c r="C314" s="352"/>
      <c r="D314" s="352"/>
      <c r="E314" s="352"/>
      <c r="F314" s="352"/>
      <c r="G314" s="352"/>
      <c r="H314" s="353"/>
    </row>
    <row r="315" spans="1:8">
      <c r="A315" s="355" t="s">
        <v>1133</v>
      </c>
      <c r="B315" s="356"/>
      <c r="C315" s="356"/>
      <c r="D315" s="356"/>
      <c r="E315" s="356"/>
      <c r="F315" s="356"/>
      <c r="G315" s="356"/>
      <c r="H315" s="357"/>
    </row>
    <row r="317" spans="1:8">
      <c r="A317" s="255" t="s">
        <v>1134</v>
      </c>
      <c r="B317" s="255" t="s">
        <v>1137</v>
      </c>
      <c r="C317" s="540" t="s">
        <v>1139</v>
      </c>
      <c r="D317" s="540"/>
      <c r="E317" s="540"/>
    </row>
    <row r="318" spans="1:8">
      <c r="A318" s="255" t="s">
        <v>1135</v>
      </c>
      <c r="B318" s="255" t="s">
        <v>1138</v>
      </c>
      <c r="C318" s="540" t="s">
        <v>1077</v>
      </c>
      <c r="D318" s="540"/>
      <c r="E318" s="540"/>
    </row>
    <row r="320" spans="1:8">
      <c r="A320" s="255" t="s">
        <v>1136</v>
      </c>
      <c r="C320" s="255" t="s">
        <v>1071</v>
      </c>
    </row>
    <row r="321" spans="1:8">
      <c r="C321" s="540" t="s">
        <v>1257</v>
      </c>
      <c r="D321" s="540"/>
      <c r="E321" s="540"/>
    </row>
    <row r="324" spans="1:8">
      <c r="C324" s="541" t="s">
        <v>1140</v>
      </c>
    </row>
    <row r="328" spans="1:8">
      <c r="D328" s="255" t="s">
        <v>1082</v>
      </c>
    </row>
    <row r="329" spans="1:8">
      <c r="G329" s="255" t="s">
        <v>1141</v>
      </c>
    </row>
    <row r="333" spans="1:8">
      <c r="E333" s="255" t="s">
        <v>747</v>
      </c>
      <c r="F333" s="255" t="s">
        <v>1083</v>
      </c>
    </row>
    <row r="335" spans="1:8">
      <c r="A335" s="348" t="s">
        <v>1143</v>
      </c>
      <c r="B335" s="349"/>
      <c r="C335" s="349"/>
      <c r="D335" s="349"/>
      <c r="E335" s="349"/>
      <c r="F335" s="349"/>
      <c r="G335" s="349"/>
      <c r="H335" s="350"/>
    </row>
    <row r="336" spans="1:8">
      <c r="A336" s="351" t="s">
        <v>1144</v>
      </c>
      <c r="B336" s="352"/>
      <c r="C336" s="352"/>
      <c r="D336" s="352"/>
      <c r="E336" s="352"/>
      <c r="F336" s="352"/>
      <c r="G336" s="352"/>
      <c r="H336" s="353"/>
    </row>
    <row r="337" spans="1:8">
      <c r="A337" s="351" t="s">
        <v>1145</v>
      </c>
      <c r="B337" s="352"/>
      <c r="C337" s="352"/>
      <c r="D337" s="352"/>
      <c r="E337" s="352"/>
      <c r="F337" s="352"/>
      <c r="G337" s="352"/>
      <c r="H337" s="353"/>
    </row>
    <row r="338" spans="1:8">
      <c r="A338" s="355" t="s">
        <v>1129</v>
      </c>
      <c r="B338" s="356"/>
      <c r="C338" s="356"/>
      <c r="D338" s="356"/>
      <c r="E338" s="356"/>
      <c r="F338" s="356"/>
      <c r="G338" s="356"/>
      <c r="H338" s="357"/>
    </row>
    <row r="340" spans="1:8">
      <c r="A340" s="255" t="s">
        <v>1146</v>
      </c>
      <c r="B340" s="255" t="s">
        <v>1138</v>
      </c>
      <c r="D340" s="540" t="s">
        <v>1151</v>
      </c>
    </row>
    <row r="341" spans="1:8">
      <c r="A341" s="255" t="s">
        <v>1147</v>
      </c>
      <c r="B341" s="255" t="s">
        <v>1138</v>
      </c>
      <c r="D341" s="540" t="s">
        <v>1077</v>
      </c>
    </row>
    <row r="342" spans="1:8">
      <c r="A342" s="255" t="s">
        <v>1091</v>
      </c>
      <c r="B342" s="255" t="s">
        <v>1137</v>
      </c>
    </row>
    <row r="343" spans="1:8">
      <c r="D343" s="255" t="s">
        <v>1071</v>
      </c>
    </row>
    <row r="344" spans="1:8">
      <c r="A344" s="255" t="s">
        <v>1149</v>
      </c>
      <c r="D344" s="540" t="s">
        <v>1152</v>
      </c>
    </row>
    <row r="345" spans="1:8">
      <c r="A345" s="255" t="s">
        <v>1093</v>
      </c>
    </row>
    <row r="346" spans="1:8">
      <c r="A346" s="255" t="s">
        <v>1150</v>
      </c>
    </row>
    <row r="349" spans="1:8">
      <c r="F349" s="255" t="s">
        <v>1148</v>
      </c>
    </row>
    <row r="350" spans="1:8">
      <c r="C350" s="255" t="s">
        <v>1082</v>
      </c>
    </row>
    <row r="351" spans="1:8">
      <c r="F351" s="255" t="s">
        <v>1153</v>
      </c>
    </row>
    <row r="355" spans="1:8">
      <c r="D355" s="255" t="s">
        <v>747</v>
      </c>
      <c r="E355" s="255" t="s">
        <v>1083</v>
      </c>
    </row>
    <row r="357" spans="1:8">
      <c r="A357" s="348" t="s">
        <v>1098</v>
      </c>
      <c r="B357" s="349"/>
      <c r="C357" s="349"/>
      <c r="D357" s="349"/>
      <c r="E357" s="349"/>
      <c r="F357" s="349"/>
      <c r="G357" s="349"/>
      <c r="H357" s="350"/>
    </row>
    <row r="358" spans="1:8">
      <c r="A358" s="351" t="s">
        <v>1154</v>
      </c>
      <c r="B358" s="352"/>
      <c r="C358" s="352"/>
      <c r="D358" s="352"/>
      <c r="E358" s="352"/>
      <c r="F358" s="352"/>
      <c r="G358" s="352"/>
      <c r="H358" s="353"/>
    </row>
    <row r="359" spans="1:8">
      <c r="A359" s="351" t="s">
        <v>1155</v>
      </c>
      <c r="B359" s="352"/>
      <c r="C359" s="352"/>
      <c r="D359" s="352"/>
      <c r="E359" s="352"/>
      <c r="F359" s="352"/>
      <c r="G359" s="352"/>
      <c r="H359" s="353"/>
    </row>
    <row r="360" spans="1:8">
      <c r="A360" s="355" t="s">
        <v>1129</v>
      </c>
      <c r="B360" s="356"/>
      <c r="C360" s="356"/>
      <c r="D360" s="356"/>
      <c r="E360" s="356"/>
      <c r="F360" s="356"/>
      <c r="G360" s="356"/>
      <c r="H360" s="357"/>
    </row>
    <row r="362" spans="1:8">
      <c r="A362" s="255" t="s">
        <v>1110</v>
      </c>
      <c r="C362" s="540" t="s">
        <v>1157</v>
      </c>
    </row>
    <row r="363" spans="1:8">
      <c r="A363" s="255" t="s">
        <v>1156</v>
      </c>
      <c r="B363" s="255" t="s">
        <v>1079</v>
      </c>
      <c r="C363" s="540" t="s">
        <v>1105</v>
      </c>
    </row>
    <row r="365" spans="1:8">
      <c r="A365" s="255" t="s">
        <v>1104</v>
      </c>
      <c r="C365" s="255" t="s">
        <v>1071</v>
      </c>
    </row>
    <row r="366" spans="1:8">
      <c r="C366" s="540" t="s">
        <v>1128</v>
      </c>
    </row>
    <row r="369" spans="1:8">
      <c r="A369" s="348" t="s">
        <v>1107</v>
      </c>
      <c r="B369" s="349"/>
      <c r="C369" s="349"/>
      <c r="D369" s="349"/>
      <c r="E369" s="349"/>
      <c r="F369" s="349"/>
      <c r="G369" s="349"/>
      <c r="H369" s="350"/>
    </row>
    <row r="370" spans="1:8">
      <c r="A370" s="351" t="s">
        <v>1099</v>
      </c>
      <c r="B370" s="352"/>
      <c r="C370" s="352"/>
      <c r="D370" s="352"/>
      <c r="E370" s="352"/>
      <c r="F370" s="352"/>
      <c r="G370" s="352"/>
      <c r="H370" s="353"/>
    </row>
    <row r="371" spans="1:8">
      <c r="A371" s="351" t="s">
        <v>1109</v>
      </c>
      <c r="B371" s="352"/>
      <c r="C371" s="352"/>
      <c r="D371" s="352"/>
      <c r="E371" s="352"/>
      <c r="F371" s="352"/>
      <c r="G371" s="352"/>
      <c r="H371" s="353"/>
    </row>
    <row r="372" spans="1:8">
      <c r="A372" s="351" t="s">
        <v>1158</v>
      </c>
      <c r="B372" s="352"/>
      <c r="C372" s="352"/>
      <c r="D372" s="352"/>
      <c r="E372" s="352"/>
      <c r="F372" s="352"/>
      <c r="G372" s="352"/>
      <c r="H372" s="353"/>
    </row>
    <row r="373" spans="1:8">
      <c r="A373" s="355" t="s">
        <v>1066</v>
      </c>
      <c r="B373" s="356"/>
      <c r="C373" s="356"/>
      <c r="D373" s="356"/>
      <c r="E373" s="356"/>
      <c r="F373" s="356"/>
      <c r="G373" s="356"/>
      <c r="H373" s="357"/>
    </row>
    <row r="375" spans="1:8">
      <c r="A375" s="255" t="s">
        <v>1101</v>
      </c>
      <c r="B375" s="255" t="s">
        <v>1116</v>
      </c>
      <c r="E375" s="540" t="s">
        <v>1163</v>
      </c>
    </row>
    <row r="376" spans="1:8">
      <c r="A376" s="255" t="s">
        <v>1159</v>
      </c>
      <c r="B376" s="255" t="s">
        <v>1116</v>
      </c>
      <c r="E376" s="540" t="s">
        <v>1118</v>
      </c>
    </row>
    <row r="377" spans="1:8">
      <c r="A377" s="255" t="s">
        <v>1091</v>
      </c>
      <c r="B377" s="255" t="s">
        <v>1078</v>
      </c>
    </row>
    <row r="378" spans="1:8">
      <c r="E378" s="255" t="s">
        <v>1071</v>
      </c>
    </row>
    <row r="379" spans="1:8">
      <c r="A379" s="255" t="s">
        <v>1149</v>
      </c>
      <c r="E379" s="540" t="s">
        <v>1164</v>
      </c>
    </row>
    <row r="380" spans="1:8">
      <c r="A380" s="255" t="s">
        <v>1093</v>
      </c>
    </row>
    <row r="381" spans="1:8">
      <c r="A381" s="359" t="s">
        <v>1160</v>
      </c>
    </row>
    <row r="382" spans="1:8">
      <c r="A382" s="255" t="s">
        <v>1114</v>
      </c>
    </row>
    <row r="383" spans="1:8">
      <c r="A383" s="359" t="s">
        <v>1161</v>
      </c>
    </row>
    <row r="386" spans="3:5">
      <c r="C386" s="541" t="s">
        <v>1162</v>
      </c>
    </row>
    <row r="389" spans="3:5">
      <c r="C389" s="255" t="s">
        <v>1082</v>
      </c>
    </row>
    <row r="390" spans="3:5">
      <c r="E390" s="255" t="s">
        <v>1141</v>
      </c>
    </row>
    <row r="394" spans="3:5">
      <c r="D394" s="255" t="s">
        <v>747</v>
      </c>
      <c r="E394" s="255" t="s">
        <v>1083</v>
      </c>
    </row>
    <row r="401" spans="1:4" s="542" customFormat="1"/>
    <row r="403" spans="1:4" ht="21">
      <c r="A403" s="346" t="s">
        <v>1165</v>
      </c>
    </row>
    <row r="405" spans="1:4">
      <c r="A405" s="255" t="s">
        <v>1167</v>
      </c>
    </row>
    <row r="407" spans="1:4" ht="18.75">
      <c r="A407" s="544" t="s">
        <v>1166</v>
      </c>
    </row>
    <row r="410" spans="1:4">
      <c r="A410" s="312" t="s">
        <v>1168</v>
      </c>
      <c r="B410" s="312"/>
      <c r="C410" s="312"/>
      <c r="D410" s="312"/>
    </row>
    <row r="411" spans="1:4">
      <c r="A411" s="312" t="s">
        <v>1169</v>
      </c>
      <c r="B411" s="312"/>
      <c r="C411" s="312"/>
      <c r="D411" s="312"/>
    </row>
    <row r="419" spans="1:5">
      <c r="A419" s="255" t="s">
        <v>1173</v>
      </c>
    </row>
    <row r="421" spans="1:5">
      <c r="A421" s="312" t="s">
        <v>1170</v>
      </c>
    </row>
    <row r="422" spans="1:5">
      <c r="A422" s="312" t="s">
        <v>1171</v>
      </c>
    </row>
    <row r="430" spans="1:5" ht="14.25">
      <c r="A430" s="543" t="s">
        <v>1172</v>
      </c>
    </row>
    <row r="432" spans="1:5">
      <c r="A432" s="561" t="s">
        <v>1178</v>
      </c>
      <c r="B432" s="562"/>
      <c r="C432" s="562"/>
      <c r="D432" s="562"/>
      <c r="E432" s="545"/>
    </row>
    <row r="433" spans="1:10">
      <c r="A433" s="546"/>
      <c r="B433" s="547" t="s">
        <v>1179</v>
      </c>
      <c r="C433" s="547"/>
      <c r="D433" s="547"/>
      <c r="E433" s="548"/>
    </row>
    <row r="434" spans="1:10">
      <c r="A434" s="546"/>
      <c r="B434" s="547" t="s">
        <v>1180</v>
      </c>
      <c r="C434" s="547"/>
      <c r="D434" s="547"/>
      <c r="E434" s="548"/>
    </row>
    <row r="435" spans="1:10">
      <c r="A435" s="549"/>
      <c r="B435" s="550" t="s">
        <v>1181</v>
      </c>
      <c r="C435" s="550"/>
      <c r="D435" s="550"/>
      <c r="E435" s="551"/>
      <c r="H435" s="255" t="s">
        <v>1182</v>
      </c>
    </row>
    <row r="437" spans="1:10" ht="12" thickBot="1"/>
    <row r="438" spans="1:10">
      <c r="A438" s="552" t="s">
        <v>1174</v>
      </c>
      <c r="B438" s="553"/>
      <c r="C438" s="553"/>
      <c r="D438" s="553"/>
      <c r="E438" s="553"/>
      <c r="F438" s="553"/>
      <c r="G438" s="554"/>
    </row>
    <row r="439" spans="1:10">
      <c r="A439" s="555" t="s">
        <v>1175</v>
      </c>
      <c r="B439" s="556"/>
      <c r="C439" s="556"/>
      <c r="D439" s="556"/>
      <c r="E439" s="556"/>
      <c r="F439" s="556"/>
      <c r="G439" s="557"/>
    </row>
    <row r="440" spans="1:10">
      <c r="A440" s="555" t="s">
        <v>1176</v>
      </c>
      <c r="B440" s="556"/>
      <c r="C440" s="556"/>
      <c r="D440" s="556"/>
      <c r="E440" s="556"/>
      <c r="F440" s="556"/>
      <c r="G440" s="557"/>
    </row>
    <row r="441" spans="1:10" ht="12" thickBot="1">
      <c r="A441" s="558" t="s">
        <v>1177</v>
      </c>
      <c r="B441" s="559"/>
      <c r="C441" s="559"/>
      <c r="D441" s="559"/>
      <c r="E441" s="559"/>
      <c r="F441" s="559"/>
      <c r="G441" s="560"/>
    </row>
    <row r="443" spans="1:10" ht="24">
      <c r="A443" s="563" t="s">
        <v>1183</v>
      </c>
    </row>
    <row r="444" spans="1:10">
      <c r="A444" s="255" t="s">
        <v>1185</v>
      </c>
    </row>
    <row r="445" spans="1:10" ht="21">
      <c r="A445" s="564" t="s">
        <v>1184</v>
      </c>
      <c r="B445" s="565"/>
      <c r="C445" s="565"/>
      <c r="D445" s="565"/>
      <c r="E445" s="565"/>
      <c r="F445" s="565"/>
      <c r="G445" s="565"/>
      <c r="H445" s="565"/>
      <c r="I445" s="565"/>
      <c r="J445" s="565"/>
    </row>
    <row r="447" spans="1:10">
      <c r="B447" s="255" t="s">
        <v>1186</v>
      </c>
    </row>
    <row r="450" spans="1:5">
      <c r="E450" s="255" t="s">
        <v>1189</v>
      </c>
    </row>
    <row r="452" spans="1:5">
      <c r="C452" s="255" t="s">
        <v>1187</v>
      </c>
    </row>
    <row r="454" spans="1:5">
      <c r="D454" s="360" t="s">
        <v>1188</v>
      </c>
    </row>
    <row r="459" spans="1:5" ht="18.75">
      <c r="A459" s="544" t="s">
        <v>1190</v>
      </c>
    </row>
    <row r="461" spans="1:5">
      <c r="A461" s="312" t="s">
        <v>1170</v>
      </c>
      <c r="B461" s="312"/>
      <c r="C461" s="312"/>
      <c r="D461" s="312"/>
    </row>
    <row r="462" spans="1:5">
      <c r="A462" s="312" t="s">
        <v>1191</v>
      </c>
      <c r="B462" s="312"/>
      <c r="C462" s="312"/>
      <c r="D462" s="312"/>
    </row>
    <row r="464" spans="1:5">
      <c r="A464" s="255" t="s">
        <v>1192</v>
      </c>
    </row>
    <row r="466" spans="1:8">
      <c r="A466" s="312" t="s">
        <v>1168</v>
      </c>
    </row>
    <row r="467" spans="1:8">
      <c r="A467" s="312" t="s">
        <v>1193</v>
      </c>
    </row>
    <row r="469" spans="1:8" ht="14.25">
      <c r="A469" s="543" t="s">
        <v>1172</v>
      </c>
    </row>
    <row r="471" spans="1:8">
      <c r="A471" s="561" t="s">
        <v>1178</v>
      </c>
      <c r="B471" s="562"/>
      <c r="C471" s="562"/>
      <c r="D471" s="562"/>
      <c r="E471" s="545"/>
    </row>
    <row r="472" spans="1:8">
      <c r="A472" s="546"/>
      <c r="B472" s="547" t="s">
        <v>1195</v>
      </c>
      <c r="C472" s="547"/>
      <c r="D472" s="547"/>
      <c r="E472" s="548"/>
    </row>
    <row r="473" spans="1:8">
      <c r="A473" s="546"/>
      <c r="B473" s="547" t="s">
        <v>1196</v>
      </c>
      <c r="C473" s="547"/>
      <c r="D473" s="547"/>
      <c r="E473" s="548"/>
    </row>
    <row r="474" spans="1:8">
      <c r="A474" s="549"/>
      <c r="B474" s="550" t="s">
        <v>1197</v>
      </c>
      <c r="C474" s="550"/>
      <c r="D474" s="550"/>
      <c r="E474" s="551"/>
      <c r="H474" s="255" t="s">
        <v>1194</v>
      </c>
    </row>
    <row r="476" spans="1:8" ht="12" thickBot="1"/>
    <row r="477" spans="1:8">
      <c r="A477" s="552" t="s">
        <v>1200</v>
      </c>
      <c r="B477" s="553"/>
      <c r="C477" s="553"/>
      <c r="D477" s="553"/>
      <c r="E477" s="553"/>
      <c r="F477" s="553"/>
      <c r="G477" s="554"/>
    </row>
    <row r="478" spans="1:8">
      <c r="A478" s="555" t="s">
        <v>1198</v>
      </c>
      <c r="B478" s="556"/>
      <c r="C478" s="556"/>
      <c r="D478" s="556"/>
      <c r="E478" s="556"/>
      <c r="F478" s="556"/>
      <c r="G478" s="557"/>
    </row>
    <row r="479" spans="1:8">
      <c r="A479" s="555" t="s">
        <v>1199</v>
      </c>
      <c r="B479" s="556"/>
      <c r="C479" s="556"/>
      <c r="D479" s="556"/>
      <c r="E479" s="556"/>
      <c r="F479" s="556"/>
      <c r="G479" s="557"/>
    </row>
    <row r="480" spans="1:8" ht="12" thickBot="1">
      <c r="A480" s="558" t="s">
        <v>1201</v>
      </c>
      <c r="B480" s="559"/>
      <c r="C480" s="559"/>
      <c r="D480" s="559"/>
      <c r="E480" s="559"/>
      <c r="F480" s="559"/>
      <c r="G480" s="560"/>
    </row>
    <row r="482" spans="1:10" ht="24">
      <c r="A482" s="563" t="s">
        <v>1202</v>
      </c>
    </row>
    <row r="483" spans="1:10">
      <c r="A483" s="255" t="s">
        <v>1185</v>
      </c>
    </row>
    <row r="484" spans="1:10" ht="21">
      <c r="A484" s="564" t="s">
        <v>1203</v>
      </c>
      <c r="B484" s="565"/>
      <c r="C484" s="565"/>
      <c r="D484" s="565"/>
      <c r="E484" s="565"/>
      <c r="F484" s="565"/>
      <c r="G484" s="565"/>
      <c r="H484" s="565"/>
      <c r="I484" s="565"/>
      <c r="J484" s="565"/>
    </row>
    <row r="486" spans="1:10">
      <c r="D486" s="360" t="s">
        <v>1204</v>
      </c>
    </row>
    <row r="489" spans="1:10">
      <c r="E489" s="255" t="s">
        <v>1189</v>
      </c>
    </row>
    <row r="491" spans="1:10">
      <c r="C491" s="255" t="s">
        <v>1205</v>
      </c>
    </row>
    <row r="492" spans="1:10">
      <c r="B492" s="255" t="s">
        <v>1206</v>
      </c>
    </row>
    <row r="493" spans="1:10">
      <c r="D493" s="360"/>
    </row>
    <row r="499" spans="1:8" s="566" customFormat="1"/>
    <row r="501" spans="1:8" ht="28.5">
      <c r="A501" s="491" t="s">
        <v>1207</v>
      </c>
    </row>
    <row r="503" spans="1:8" ht="17.25">
      <c r="A503" s="567" t="s">
        <v>1208</v>
      </c>
    </row>
    <row r="504" spans="1:8">
      <c r="A504" s="348" t="s">
        <v>1209</v>
      </c>
      <c r="B504" s="349"/>
      <c r="C504" s="349"/>
      <c r="D504" s="349"/>
      <c r="E504" s="349"/>
      <c r="F504" s="349"/>
      <c r="G504" s="349"/>
      <c r="H504" s="350"/>
    </row>
    <row r="505" spans="1:8">
      <c r="A505" s="351" t="s">
        <v>1210</v>
      </c>
      <c r="B505" s="352"/>
      <c r="C505" s="352"/>
      <c r="D505" s="352"/>
      <c r="E505" s="352"/>
      <c r="F505" s="352"/>
      <c r="G505" s="352"/>
      <c r="H505" s="353"/>
    </row>
    <row r="506" spans="1:8">
      <c r="A506" s="351" t="s">
        <v>1211</v>
      </c>
      <c r="B506" s="352"/>
      <c r="C506" s="352"/>
      <c r="D506" s="352"/>
      <c r="E506" s="352"/>
      <c r="F506" s="352"/>
      <c r="G506" s="352"/>
      <c r="H506" s="353"/>
    </row>
    <row r="507" spans="1:8">
      <c r="A507" s="351" t="s">
        <v>1212</v>
      </c>
      <c r="B507" s="352"/>
      <c r="C507" s="352"/>
      <c r="D507" s="352"/>
      <c r="E507" s="352"/>
      <c r="F507" s="352"/>
      <c r="G507" s="352"/>
      <c r="H507" s="353"/>
    </row>
    <row r="508" spans="1:8">
      <c r="A508" s="355" t="s">
        <v>1213</v>
      </c>
      <c r="B508" s="356"/>
      <c r="C508" s="356"/>
      <c r="D508" s="356"/>
      <c r="E508" s="356"/>
      <c r="F508" s="356"/>
      <c r="G508" s="356"/>
      <c r="H508" s="357"/>
    </row>
    <row r="510" spans="1:8">
      <c r="A510" s="255" t="s">
        <v>1214</v>
      </c>
      <c r="B510" s="255" t="s">
        <v>1138</v>
      </c>
      <c r="E510" s="540" t="s">
        <v>1219</v>
      </c>
    </row>
    <row r="511" spans="1:8">
      <c r="A511" s="255" t="s">
        <v>1215</v>
      </c>
      <c r="B511" s="255" t="s">
        <v>1138</v>
      </c>
      <c r="E511" s="540" t="s">
        <v>1220</v>
      </c>
    </row>
    <row r="512" spans="1:8">
      <c r="A512" s="255" t="s">
        <v>1216</v>
      </c>
      <c r="B512" s="255" t="s">
        <v>1137</v>
      </c>
    </row>
    <row r="513" spans="1:8">
      <c r="E513" s="255" t="s">
        <v>1071</v>
      </c>
    </row>
    <row r="514" spans="1:8">
      <c r="A514" s="255" t="s">
        <v>1149</v>
      </c>
      <c r="E514" s="540" t="s">
        <v>1221</v>
      </c>
    </row>
    <row r="515" spans="1:8">
      <c r="A515" s="255" t="s">
        <v>1218</v>
      </c>
    </row>
    <row r="516" spans="1:8">
      <c r="A516" s="255" t="s">
        <v>1217</v>
      </c>
    </row>
    <row r="519" spans="1:8">
      <c r="F519" s="255" t="s">
        <v>1148</v>
      </c>
    </row>
    <row r="520" spans="1:8">
      <c r="C520" s="255" t="s">
        <v>1082</v>
      </c>
    </row>
    <row r="521" spans="1:8">
      <c r="F521" s="255" t="s">
        <v>1153</v>
      </c>
    </row>
    <row r="525" spans="1:8">
      <c r="D525" s="255" t="s">
        <v>747</v>
      </c>
      <c r="E525" s="255" t="s">
        <v>1083</v>
      </c>
    </row>
    <row r="527" spans="1:8">
      <c r="A527" s="348" t="s">
        <v>1222</v>
      </c>
      <c r="B527" s="349"/>
      <c r="C527" s="349"/>
      <c r="D527" s="349"/>
      <c r="E527" s="349"/>
      <c r="F527" s="349"/>
      <c r="G527" s="349"/>
      <c r="H527" s="350"/>
    </row>
    <row r="528" spans="1:8">
      <c r="A528" s="351" t="s">
        <v>1223</v>
      </c>
      <c r="B528" s="352"/>
      <c r="C528" s="352"/>
      <c r="D528" s="352"/>
      <c r="E528" s="352"/>
      <c r="F528" s="352"/>
      <c r="G528" s="352"/>
      <c r="H528" s="353"/>
    </row>
    <row r="529" spans="1:9">
      <c r="A529" s="355" t="s">
        <v>1224</v>
      </c>
      <c r="B529" s="356"/>
      <c r="C529" s="356"/>
      <c r="D529" s="356"/>
      <c r="E529" s="356"/>
      <c r="F529" s="356"/>
      <c r="G529" s="356"/>
      <c r="H529" s="357"/>
    </row>
    <row r="531" spans="1:9" ht="17.25">
      <c r="A531" s="508" t="s">
        <v>1045</v>
      </c>
      <c r="B531" s="427"/>
      <c r="C531" s="427"/>
      <c r="D531" s="427"/>
      <c r="E531" s="427"/>
      <c r="F531" s="427"/>
      <c r="G531" s="427"/>
      <c r="H531" s="427"/>
      <c r="I531" s="427"/>
    </row>
    <row r="532" spans="1:9" ht="17.25">
      <c r="A532" s="508" t="s">
        <v>1046</v>
      </c>
      <c r="B532" s="427"/>
      <c r="C532" s="427"/>
      <c r="D532" s="427"/>
      <c r="E532" s="427"/>
      <c r="F532" s="427"/>
      <c r="G532" s="427"/>
      <c r="H532" s="427"/>
      <c r="I532" s="427"/>
    </row>
    <row r="534" spans="1:9">
      <c r="A534" s="255" t="s">
        <v>1225</v>
      </c>
    </row>
    <row r="535" spans="1:9">
      <c r="A535" s="255" t="s">
        <v>1226</v>
      </c>
    </row>
    <row r="536" spans="1:9">
      <c r="A536" s="359" t="s">
        <v>1227</v>
      </c>
    </row>
    <row r="538" spans="1:9">
      <c r="A538" s="255" t="s">
        <v>1233</v>
      </c>
    </row>
    <row r="539" spans="1:9">
      <c r="A539" s="255" t="s">
        <v>1228</v>
      </c>
    </row>
    <row r="541" spans="1:9">
      <c r="A541" s="569" t="s">
        <v>1229</v>
      </c>
      <c r="B541" s="570"/>
      <c r="C541" s="570"/>
      <c r="D541" s="570"/>
      <c r="E541" s="362"/>
      <c r="F541" s="362"/>
      <c r="G541" s="362"/>
    </row>
    <row r="542" spans="1:9">
      <c r="A542" s="569" t="s">
        <v>1230</v>
      </c>
      <c r="B542" s="570"/>
      <c r="C542" s="570"/>
      <c r="D542" s="570"/>
      <c r="E542" s="362"/>
      <c r="F542" s="362"/>
      <c r="G542" s="362"/>
    </row>
    <row r="543" spans="1:9">
      <c r="A543" s="569" t="s">
        <v>1231</v>
      </c>
      <c r="B543" s="570"/>
      <c r="C543" s="570"/>
      <c r="D543" s="570"/>
      <c r="E543" s="362"/>
      <c r="F543" s="362"/>
      <c r="G543" s="362"/>
    </row>
    <row r="544" spans="1:9">
      <c r="A544" s="569" t="s">
        <v>1232</v>
      </c>
      <c r="B544" s="570"/>
      <c r="C544" s="570"/>
      <c r="D544" s="570"/>
      <c r="E544" s="362"/>
      <c r="F544" s="362"/>
      <c r="G544" s="362"/>
    </row>
    <row r="547" spans="1:8">
      <c r="A547" s="348" t="s">
        <v>1234</v>
      </c>
      <c r="B547" s="349"/>
      <c r="C547" s="349"/>
      <c r="D547" s="349"/>
      <c r="E547" s="349"/>
      <c r="F547" s="349"/>
      <c r="G547" s="349"/>
      <c r="H547" s="350"/>
    </row>
    <row r="548" spans="1:8">
      <c r="A548" s="351" t="s">
        <v>1235</v>
      </c>
      <c r="B548" s="352"/>
      <c r="C548" s="352"/>
      <c r="D548" s="352"/>
      <c r="E548" s="352"/>
      <c r="F548" s="352"/>
      <c r="G548" s="352"/>
      <c r="H548" s="353"/>
    </row>
    <row r="549" spans="1:8">
      <c r="A549" s="351" t="s">
        <v>1236</v>
      </c>
      <c r="B549" s="352"/>
      <c r="C549" s="352"/>
      <c r="D549" s="352"/>
      <c r="E549" s="352"/>
      <c r="F549" s="352"/>
      <c r="G549" s="352"/>
      <c r="H549" s="353"/>
    </row>
    <row r="550" spans="1:8">
      <c r="A550" s="355" t="s">
        <v>1237</v>
      </c>
      <c r="B550" s="356"/>
      <c r="C550" s="356"/>
      <c r="D550" s="356"/>
      <c r="E550" s="356"/>
      <c r="F550" s="356"/>
      <c r="G550" s="356"/>
      <c r="H550" s="357"/>
    </row>
    <row r="552" spans="1:8">
      <c r="A552" s="255" t="s">
        <v>1238</v>
      </c>
    </row>
    <row r="553" spans="1:8">
      <c r="A553" s="255" t="s">
        <v>1239</v>
      </c>
    </row>
    <row r="554" spans="1:8">
      <c r="A554" s="255" t="s">
        <v>1240</v>
      </c>
    </row>
    <row r="555" spans="1:8">
      <c r="A555" s="255" t="s">
        <v>1241</v>
      </c>
      <c r="B555" s="424" t="s">
        <v>1242</v>
      </c>
      <c r="C555" s="424"/>
      <c r="D555" s="424"/>
    </row>
    <row r="556" spans="1:8" ht="12" thickBot="1"/>
    <row r="557" spans="1:8" ht="24">
      <c r="A557" s="509" t="s">
        <v>1036</v>
      </c>
      <c r="B557" s="510"/>
      <c r="C557" s="510"/>
      <c r="D557" s="510"/>
      <c r="E557" s="510"/>
      <c r="F557" s="511"/>
    </row>
    <row r="558" spans="1:8" ht="24.75" thickBot="1">
      <c r="A558" s="512" t="s">
        <v>1037</v>
      </c>
      <c r="B558" s="513"/>
      <c r="C558" s="513"/>
      <c r="D558" s="513"/>
      <c r="E558" s="513"/>
      <c r="F558" s="514"/>
    </row>
    <row r="560" spans="1:8">
      <c r="A560" s="255" t="s">
        <v>1251</v>
      </c>
    </row>
    <row r="561" spans="1:8">
      <c r="A561" s="255" t="s">
        <v>1252</v>
      </c>
      <c r="E561" s="569" t="s">
        <v>1245</v>
      </c>
      <c r="F561" s="570"/>
      <c r="G561" s="570"/>
      <c r="H561" s="570"/>
    </row>
    <row r="562" spans="1:8">
      <c r="A562" s="255" t="s">
        <v>1253</v>
      </c>
      <c r="E562" s="569" t="s">
        <v>1246</v>
      </c>
      <c r="F562" s="570"/>
      <c r="G562" s="570"/>
      <c r="H562" s="570"/>
    </row>
    <row r="563" spans="1:8">
      <c r="C563" s="255" t="s">
        <v>1247</v>
      </c>
      <c r="E563" s="569" t="s">
        <v>1248</v>
      </c>
      <c r="F563" s="570"/>
      <c r="G563" s="570"/>
      <c r="H563" s="570"/>
    </row>
    <row r="564" spans="1:8">
      <c r="A564" s="359" t="s">
        <v>1243</v>
      </c>
      <c r="E564" s="569" t="s">
        <v>1249</v>
      </c>
      <c r="F564" s="570"/>
      <c r="G564" s="570"/>
      <c r="H564" s="570"/>
    </row>
    <row r="565" spans="1:8">
      <c r="A565" s="359" t="s">
        <v>1244</v>
      </c>
      <c r="E565" s="568"/>
    </row>
    <row r="566" spans="1:8">
      <c r="A566" s="571" t="s">
        <v>1254</v>
      </c>
      <c r="B566" s="572"/>
      <c r="C566" s="572"/>
      <c r="E566" s="255" t="s">
        <v>1250</v>
      </c>
    </row>
    <row r="567" spans="1:8">
      <c r="A567" s="255" t="s">
        <v>1255</v>
      </c>
    </row>
    <row r="568" spans="1:8">
      <c r="A568" s="255" t="s">
        <v>1256</v>
      </c>
    </row>
  </sheetData>
  <phoneticPr fontId="1"/>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10"/>
  <sheetViews>
    <sheetView showGridLines="0" topLeftCell="A181" workbookViewId="0">
      <selection activeCell="A193" sqref="A193:I211"/>
    </sheetView>
  </sheetViews>
  <sheetFormatPr defaultRowHeight="11.25"/>
  <cols>
    <col min="1" max="16384" width="9" style="99"/>
  </cols>
  <sheetData>
    <row r="1" spans="1:8" ht="32.25">
      <c r="A1" s="602" t="s">
        <v>1295</v>
      </c>
    </row>
    <row r="3" spans="1:8" ht="13.5">
      <c r="A3" s="613" t="s">
        <v>1296</v>
      </c>
    </row>
    <row r="4" spans="1:8">
      <c r="A4" s="604" t="s">
        <v>1300</v>
      </c>
      <c r="B4" s="605"/>
      <c r="C4" s="605"/>
      <c r="D4" s="606"/>
    </row>
    <row r="5" spans="1:8">
      <c r="A5" s="607" t="s">
        <v>1301</v>
      </c>
      <c r="B5" s="608"/>
      <c r="C5" s="608"/>
      <c r="D5" s="609"/>
    </row>
    <row r="6" spans="1:8">
      <c r="A6" s="607" t="s">
        <v>1302</v>
      </c>
      <c r="B6" s="608"/>
      <c r="C6" s="608"/>
      <c r="D6" s="609"/>
    </row>
    <row r="7" spans="1:8">
      <c r="A7" s="607" t="s">
        <v>1303</v>
      </c>
      <c r="B7" s="608"/>
      <c r="C7" s="608"/>
      <c r="D7" s="609"/>
    </row>
    <row r="8" spans="1:8">
      <c r="A8" s="607"/>
      <c r="B8" s="608"/>
      <c r="C8" s="608"/>
      <c r="D8" s="609"/>
    </row>
    <row r="9" spans="1:8">
      <c r="A9" s="610" t="s">
        <v>1304</v>
      </c>
      <c r="B9" s="611"/>
      <c r="C9" s="611"/>
      <c r="D9" s="612"/>
    </row>
    <row r="12" spans="1:8">
      <c r="A12" s="99" t="s">
        <v>1297</v>
      </c>
      <c r="C12" s="99" t="s">
        <v>1298</v>
      </c>
      <c r="G12" s="99" t="s">
        <v>1299</v>
      </c>
    </row>
    <row r="16" spans="1:8">
      <c r="H16" s="614" t="s">
        <v>1306</v>
      </c>
    </row>
    <row r="17" spans="2:6">
      <c r="F17" s="151" t="s">
        <v>1305</v>
      </c>
    </row>
    <row r="22" spans="2:6">
      <c r="B22" s="99" t="s">
        <v>1307</v>
      </c>
    </row>
    <row r="24" spans="2:6">
      <c r="B24" s="99" t="s">
        <v>1308</v>
      </c>
    </row>
    <row r="25" spans="2:6">
      <c r="B25" s="99" t="s">
        <v>1309</v>
      </c>
    </row>
    <row r="27" spans="2:6">
      <c r="B27" s="99" t="s">
        <v>1310</v>
      </c>
    </row>
    <row r="28" spans="2:6">
      <c r="B28" s="99" t="s">
        <v>1311</v>
      </c>
    </row>
    <row r="30" spans="2:6">
      <c r="B30" s="99" t="s">
        <v>1313</v>
      </c>
    </row>
    <row r="31" spans="2:6">
      <c r="B31" s="99">
        <f>-90*0.25/(EXP(10%*0.25))</f>
        <v>-21.944473020637485</v>
      </c>
    </row>
    <row r="33" spans="1:5">
      <c r="B33" s="615" t="s">
        <v>1314</v>
      </c>
      <c r="C33" s="615"/>
      <c r="D33" s="615">
        <f>100*0.25 + B31</f>
        <v>3.055526979362515</v>
      </c>
    </row>
    <row r="35" spans="1:5">
      <c r="A35" s="99" t="s">
        <v>1315</v>
      </c>
    </row>
    <row r="36" spans="1:5">
      <c r="A36" s="99" t="s">
        <v>1316</v>
      </c>
    </row>
    <row r="37" spans="1:5">
      <c r="A37" s="99" t="s">
        <v>1317</v>
      </c>
    </row>
    <row r="38" spans="1:5">
      <c r="A38" s="99" t="s">
        <v>1318</v>
      </c>
    </row>
    <row r="39" spans="1:5">
      <c r="A39" s="99" t="s">
        <v>1319</v>
      </c>
    </row>
    <row r="41" spans="1:5">
      <c r="A41" s="99" t="s">
        <v>1320</v>
      </c>
    </row>
    <row r="42" spans="1:5">
      <c r="A42" s="99" t="s">
        <v>1321</v>
      </c>
    </row>
    <row r="44" spans="1:5">
      <c r="A44" s="615" t="s">
        <v>1323</v>
      </c>
      <c r="B44" s="615"/>
      <c r="C44" s="615"/>
      <c r="D44" s="615"/>
      <c r="E44" s="615"/>
    </row>
    <row r="46" spans="1:5">
      <c r="A46" s="99" t="s">
        <v>1328</v>
      </c>
    </row>
    <row r="47" spans="1:5" ht="12" thickBot="1"/>
    <row r="48" spans="1:5">
      <c r="B48" s="616" t="s">
        <v>1308</v>
      </c>
      <c r="C48" s="617"/>
      <c r="D48" s="618"/>
    </row>
    <row r="49" spans="1:4">
      <c r="B49" s="619" t="s">
        <v>1309</v>
      </c>
      <c r="C49" s="188"/>
      <c r="D49" s="620"/>
    </row>
    <row r="50" spans="1:4">
      <c r="B50" s="619" t="s">
        <v>1324</v>
      </c>
      <c r="C50" s="188"/>
      <c r="D50" s="620"/>
    </row>
    <row r="51" spans="1:4">
      <c r="B51" s="619" t="s">
        <v>1325</v>
      </c>
      <c r="C51" s="188"/>
      <c r="D51" s="620"/>
    </row>
    <row r="52" spans="1:4">
      <c r="B52" s="619" t="s">
        <v>1312</v>
      </c>
      <c r="C52" s="188"/>
      <c r="D52" s="620"/>
    </row>
    <row r="53" spans="1:4">
      <c r="B53" s="619"/>
      <c r="C53" s="188"/>
      <c r="D53" s="620"/>
    </row>
    <row r="54" spans="1:4">
      <c r="B54" s="619" t="s">
        <v>1326</v>
      </c>
      <c r="C54" s="188"/>
      <c r="D54" s="620"/>
    </row>
    <row r="55" spans="1:4" ht="12" thickBot="1">
      <c r="B55" s="621" t="s">
        <v>1327</v>
      </c>
      <c r="C55" s="622"/>
      <c r="D55" s="623"/>
    </row>
    <row r="59" spans="1:4" ht="13.5">
      <c r="A59" s="613" t="s">
        <v>1329</v>
      </c>
    </row>
    <row r="60" spans="1:4">
      <c r="A60" s="604" t="s">
        <v>1300</v>
      </c>
      <c r="B60" s="605"/>
      <c r="C60" s="605"/>
      <c r="D60" s="606"/>
    </row>
    <row r="61" spans="1:4">
      <c r="A61" s="607" t="s">
        <v>1330</v>
      </c>
      <c r="B61" s="608"/>
      <c r="C61" s="608"/>
      <c r="D61" s="609"/>
    </row>
    <row r="62" spans="1:4">
      <c r="A62" s="607" t="s">
        <v>1331</v>
      </c>
      <c r="B62" s="608"/>
      <c r="C62" s="608"/>
      <c r="D62" s="609"/>
    </row>
    <row r="63" spans="1:4">
      <c r="A63" s="607" t="s">
        <v>1332</v>
      </c>
      <c r="B63" s="608"/>
      <c r="C63" s="608"/>
      <c r="D63" s="609"/>
    </row>
    <row r="64" spans="1:4">
      <c r="A64" s="607"/>
      <c r="B64" s="608"/>
      <c r="C64" s="608"/>
      <c r="D64" s="609"/>
    </row>
    <row r="65" spans="1:8">
      <c r="A65" s="610" t="s">
        <v>1304</v>
      </c>
      <c r="B65" s="611"/>
      <c r="C65" s="611"/>
      <c r="D65" s="612"/>
    </row>
    <row r="68" spans="1:8">
      <c r="A68" s="99" t="s">
        <v>1297</v>
      </c>
      <c r="C68" s="99" t="s">
        <v>1298</v>
      </c>
      <c r="G68" s="99" t="s">
        <v>1299</v>
      </c>
    </row>
    <row r="72" spans="1:8">
      <c r="H72" s="614" t="s">
        <v>1333</v>
      </c>
    </row>
    <row r="73" spans="1:8">
      <c r="F73" s="151" t="s">
        <v>1336</v>
      </c>
    </row>
    <row r="78" spans="1:8">
      <c r="B78" s="99" t="s">
        <v>1307</v>
      </c>
    </row>
    <row r="80" spans="1:8">
      <c r="B80" s="99" t="s">
        <v>1334</v>
      </c>
    </row>
    <row r="81" spans="1:4">
      <c r="B81" s="99" t="s">
        <v>1335</v>
      </c>
    </row>
    <row r="83" spans="1:4">
      <c r="B83" s="99" t="s">
        <v>1337</v>
      </c>
    </row>
    <row r="84" spans="1:4">
      <c r="B84" s="99" t="s">
        <v>1325</v>
      </c>
      <c r="C84" s="99">
        <f>-8/30</f>
        <v>-0.26666666666666666</v>
      </c>
    </row>
    <row r="86" spans="1:4">
      <c r="B86" s="99" t="s">
        <v>1338</v>
      </c>
    </row>
    <row r="87" spans="1:4">
      <c r="B87" s="99">
        <f xml:space="preserve"> (-120*C84) / 1.01</f>
        <v>31.683168316831683</v>
      </c>
    </row>
    <row r="89" spans="1:4">
      <c r="B89" s="615" t="s">
        <v>1339</v>
      </c>
      <c r="C89" s="615"/>
      <c r="D89" s="615">
        <f>100*C84 + B87</f>
        <v>5.016501650165015</v>
      </c>
    </row>
    <row r="92" spans="1:4">
      <c r="A92" s="99" t="s">
        <v>1315</v>
      </c>
    </row>
    <row r="93" spans="1:4">
      <c r="A93" s="99" t="s">
        <v>1316</v>
      </c>
    </row>
    <row r="94" spans="1:4">
      <c r="A94" s="99" t="s">
        <v>1317</v>
      </c>
    </row>
    <row r="95" spans="1:4">
      <c r="A95" s="99" t="s">
        <v>1318</v>
      </c>
    </row>
    <row r="96" spans="1:4">
      <c r="A96" s="99" t="s">
        <v>1319</v>
      </c>
    </row>
    <row r="98" spans="1:5">
      <c r="A98" s="99" t="s">
        <v>1320</v>
      </c>
    </row>
    <row r="99" spans="1:5">
      <c r="A99" s="99" t="s">
        <v>1321</v>
      </c>
    </row>
    <row r="101" spans="1:5">
      <c r="A101" s="615" t="s">
        <v>1341</v>
      </c>
      <c r="B101" s="615"/>
      <c r="C101" s="615"/>
      <c r="D101" s="615"/>
      <c r="E101" s="615"/>
    </row>
    <row r="103" spans="1:5">
      <c r="A103" s="99" t="s">
        <v>1328</v>
      </c>
    </row>
    <row r="104" spans="1:5" ht="12" thickBot="1"/>
    <row r="105" spans="1:5">
      <c r="B105" s="616" t="s">
        <v>1334</v>
      </c>
      <c r="C105" s="617"/>
      <c r="D105" s="618"/>
    </row>
    <row r="106" spans="1:5">
      <c r="B106" s="619" t="s">
        <v>1335</v>
      </c>
      <c r="C106" s="188"/>
      <c r="D106" s="620"/>
    </row>
    <row r="107" spans="1:5">
      <c r="B107" s="619" t="s">
        <v>1324</v>
      </c>
      <c r="C107" s="188"/>
      <c r="D107" s="620"/>
    </row>
    <row r="108" spans="1:5">
      <c r="B108" s="619" t="s">
        <v>1325</v>
      </c>
      <c r="C108" s="188"/>
      <c r="D108" s="620"/>
    </row>
    <row r="109" spans="1:5">
      <c r="B109" s="619" t="s">
        <v>1312</v>
      </c>
      <c r="C109" s="188"/>
      <c r="D109" s="620"/>
    </row>
    <row r="110" spans="1:5">
      <c r="B110" s="619"/>
      <c r="C110" s="188"/>
      <c r="D110" s="620"/>
    </row>
    <row r="111" spans="1:5">
      <c r="B111" s="619" t="s">
        <v>1342</v>
      </c>
      <c r="C111" s="188"/>
      <c r="D111" s="620"/>
    </row>
    <row r="112" spans="1:5" ht="12" thickBot="1">
      <c r="B112" s="621" t="s">
        <v>1327</v>
      </c>
      <c r="C112" s="622"/>
      <c r="D112" s="623"/>
    </row>
    <row r="116" spans="1:7" ht="17.25">
      <c r="A116" s="103" t="s">
        <v>1343</v>
      </c>
    </row>
    <row r="118" spans="1:7">
      <c r="A118" s="604" t="s">
        <v>1344</v>
      </c>
      <c r="B118" s="605"/>
      <c r="C118" s="605"/>
      <c r="D118" s="606"/>
    </row>
    <row r="119" spans="1:7">
      <c r="A119" s="607" t="s">
        <v>1345</v>
      </c>
      <c r="B119" s="608"/>
      <c r="C119" s="608"/>
      <c r="D119" s="609"/>
    </row>
    <row r="120" spans="1:7">
      <c r="A120" s="607" t="s">
        <v>1346</v>
      </c>
      <c r="B120" s="608"/>
      <c r="C120" s="608"/>
      <c r="D120" s="609"/>
    </row>
    <row r="121" spans="1:7">
      <c r="A121" s="607" t="s">
        <v>1347</v>
      </c>
      <c r="B121" s="608"/>
      <c r="C121" s="608"/>
      <c r="D121" s="609"/>
    </row>
    <row r="122" spans="1:7">
      <c r="A122" s="607" t="s">
        <v>1348</v>
      </c>
      <c r="B122" s="608"/>
      <c r="C122" s="608"/>
      <c r="D122" s="609"/>
    </row>
    <row r="123" spans="1:7">
      <c r="A123" s="610" t="s">
        <v>1304</v>
      </c>
      <c r="B123" s="611"/>
      <c r="C123" s="611"/>
      <c r="D123" s="612"/>
    </row>
    <row r="126" spans="1:7">
      <c r="A126" s="99" t="s">
        <v>1297</v>
      </c>
      <c r="C126" s="99" t="s">
        <v>1298</v>
      </c>
      <c r="G126" s="99" t="s">
        <v>1299</v>
      </c>
    </row>
    <row r="130" spans="2:8">
      <c r="H130" s="614"/>
    </row>
    <row r="131" spans="2:8">
      <c r="F131" s="151" t="s">
        <v>1305</v>
      </c>
    </row>
    <row r="135" spans="2:8">
      <c r="B135" s="99" t="s">
        <v>1307</v>
      </c>
    </row>
    <row r="137" spans="2:8">
      <c r="B137" s="99" t="s">
        <v>1349</v>
      </c>
      <c r="D137" s="99" t="s">
        <v>1351</v>
      </c>
    </row>
    <row r="138" spans="2:8">
      <c r="B138" s="99" t="s">
        <v>1350</v>
      </c>
      <c r="D138" s="99" t="s">
        <v>1352</v>
      </c>
    </row>
    <row r="140" spans="2:8">
      <c r="B140" s="99" t="s">
        <v>1353</v>
      </c>
    </row>
    <row r="141" spans="2:8">
      <c r="B141" s="99" t="s">
        <v>1354</v>
      </c>
    </row>
    <row r="142" spans="2:8">
      <c r="B142" s="615" t="s">
        <v>1355</v>
      </c>
      <c r="C142" s="615"/>
      <c r="D142" s="615"/>
    </row>
    <row r="144" spans="2:8">
      <c r="B144" s="99" t="s">
        <v>1356</v>
      </c>
    </row>
    <row r="145" spans="1:13">
      <c r="B145" s="99" t="s">
        <v>1357</v>
      </c>
    </row>
    <row r="146" spans="1:13">
      <c r="B146" s="615" t="s">
        <v>1358</v>
      </c>
    </row>
    <row r="148" spans="1:13">
      <c r="B148" s="99" t="s">
        <v>1359</v>
      </c>
    </row>
    <row r="149" spans="1:13" ht="24">
      <c r="B149" s="624" t="s">
        <v>1374</v>
      </c>
      <c r="C149" s="624"/>
      <c r="D149" s="624"/>
      <c r="E149" s="624"/>
      <c r="F149" s="624"/>
      <c r="G149" s="624"/>
      <c r="H149" s="603"/>
      <c r="I149" s="603"/>
      <c r="J149" s="603"/>
      <c r="K149" s="603"/>
      <c r="L149" s="603"/>
      <c r="M149" s="603"/>
    </row>
    <row r="152" spans="1:13" ht="17.25">
      <c r="A152" s="103" t="s">
        <v>1360</v>
      </c>
    </row>
    <row r="153" spans="1:13">
      <c r="A153" s="99" t="s">
        <v>1361</v>
      </c>
    </row>
    <row r="155" spans="1:13" ht="21">
      <c r="A155" s="625" t="s">
        <v>1378</v>
      </c>
    </row>
    <row r="157" spans="1:13">
      <c r="A157" s="186" t="s">
        <v>1362</v>
      </c>
      <c r="B157" s="136"/>
      <c r="C157" s="136"/>
      <c r="D157" s="136"/>
      <c r="E157" s="136"/>
      <c r="F157" s="136"/>
      <c r="G157" s="136"/>
      <c r="H157" s="136"/>
      <c r="I157" s="137"/>
    </row>
    <row r="158" spans="1:13">
      <c r="A158" s="187" t="s">
        <v>1363</v>
      </c>
      <c r="B158" s="188"/>
      <c r="C158" s="188"/>
      <c r="D158" s="188"/>
      <c r="E158" s="188"/>
      <c r="F158" s="188"/>
      <c r="G158" s="188"/>
      <c r="H158" s="188"/>
      <c r="I158" s="189"/>
    </row>
    <row r="159" spans="1:13">
      <c r="A159" s="138" t="s">
        <v>1364</v>
      </c>
      <c r="B159" s="139"/>
      <c r="C159" s="139"/>
      <c r="D159" s="139"/>
      <c r="E159" s="139"/>
      <c r="F159" s="139"/>
      <c r="G159" s="139"/>
      <c r="H159" s="139"/>
      <c r="I159" s="140"/>
    </row>
    <row r="161" spans="1:9">
      <c r="A161" s="186" t="s">
        <v>1365</v>
      </c>
      <c r="B161" s="136"/>
      <c r="C161" s="136"/>
      <c r="D161" s="136"/>
      <c r="E161" s="136"/>
      <c r="F161" s="136"/>
      <c r="G161" s="136"/>
      <c r="H161" s="136"/>
      <c r="I161" s="137"/>
    </row>
    <row r="162" spans="1:9">
      <c r="A162" s="187" t="s">
        <v>1366</v>
      </c>
      <c r="B162" s="188"/>
      <c r="C162" s="188"/>
      <c r="D162" s="188"/>
      <c r="E162" s="188"/>
      <c r="F162" s="188"/>
      <c r="G162" s="188"/>
      <c r="H162" s="188"/>
      <c r="I162" s="189"/>
    </row>
    <row r="163" spans="1:9">
      <c r="A163" s="187" t="s">
        <v>1367</v>
      </c>
      <c r="B163" s="188"/>
      <c r="C163" s="188"/>
      <c r="D163" s="188"/>
      <c r="E163" s="188"/>
      <c r="F163" s="188"/>
      <c r="G163" s="188"/>
      <c r="H163" s="188"/>
      <c r="I163" s="189"/>
    </row>
    <row r="164" spans="1:9">
      <c r="A164" s="138" t="s">
        <v>1368</v>
      </c>
      <c r="B164" s="139"/>
      <c r="C164" s="139"/>
      <c r="D164" s="139"/>
      <c r="E164" s="139"/>
      <c r="F164" s="139"/>
      <c r="G164" s="139"/>
      <c r="H164" s="139"/>
      <c r="I164" s="140"/>
    </row>
    <row r="166" spans="1:9">
      <c r="A166" s="186" t="s">
        <v>1369</v>
      </c>
      <c r="B166" s="136"/>
      <c r="C166" s="136"/>
      <c r="D166" s="136"/>
      <c r="E166" s="136"/>
      <c r="F166" s="136"/>
      <c r="G166" s="136"/>
      <c r="H166" s="136"/>
      <c r="I166" s="137"/>
    </row>
    <row r="167" spans="1:9">
      <c r="A167" s="187" t="s">
        <v>1370</v>
      </c>
      <c r="B167" s="188"/>
      <c r="C167" s="188"/>
      <c r="D167" s="188"/>
      <c r="E167" s="188"/>
      <c r="F167" s="188"/>
      <c r="G167" s="188"/>
      <c r="H167" s="188"/>
      <c r="I167" s="189"/>
    </row>
    <row r="168" spans="1:9">
      <c r="A168" s="187" t="s">
        <v>1371</v>
      </c>
      <c r="B168" s="188"/>
      <c r="C168" s="188"/>
      <c r="D168" s="188"/>
      <c r="E168" s="188"/>
      <c r="F168" s="188"/>
      <c r="G168" s="188"/>
      <c r="H168" s="188"/>
      <c r="I168" s="189"/>
    </row>
    <row r="169" spans="1:9">
      <c r="A169" s="138" t="s">
        <v>1372</v>
      </c>
      <c r="B169" s="139"/>
      <c r="C169" s="139"/>
      <c r="D169" s="139"/>
      <c r="E169" s="139"/>
      <c r="F169" s="139"/>
      <c r="G169" s="139"/>
      <c r="H169" s="139"/>
      <c r="I169" s="140"/>
    </row>
    <row r="173" spans="1:9" s="626" customFormat="1"/>
    <row r="174" spans="1:9" s="626" customFormat="1"/>
    <row r="176" spans="1:9" ht="30.75">
      <c r="A176" s="627" t="s">
        <v>1373</v>
      </c>
    </row>
    <row r="179" spans="1:1">
      <c r="A179" s="99" t="s">
        <v>1375</v>
      </c>
    </row>
    <row r="181" spans="1:1">
      <c r="A181" s="99" t="s">
        <v>1376</v>
      </c>
    </row>
    <row r="182" spans="1:1">
      <c r="A182" s="99" t="s">
        <v>1377</v>
      </c>
    </row>
    <row r="184" spans="1:1">
      <c r="A184" s="99" t="s">
        <v>1379</v>
      </c>
    </row>
    <row r="185" spans="1:1">
      <c r="A185" s="99" t="s">
        <v>1380</v>
      </c>
    </row>
    <row r="186" spans="1:1">
      <c r="A186" s="99" t="s">
        <v>1381</v>
      </c>
    </row>
    <row r="188" spans="1:1">
      <c r="A188" s="99" t="s">
        <v>1382</v>
      </c>
    </row>
    <row r="189" spans="1:1">
      <c r="A189" s="99" t="s">
        <v>1383</v>
      </c>
    </row>
    <row r="191" spans="1:1">
      <c r="A191" s="99" t="s">
        <v>1384</v>
      </c>
    </row>
    <row r="193" spans="1:8" ht="25.5">
      <c r="A193" s="628" t="s">
        <v>1385</v>
      </c>
    </row>
    <row r="194" spans="1:8">
      <c r="A194" s="604" t="s">
        <v>1386</v>
      </c>
      <c r="B194" s="605"/>
      <c r="C194" s="605"/>
      <c r="D194" s="605"/>
      <c r="E194" s="605"/>
      <c r="F194" s="606"/>
    </row>
    <row r="195" spans="1:8">
      <c r="A195" s="607" t="s">
        <v>1387</v>
      </c>
      <c r="B195" s="608"/>
      <c r="C195" s="608"/>
      <c r="D195" s="608"/>
      <c r="E195" s="608"/>
      <c r="F195" s="609"/>
    </row>
    <row r="196" spans="1:8">
      <c r="A196" s="610" t="s">
        <v>1388</v>
      </c>
      <c r="B196" s="611"/>
      <c r="C196" s="611"/>
      <c r="D196" s="611"/>
      <c r="E196" s="611"/>
      <c r="F196" s="612"/>
    </row>
    <row r="197" spans="1:8">
      <c r="A197" s="99" t="s">
        <v>1389</v>
      </c>
    </row>
    <row r="199" spans="1:8" ht="24">
      <c r="A199" s="98" t="s">
        <v>1390</v>
      </c>
    </row>
    <row r="200" spans="1:8">
      <c r="A200" s="604" t="s">
        <v>1391</v>
      </c>
      <c r="B200" s="605"/>
      <c r="C200" s="605"/>
      <c r="D200" s="605"/>
      <c r="E200" s="605"/>
      <c r="F200" s="605"/>
      <c r="G200" s="606"/>
    </row>
    <row r="201" spans="1:8">
      <c r="A201" s="610"/>
      <c r="B201" s="611"/>
      <c r="C201" s="611"/>
      <c r="D201" s="611"/>
      <c r="E201" s="611"/>
      <c r="F201" s="611"/>
      <c r="G201" s="612"/>
    </row>
    <row r="203" spans="1:8" ht="12" thickBot="1">
      <c r="A203" s="99" t="s">
        <v>1396</v>
      </c>
    </row>
    <row r="204" spans="1:8">
      <c r="A204" s="629" t="s">
        <v>1392</v>
      </c>
      <c r="B204" s="630"/>
      <c r="C204" s="630"/>
      <c r="D204" s="630"/>
      <c r="E204" s="630"/>
      <c r="F204" s="630"/>
      <c r="G204" s="630"/>
      <c r="H204" s="631"/>
    </row>
    <row r="205" spans="1:8">
      <c r="A205" s="632"/>
      <c r="B205" s="633"/>
      <c r="C205" s="633"/>
      <c r="D205" s="633"/>
      <c r="E205" s="633"/>
      <c r="F205" s="633"/>
      <c r="G205" s="633"/>
      <c r="H205" s="634"/>
    </row>
    <row r="206" spans="1:8">
      <c r="A206" s="632" t="s">
        <v>1393</v>
      </c>
      <c r="B206" s="633"/>
      <c r="C206" s="633"/>
      <c r="D206" s="633"/>
      <c r="E206" s="633"/>
      <c r="F206" s="633"/>
      <c r="G206" s="633"/>
      <c r="H206" s="634"/>
    </row>
    <row r="207" spans="1:8">
      <c r="A207" s="632"/>
      <c r="B207" s="633"/>
      <c r="C207" s="633"/>
      <c r="D207" s="633"/>
      <c r="E207" s="633"/>
      <c r="F207" s="633"/>
      <c r="G207" s="633"/>
      <c r="H207" s="634"/>
    </row>
    <row r="208" spans="1:8">
      <c r="A208" s="632" t="s">
        <v>1394</v>
      </c>
      <c r="B208" s="633"/>
      <c r="C208" s="633"/>
      <c r="D208" s="633"/>
      <c r="E208" s="633"/>
      <c r="F208" s="633"/>
      <c r="G208" s="633"/>
      <c r="H208" s="634"/>
    </row>
    <row r="209" spans="1:8">
      <c r="A209" s="632" t="s">
        <v>1395</v>
      </c>
      <c r="B209" s="633"/>
      <c r="C209" s="633"/>
      <c r="D209" s="633"/>
      <c r="E209" s="633"/>
      <c r="F209" s="633"/>
      <c r="G209" s="633"/>
      <c r="H209" s="634"/>
    </row>
    <row r="210" spans="1:8" ht="12" thickBot="1">
      <c r="A210" s="635"/>
      <c r="B210" s="636"/>
      <c r="C210" s="636"/>
      <c r="D210" s="636"/>
      <c r="E210" s="636"/>
      <c r="F210" s="636"/>
      <c r="G210" s="636"/>
      <c r="H210" s="637"/>
    </row>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T608"/>
  <sheetViews>
    <sheetView showGridLines="0" topLeftCell="A217" zoomScaleNormal="100" workbookViewId="0">
      <selection activeCell="H350" sqref="H350"/>
    </sheetView>
  </sheetViews>
  <sheetFormatPr defaultRowHeight="11.25"/>
  <cols>
    <col min="1" max="16384" width="9" style="87"/>
  </cols>
  <sheetData>
    <row r="1" spans="1:1" ht="55.5">
      <c r="A1" s="638" t="s">
        <v>1397</v>
      </c>
    </row>
    <row r="3" spans="1:1" ht="21">
      <c r="A3" s="206" t="s">
        <v>1398</v>
      </c>
    </row>
    <row r="5" spans="1:1">
      <c r="A5" s="87" t="s">
        <v>1399</v>
      </c>
    </row>
    <row r="18" spans="1:5" ht="13.5">
      <c r="A18" s="639" t="s">
        <v>1400</v>
      </c>
    </row>
    <row r="22" spans="1:5" ht="21">
      <c r="A22" s="206" t="s">
        <v>1401</v>
      </c>
    </row>
    <row r="24" spans="1:5">
      <c r="A24" s="87" t="s">
        <v>1402</v>
      </c>
    </row>
    <row r="26" spans="1:5">
      <c r="A26" s="87" t="s">
        <v>1403</v>
      </c>
    </row>
    <row r="27" spans="1:5">
      <c r="A27" s="87" t="s">
        <v>1404</v>
      </c>
    </row>
    <row r="29" spans="1:5">
      <c r="A29" s="87" t="s">
        <v>1405</v>
      </c>
    </row>
    <row r="30" spans="1:5">
      <c r="A30" s="87" t="s">
        <v>1406</v>
      </c>
    </row>
    <row r="32" spans="1:5" ht="28.5">
      <c r="A32" s="640" t="s">
        <v>1407</v>
      </c>
      <c r="B32" s="641"/>
      <c r="C32" s="641"/>
      <c r="D32" s="264"/>
      <c r="E32" s="264"/>
    </row>
    <row r="34" spans="1:7" ht="12">
      <c r="A34" s="642" t="s">
        <v>1408</v>
      </c>
      <c r="B34" s="642"/>
      <c r="C34" s="642"/>
      <c r="D34" s="642"/>
      <c r="E34" s="642"/>
      <c r="F34" s="642"/>
      <c r="G34" s="642"/>
    </row>
    <row r="35" spans="1:7" ht="12">
      <c r="A35" s="642" t="s">
        <v>1409</v>
      </c>
      <c r="B35" s="642"/>
      <c r="C35" s="642"/>
      <c r="D35" s="642"/>
      <c r="E35" s="642"/>
      <c r="F35" s="642"/>
      <c r="G35" s="642"/>
    </row>
    <row r="38" spans="1:7" ht="21">
      <c r="A38" s="206" t="s">
        <v>1410</v>
      </c>
    </row>
    <row r="40" spans="1:7">
      <c r="A40" s="87" t="s">
        <v>1411</v>
      </c>
    </row>
    <row r="41" spans="1:7">
      <c r="A41" s="87" t="s">
        <v>1412</v>
      </c>
    </row>
    <row r="43" spans="1:7">
      <c r="A43" s="87" t="s">
        <v>1413</v>
      </c>
    </row>
    <row r="44" spans="1:7">
      <c r="A44" s="87" t="s">
        <v>1414</v>
      </c>
    </row>
    <row r="45" spans="1:7">
      <c r="A45" s="87" t="s">
        <v>1415</v>
      </c>
    </row>
    <row r="46" spans="1:7">
      <c r="A46" s="87" t="s">
        <v>1416</v>
      </c>
    </row>
    <row r="48" spans="1:7">
      <c r="A48" s="87" t="s">
        <v>1417</v>
      </c>
    </row>
    <row r="49" spans="1:11">
      <c r="A49" s="278" t="s">
        <v>1418</v>
      </c>
      <c r="B49" s="279"/>
      <c r="C49" s="279"/>
      <c r="D49" s="279"/>
      <c r="E49" s="280"/>
    </row>
    <row r="50" spans="1:11">
      <c r="A50" s="281" t="s">
        <v>1419</v>
      </c>
      <c r="B50" s="282"/>
      <c r="C50" s="282"/>
      <c r="D50" s="282"/>
      <c r="E50" s="283"/>
    </row>
    <row r="51" spans="1:11">
      <c r="A51" s="281" t="s">
        <v>1420</v>
      </c>
      <c r="B51" s="282"/>
      <c r="C51" s="282"/>
      <c r="D51" s="282"/>
      <c r="E51" s="283"/>
    </row>
    <row r="52" spans="1:11">
      <c r="A52" s="281" t="s">
        <v>1421</v>
      </c>
      <c r="B52" s="282"/>
      <c r="C52" s="282"/>
      <c r="D52" s="282"/>
      <c r="E52" s="283"/>
    </row>
    <row r="53" spans="1:11">
      <c r="A53" s="284"/>
      <c r="B53" s="285"/>
      <c r="C53" s="285"/>
      <c r="D53" s="285"/>
      <c r="E53" s="286"/>
    </row>
    <row r="55" spans="1:11" ht="24">
      <c r="A55" s="643" t="s">
        <v>1422</v>
      </c>
      <c r="B55" s="644"/>
      <c r="C55" s="644"/>
      <c r="D55" s="644"/>
      <c r="E55" s="644"/>
      <c r="F55" s="644"/>
      <c r="G55" s="645"/>
      <c r="H55" s="645"/>
      <c r="I55" s="645"/>
      <c r="J55" s="645"/>
      <c r="K55" s="646"/>
    </row>
    <row r="56" spans="1:11" ht="24">
      <c r="A56" s="647" t="s">
        <v>1423</v>
      </c>
      <c r="B56" s="648"/>
      <c r="C56" s="648"/>
      <c r="D56" s="648"/>
      <c r="E56" s="648"/>
      <c r="F56" s="648"/>
      <c r="G56" s="649"/>
      <c r="H56" s="649"/>
      <c r="I56" s="649"/>
      <c r="J56" s="649"/>
      <c r="K56" s="650"/>
    </row>
    <row r="57" spans="1:11" ht="24">
      <c r="A57" s="647" t="s">
        <v>1424</v>
      </c>
      <c r="B57" s="648"/>
      <c r="C57" s="648"/>
      <c r="D57" s="648"/>
      <c r="E57" s="648"/>
      <c r="F57" s="648"/>
      <c r="G57" s="649"/>
      <c r="H57" s="649"/>
      <c r="I57" s="649"/>
      <c r="J57" s="649"/>
      <c r="K57" s="650"/>
    </row>
    <row r="58" spans="1:11" ht="24">
      <c r="A58" s="651"/>
      <c r="B58" s="652"/>
      <c r="C58" s="652"/>
      <c r="D58" s="652"/>
      <c r="E58" s="652"/>
      <c r="F58" s="652"/>
      <c r="G58" s="653"/>
      <c r="H58" s="653"/>
      <c r="I58" s="653"/>
      <c r="J58" s="653"/>
      <c r="K58" s="654"/>
    </row>
    <row r="62" spans="1:11">
      <c r="A62" s="87" t="s">
        <v>1425</v>
      </c>
    </row>
    <row r="77" spans="1:12">
      <c r="A77" s="211" t="s">
        <v>1426</v>
      </c>
    </row>
    <row r="79" spans="1:12" ht="18.75">
      <c r="A79" s="657" t="s">
        <v>1427</v>
      </c>
      <c r="B79" s="657"/>
      <c r="C79" s="657"/>
      <c r="D79" s="657"/>
      <c r="E79" s="657"/>
      <c r="F79" s="657"/>
      <c r="G79" s="657"/>
      <c r="H79" s="264"/>
      <c r="I79" s="264"/>
      <c r="J79" s="264"/>
      <c r="K79" s="264"/>
      <c r="L79" s="264"/>
    </row>
    <row r="80" spans="1:12" ht="18.75">
      <c r="A80" s="289"/>
      <c r="B80" s="289"/>
      <c r="C80" s="289"/>
      <c r="D80" s="289"/>
      <c r="E80" s="289"/>
      <c r="F80" s="289"/>
      <c r="G80" s="289"/>
    </row>
    <row r="82" spans="1:10">
      <c r="A82" s="211" t="s">
        <v>1428</v>
      </c>
    </row>
    <row r="83" spans="1:10">
      <c r="A83" s="87" t="s">
        <v>1429</v>
      </c>
    </row>
    <row r="85" spans="1:10">
      <c r="A85" s="87" t="s">
        <v>1430</v>
      </c>
    </row>
    <row r="87" spans="1:10" ht="21">
      <c r="A87" s="655" t="s">
        <v>1431</v>
      </c>
      <c r="B87" s="655"/>
      <c r="C87" s="655"/>
      <c r="D87" s="655"/>
      <c r="E87" s="656"/>
      <c r="F87" s="656"/>
    </row>
    <row r="90" spans="1:10">
      <c r="A90" s="211" t="s">
        <v>1432</v>
      </c>
      <c r="D90" s="87" t="s">
        <v>1434</v>
      </c>
      <c r="F90" s="87" t="s">
        <v>1437</v>
      </c>
    </row>
    <row r="92" spans="1:10" ht="21">
      <c r="A92" s="87" t="s">
        <v>1433</v>
      </c>
      <c r="F92" s="655" t="s">
        <v>1438</v>
      </c>
      <c r="G92" s="264"/>
      <c r="H92" s="264"/>
      <c r="I92" s="264"/>
      <c r="J92" s="264"/>
    </row>
    <row r="93" spans="1:10" ht="21">
      <c r="F93" s="655" t="s">
        <v>1439</v>
      </c>
      <c r="G93" s="264"/>
      <c r="H93" s="264"/>
      <c r="I93" s="264"/>
      <c r="J93" s="264"/>
    </row>
    <row r="95" spans="1:10">
      <c r="D95" s="87" t="s">
        <v>1435</v>
      </c>
    </row>
    <row r="101" spans="1:8">
      <c r="B101" s="360" t="s">
        <v>1436</v>
      </c>
    </row>
    <row r="104" spans="1:8" s="387" customFormat="1"/>
    <row r="106" spans="1:8" ht="18.75">
      <c r="A106" s="289" t="s">
        <v>1440</v>
      </c>
    </row>
    <row r="108" spans="1:8" ht="24.75" thickBot="1">
      <c r="A108" s="40" t="s">
        <v>1441</v>
      </c>
    </row>
    <row r="109" spans="1:8" ht="14.25">
      <c r="A109" s="658" t="s">
        <v>1442</v>
      </c>
      <c r="B109" s="659"/>
      <c r="C109" s="659"/>
      <c r="D109" s="659"/>
      <c r="E109" s="659"/>
      <c r="F109" s="659"/>
      <c r="G109" s="659"/>
      <c r="H109" s="660"/>
    </row>
    <row r="110" spans="1:8" ht="14.25">
      <c r="A110" s="661" t="s">
        <v>1443</v>
      </c>
      <c r="B110" s="662"/>
      <c r="C110" s="662"/>
      <c r="D110" s="662"/>
      <c r="E110" s="662"/>
      <c r="F110" s="662"/>
      <c r="G110" s="662"/>
      <c r="H110" s="663"/>
    </row>
    <row r="111" spans="1:8" ht="14.25">
      <c r="A111" s="661"/>
      <c r="B111" s="662"/>
      <c r="C111" s="662"/>
      <c r="D111" s="662"/>
      <c r="E111" s="662"/>
      <c r="F111" s="662"/>
      <c r="G111" s="662"/>
      <c r="H111" s="663"/>
    </row>
    <row r="112" spans="1:8" ht="14.25">
      <c r="A112" s="661" t="s">
        <v>1444</v>
      </c>
      <c r="B112" s="662"/>
      <c r="C112" s="662"/>
      <c r="D112" s="662"/>
      <c r="E112" s="662"/>
      <c r="F112" s="662"/>
      <c r="G112" s="662"/>
      <c r="H112" s="663"/>
    </row>
    <row r="113" spans="1:12" ht="14.25">
      <c r="A113" s="661" t="s">
        <v>1445</v>
      </c>
      <c r="B113" s="662"/>
      <c r="C113" s="662"/>
      <c r="D113" s="662"/>
      <c r="E113" s="662"/>
      <c r="F113" s="662"/>
      <c r="G113" s="662"/>
      <c r="H113" s="663"/>
    </row>
    <row r="114" spans="1:12" ht="15" thickBot="1">
      <c r="A114" s="664"/>
      <c r="B114" s="665"/>
      <c r="C114" s="665"/>
      <c r="D114" s="665"/>
      <c r="E114" s="665"/>
      <c r="F114" s="665"/>
      <c r="G114" s="665"/>
      <c r="H114" s="666"/>
    </row>
    <row r="115" spans="1:12" ht="14.25">
      <c r="A115" s="265"/>
      <c r="B115" s="265"/>
      <c r="C115" s="265"/>
      <c r="D115" s="265"/>
      <c r="E115" s="265"/>
      <c r="F115" s="265"/>
      <c r="G115" s="265"/>
      <c r="H115" s="265"/>
    </row>
    <row r="116" spans="1:12" ht="14.25">
      <c r="A116" s="265"/>
      <c r="B116" s="265"/>
      <c r="C116" s="265"/>
      <c r="D116" s="265"/>
      <c r="E116" s="265"/>
      <c r="F116" s="265"/>
      <c r="G116" s="265"/>
      <c r="H116" s="265"/>
    </row>
    <row r="117" spans="1:12" ht="24.75" thickBot="1">
      <c r="A117" s="40" t="s">
        <v>1446</v>
      </c>
    </row>
    <row r="118" spans="1:12" ht="14.25">
      <c r="A118" s="658" t="s">
        <v>1447</v>
      </c>
      <c r="B118" s="659"/>
      <c r="C118" s="659"/>
      <c r="D118" s="659"/>
      <c r="E118" s="659"/>
      <c r="F118" s="659"/>
      <c r="G118" s="659"/>
      <c r="H118" s="659"/>
      <c r="I118" s="659"/>
      <c r="J118" s="667"/>
      <c r="K118" s="667"/>
      <c r="L118" s="668"/>
    </row>
    <row r="119" spans="1:12" ht="14.25">
      <c r="A119" s="661"/>
      <c r="B119" s="662"/>
      <c r="C119" s="662"/>
      <c r="D119" s="662"/>
      <c r="E119" s="662"/>
      <c r="F119" s="662"/>
      <c r="G119" s="662"/>
      <c r="H119" s="662"/>
      <c r="I119" s="662"/>
      <c r="J119" s="263"/>
      <c r="K119" s="263"/>
      <c r="L119" s="669"/>
    </row>
    <row r="120" spans="1:12" ht="14.25">
      <c r="A120" s="661" t="s">
        <v>1450</v>
      </c>
      <c r="B120" s="662"/>
      <c r="C120" s="662"/>
      <c r="D120" s="662"/>
      <c r="E120" s="662"/>
      <c r="F120" s="662"/>
      <c r="G120" s="662"/>
      <c r="H120" s="662"/>
      <c r="I120" s="662"/>
      <c r="J120" s="263"/>
      <c r="K120" s="263"/>
      <c r="L120" s="669"/>
    </row>
    <row r="121" spans="1:12" ht="14.25">
      <c r="A121" s="661"/>
      <c r="B121" s="662"/>
      <c r="C121" s="662"/>
      <c r="D121" s="662"/>
      <c r="E121" s="662"/>
      <c r="F121" s="662"/>
      <c r="G121" s="662"/>
      <c r="H121" s="662"/>
      <c r="I121" s="662"/>
      <c r="J121" s="263"/>
      <c r="K121" s="263"/>
      <c r="L121" s="669"/>
    </row>
    <row r="122" spans="1:12" ht="21">
      <c r="A122" s="672" t="s">
        <v>1448</v>
      </c>
      <c r="B122" s="673"/>
      <c r="C122" s="673"/>
      <c r="D122" s="662"/>
      <c r="E122" s="662"/>
      <c r="F122" s="662"/>
      <c r="G122" s="662"/>
      <c r="H122" s="662"/>
      <c r="I122" s="662"/>
      <c r="J122" s="263"/>
      <c r="K122" s="263"/>
      <c r="L122" s="669"/>
    </row>
    <row r="123" spans="1:12" ht="14.25">
      <c r="A123" s="661"/>
      <c r="B123" s="662"/>
      <c r="C123" s="662"/>
      <c r="D123" s="662"/>
      <c r="E123" s="662"/>
      <c r="F123" s="662"/>
      <c r="G123" s="662"/>
      <c r="H123" s="662"/>
      <c r="I123" s="662"/>
      <c r="J123" s="263"/>
      <c r="K123" s="263"/>
      <c r="L123" s="669"/>
    </row>
    <row r="124" spans="1:12" ht="14.25">
      <c r="A124" s="661" t="s">
        <v>1449</v>
      </c>
      <c r="B124" s="662"/>
      <c r="C124" s="662"/>
      <c r="D124" s="662"/>
      <c r="E124" s="662"/>
      <c r="F124" s="662"/>
      <c r="G124" s="662"/>
      <c r="H124" s="662"/>
      <c r="I124" s="662"/>
      <c r="J124" s="263"/>
      <c r="K124" s="263"/>
      <c r="L124" s="669"/>
    </row>
    <row r="125" spans="1:12" ht="15" thickBot="1">
      <c r="A125" s="664"/>
      <c r="B125" s="665"/>
      <c r="C125" s="665"/>
      <c r="D125" s="665"/>
      <c r="E125" s="665"/>
      <c r="F125" s="665"/>
      <c r="G125" s="665"/>
      <c r="H125" s="665"/>
      <c r="I125" s="665"/>
      <c r="J125" s="670"/>
      <c r="K125" s="670"/>
      <c r="L125" s="671"/>
    </row>
    <row r="130" spans="1:6" s="674" customFormat="1"/>
    <row r="132" spans="1:6" ht="30.75">
      <c r="A132" s="72" t="s">
        <v>1451</v>
      </c>
    </row>
    <row r="133" spans="1:6">
      <c r="A133" s="87" t="s">
        <v>1463</v>
      </c>
    </row>
    <row r="134" spans="1:6">
      <c r="A134" s="87" t="s">
        <v>1452</v>
      </c>
    </row>
    <row r="136" spans="1:6">
      <c r="A136" s="87" t="s">
        <v>1453</v>
      </c>
    </row>
    <row r="137" spans="1:6" ht="12" customHeight="1"/>
    <row r="138" spans="1:6">
      <c r="A138" s="87" t="s">
        <v>1454</v>
      </c>
    </row>
    <row r="139" spans="1:6">
      <c r="A139" s="87" t="s">
        <v>1455</v>
      </c>
    </row>
    <row r="140" spans="1:6">
      <c r="A140" s="87" t="s">
        <v>1460</v>
      </c>
    </row>
    <row r="141" spans="1:6">
      <c r="A141" s="87" t="s">
        <v>1456</v>
      </c>
    </row>
    <row r="143" spans="1:6" ht="14.25">
      <c r="A143" s="675" t="s">
        <v>1457</v>
      </c>
      <c r="B143" s="675"/>
      <c r="C143" s="675"/>
      <c r="D143" s="675"/>
      <c r="E143" s="675"/>
      <c r="F143" s="675"/>
    </row>
    <row r="144" spans="1:6" ht="14.25">
      <c r="A144" s="675" t="s">
        <v>1461</v>
      </c>
      <c r="B144" s="675"/>
      <c r="C144" s="675"/>
      <c r="D144" s="675"/>
      <c r="E144" s="675"/>
      <c r="F144" s="675"/>
    </row>
    <row r="145" spans="1:10" ht="14.25">
      <c r="A145" s="675" t="s">
        <v>1458</v>
      </c>
      <c r="B145" s="675"/>
      <c r="C145" s="675"/>
      <c r="D145" s="675"/>
      <c r="E145" s="675"/>
      <c r="F145" s="675"/>
    </row>
    <row r="146" spans="1:10" ht="14.25">
      <c r="A146" s="675"/>
      <c r="B146" s="675"/>
      <c r="C146" s="675"/>
      <c r="D146" s="675"/>
      <c r="E146" s="675"/>
      <c r="F146" s="675"/>
    </row>
    <row r="147" spans="1:10" ht="14.25">
      <c r="A147" s="675" t="s">
        <v>1462</v>
      </c>
      <c r="B147" s="675"/>
      <c r="C147" s="675"/>
      <c r="D147" s="675"/>
      <c r="E147" s="675"/>
      <c r="F147" s="675"/>
    </row>
    <row r="148" spans="1:10" ht="14.25">
      <c r="A148" s="675"/>
      <c r="B148" s="675"/>
      <c r="C148" s="675"/>
      <c r="D148" s="675"/>
      <c r="E148" s="675"/>
      <c r="F148" s="675"/>
    </row>
    <row r="149" spans="1:10">
      <c r="A149" s="87" t="s">
        <v>1459</v>
      </c>
    </row>
    <row r="151" spans="1:10" ht="28.5">
      <c r="A151" s="676" t="s">
        <v>1464</v>
      </c>
      <c r="B151" s="264"/>
      <c r="C151" s="264"/>
      <c r="D151" s="264"/>
      <c r="E151" s="264"/>
      <c r="F151" s="264"/>
      <c r="G151" s="264"/>
      <c r="H151" s="264"/>
      <c r="I151" s="264"/>
      <c r="J151" s="264"/>
    </row>
    <row r="153" spans="1:10" ht="24">
      <c r="A153" s="677" t="s">
        <v>1465</v>
      </c>
      <c r="B153" s="264"/>
      <c r="C153" s="264"/>
      <c r="D153" s="264"/>
      <c r="E153" s="264"/>
      <c r="F153" s="264"/>
      <c r="G153" s="264"/>
      <c r="H153" s="264"/>
      <c r="I153" s="264"/>
      <c r="J153" s="264"/>
    </row>
    <row r="158" spans="1:10" ht="30.75">
      <c r="A158" s="72" t="s">
        <v>1466</v>
      </c>
    </row>
    <row r="159" spans="1:10">
      <c r="A159" s="87" t="s">
        <v>1463</v>
      </c>
    </row>
    <row r="160" spans="1:10">
      <c r="A160" s="678" t="s">
        <v>1467</v>
      </c>
      <c r="B160" s="678"/>
    </row>
    <row r="162" spans="1:12">
      <c r="A162" s="87" t="s">
        <v>1468</v>
      </c>
    </row>
    <row r="164" spans="1:12">
      <c r="A164" s="87" t="s">
        <v>1469</v>
      </c>
    </row>
    <row r="166" spans="1:12" ht="14.25">
      <c r="A166" s="675" t="s">
        <v>1470</v>
      </c>
    </row>
    <row r="167" spans="1:12" ht="14.25">
      <c r="A167" s="675" t="s">
        <v>1458</v>
      </c>
    </row>
    <row r="168" spans="1:12" ht="14.25">
      <c r="A168" s="675"/>
    </row>
    <row r="169" spans="1:12" ht="14.25">
      <c r="A169" s="675" t="s">
        <v>1471</v>
      </c>
    </row>
    <row r="171" spans="1:12">
      <c r="A171" s="87" t="s">
        <v>1472</v>
      </c>
    </row>
    <row r="172" spans="1:12">
      <c r="A172" s="87" t="s">
        <v>1474</v>
      </c>
    </row>
    <row r="174" spans="1:12" ht="28.5">
      <c r="A174" s="676" t="s">
        <v>1473</v>
      </c>
      <c r="B174" s="679"/>
      <c r="C174" s="679"/>
      <c r="D174" s="679"/>
      <c r="E174" s="679"/>
      <c r="F174" s="679"/>
      <c r="G174" s="679"/>
      <c r="H174" s="679"/>
      <c r="I174" s="679"/>
      <c r="J174" s="679"/>
      <c r="K174" s="679"/>
      <c r="L174" s="679"/>
    </row>
    <row r="178" spans="1:13" ht="30.75">
      <c r="A178" s="72" t="s">
        <v>1475</v>
      </c>
    </row>
    <row r="179" spans="1:13">
      <c r="A179" s="87" t="s">
        <v>1463</v>
      </c>
    </row>
    <row r="180" spans="1:13">
      <c r="A180" s="678" t="s">
        <v>1476</v>
      </c>
    </row>
    <row r="182" spans="1:13">
      <c r="A182" s="87" t="s">
        <v>1478</v>
      </c>
    </row>
    <row r="184" spans="1:13" ht="28.5">
      <c r="A184" s="676" t="s">
        <v>1477</v>
      </c>
      <c r="B184" s="679"/>
      <c r="C184" s="679"/>
      <c r="D184" s="679"/>
      <c r="E184" s="679"/>
      <c r="F184" s="679"/>
      <c r="G184" s="679"/>
      <c r="H184" s="679"/>
      <c r="I184" s="679"/>
      <c r="J184" s="679"/>
      <c r="K184" s="679"/>
      <c r="L184" s="679"/>
      <c r="M184" s="264"/>
    </row>
    <row r="186" spans="1:13" ht="28.5">
      <c r="A186" s="676" t="s">
        <v>1479</v>
      </c>
      <c r="B186" s="264"/>
      <c r="C186" s="264"/>
      <c r="D186" s="264"/>
      <c r="E186" s="264"/>
      <c r="F186" s="264"/>
      <c r="G186" s="264"/>
      <c r="H186" s="264"/>
      <c r="I186" s="264"/>
      <c r="J186" s="264"/>
      <c r="K186" s="264"/>
      <c r="L186" s="264"/>
      <c r="M186" s="264"/>
    </row>
    <row r="188" spans="1:13">
      <c r="A188" s="87" t="s">
        <v>1480</v>
      </c>
    </row>
    <row r="189" spans="1:13" ht="12" thickBot="1"/>
    <row r="190" spans="1:13" ht="18.75">
      <c r="A190" s="681" t="s">
        <v>1481</v>
      </c>
      <c r="B190" s="682"/>
      <c r="C190" s="682"/>
      <c r="D190" s="682"/>
      <c r="E190" s="682"/>
      <c r="F190" s="682"/>
      <c r="G190" s="682"/>
      <c r="H190" s="682"/>
      <c r="I190" s="682"/>
      <c r="J190" s="682"/>
      <c r="K190" s="682"/>
      <c r="L190" s="683"/>
      <c r="M190" s="684"/>
    </row>
    <row r="191" spans="1:13" ht="18.75">
      <c r="A191" s="685" t="s">
        <v>1482</v>
      </c>
      <c r="B191" s="686"/>
      <c r="C191" s="686"/>
      <c r="D191" s="686"/>
      <c r="E191" s="686" t="s">
        <v>1671</v>
      </c>
      <c r="F191" s="686"/>
      <c r="G191" s="686"/>
      <c r="H191" s="686"/>
      <c r="I191" s="686"/>
      <c r="J191" s="686"/>
      <c r="K191" s="686"/>
      <c r="L191" s="649"/>
      <c r="M191" s="687"/>
    </row>
    <row r="192" spans="1:13" ht="18.75">
      <c r="A192" s="685"/>
      <c r="B192" s="686"/>
      <c r="C192" s="686"/>
      <c r="D192" s="686"/>
      <c r="E192" s="686"/>
      <c r="F192" s="686"/>
      <c r="G192" s="686"/>
      <c r="H192" s="686"/>
      <c r="I192" s="686"/>
      <c r="J192" s="686"/>
      <c r="K192" s="686"/>
      <c r="L192" s="649"/>
      <c r="M192" s="687"/>
    </row>
    <row r="193" spans="1:13" ht="18.75">
      <c r="A193" s="685" t="s">
        <v>1483</v>
      </c>
      <c r="B193" s="686"/>
      <c r="C193" s="686"/>
      <c r="D193" s="686"/>
      <c r="E193" s="686"/>
      <c r="F193" s="686"/>
      <c r="G193" s="686"/>
      <c r="H193" s="686"/>
      <c r="I193" s="686"/>
      <c r="J193" s="686"/>
      <c r="K193" s="686"/>
      <c r="L193" s="649"/>
      <c r="M193" s="687"/>
    </row>
    <row r="194" spans="1:13" ht="18.75">
      <c r="A194" s="685" t="s">
        <v>1672</v>
      </c>
      <c r="B194" s="686"/>
      <c r="C194" s="686"/>
      <c r="D194" s="686"/>
      <c r="E194" s="686"/>
      <c r="F194" s="686"/>
      <c r="G194" s="686"/>
      <c r="H194" s="686"/>
      <c r="I194" s="686"/>
      <c r="J194" s="686"/>
      <c r="K194" s="686"/>
      <c r="L194" s="649"/>
      <c r="M194" s="687"/>
    </row>
    <row r="195" spans="1:13" ht="18.75">
      <c r="A195" s="685"/>
      <c r="B195" s="686"/>
      <c r="C195" s="686"/>
      <c r="D195" s="686"/>
      <c r="E195" s="686"/>
      <c r="F195" s="686"/>
      <c r="G195" s="686"/>
      <c r="H195" s="686"/>
      <c r="I195" s="686"/>
      <c r="J195" s="686"/>
      <c r="K195" s="686"/>
      <c r="L195" s="649"/>
      <c r="M195" s="687"/>
    </row>
    <row r="196" spans="1:13" ht="18.75">
      <c r="A196" s="685" t="s">
        <v>1484</v>
      </c>
      <c r="B196" s="686"/>
      <c r="C196" s="686"/>
      <c r="D196" s="686"/>
      <c r="E196" s="686"/>
      <c r="F196" s="686"/>
      <c r="G196" s="686"/>
      <c r="H196" s="686"/>
      <c r="I196" s="686"/>
      <c r="J196" s="686"/>
      <c r="K196" s="686"/>
      <c r="L196" s="649"/>
      <c r="M196" s="687"/>
    </row>
    <row r="197" spans="1:13" ht="18.75">
      <c r="A197" s="685" t="s">
        <v>1485</v>
      </c>
      <c r="B197" s="686"/>
      <c r="C197" s="686"/>
      <c r="D197" s="686"/>
      <c r="E197" s="686"/>
      <c r="F197" s="686"/>
      <c r="G197" s="686"/>
      <c r="H197" s="686"/>
      <c r="I197" s="686"/>
      <c r="J197" s="686"/>
      <c r="K197" s="686"/>
      <c r="L197" s="649"/>
      <c r="M197" s="687"/>
    </row>
    <row r="198" spans="1:13" ht="19.5" thickBot="1">
      <c r="A198" s="688"/>
      <c r="B198" s="689"/>
      <c r="C198" s="689"/>
      <c r="D198" s="689"/>
      <c r="E198" s="689"/>
      <c r="F198" s="689"/>
      <c r="G198" s="689"/>
      <c r="H198" s="689"/>
      <c r="I198" s="689"/>
      <c r="J198" s="689"/>
      <c r="K198" s="689"/>
      <c r="L198" s="690"/>
      <c r="M198" s="691"/>
    </row>
    <row r="199" spans="1:13" ht="18.75">
      <c r="A199" s="680"/>
      <c r="B199" s="680"/>
      <c r="C199" s="680"/>
      <c r="D199" s="680"/>
      <c r="E199" s="680"/>
      <c r="F199" s="680"/>
      <c r="G199" s="680"/>
      <c r="H199" s="680"/>
      <c r="I199" s="680"/>
      <c r="J199" s="680"/>
      <c r="K199" s="680"/>
    </row>
    <row r="200" spans="1:13" ht="18.75">
      <c r="A200" s="680"/>
      <c r="B200" s="680"/>
      <c r="C200" s="680"/>
      <c r="D200" s="680"/>
      <c r="E200" s="680"/>
      <c r="F200" s="680"/>
      <c r="G200" s="680"/>
      <c r="H200" s="680"/>
      <c r="I200" s="680"/>
      <c r="J200" s="680"/>
      <c r="K200" s="680"/>
    </row>
    <row r="201" spans="1:13" s="387" customFormat="1"/>
    <row r="203" spans="1:13" ht="42">
      <c r="A203" s="377" t="s">
        <v>1486</v>
      </c>
    </row>
    <row r="206" spans="1:13" s="693" customFormat="1" ht="17.25">
      <c r="A206" s="694" t="s">
        <v>1430</v>
      </c>
      <c r="B206" s="694"/>
      <c r="C206" s="694"/>
      <c r="D206" s="694"/>
      <c r="E206" s="694"/>
      <c r="F206" s="694"/>
      <c r="H206" s="744" t="s">
        <v>1581</v>
      </c>
      <c r="I206" s="744"/>
      <c r="J206" s="744"/>
    </row>
    <row r="207" spans="1:13" s="693" customFormat="1" ht="17.25">
      <c r="A207" s="694" t="s">
        <v>1431</v>
      </c>
      <c r="B207" s="694"/>
      <c r="C207" s="694"/>
      <c r="D207" s="694"/>
      <c r="E207" s="694"/>
      <c r="F207" s="694"/>
      <c r="H207" s="744" t="s">
        <v>1582</v>
      </c>
      <c r="I207" s="744"/>
      <c r="J207" s="744"/>
    </row>
    <row r="209" spans="1:5" ht="14.25">
      <c r="A209" s="265" t="s">
        <v>1487</v>
      </c>
    </row>
    <row r="211" spans="1:5">
      <c r="A211" s="87" t="s">
        <v>1488</v>
      </c>
    </row>
    <row r="212" spans="1:5">
      <c r="A212" s="87">
        <v>1</v>
      </c>
      <c r="B212" s="87" t="s">
        <v>1489</v>
      </c>
    </row>
    <row r="213" spans="1:5">
      <c r="A213" s="87">
        <v>2</v>
      </c>
      <c r="B213" s="87" t="s">
        <v>1490</v>
      </c>
    </row>
    <row r="214" spans="1:5">
      <c r="A214" s="87">
        <v>3</v>
      </c>
      <c r="B214" s="87" t="s">
        <v>1491</v>
      </c>
    </row>
    <row r="215" spans="1:5">
      <c r="A215" s="87">
        <v>4</v>
      </c>
      <c r="B215" s="87" t="s">
        <v>1492</v>
      </c>
    </row>
    <row r="217" spans="1:5">
      <c r="A217" s="87" t="s">
        <v>1493</v>
      </c>
    </row>
    <row r="221" spans="1:5" ht="17.25">
      <c r="A221" s="695" t="s">
        <v>1494</v>
      </c>
    </row>
    <row r="223" spans="1:5" ht="14.25">
      <c r="A223" s="696" t="s">
        <v>1495</v>
      </c>
      <c r="B223" s="697"/>
      <c r="C223" s="697"/>
      <c r="D223" s="697"/>
      <c r="E223" s="697"/>
    </row>
    <row r="224" spans="1:5" ht="14.25">
      <c r="A224" s="698"/>
      <c r="B224" s="699"/>
      <c r="C224" s="699"/>
      <c r="D224" s="699"/>
      <c r="E224" s="699"/>
    </row>
    <row r="225" spans="1:5" ht="14.25">
      <c r="A225" s="698"/>
      <c r="B225" s="699"/>
      <c r="C225" s="699"/>
      <c r="D225" s="699"/>
      <c r="E225" s="699"/>
    </row>
    <row r="238" spans="1:5" ht="13.5">
      <c r="C238"/>
    </row>
    <row r="240" spans="1:5" ht="14.25">
      <c r="A240" s="696" t="s">
        <v>1496</v>
      </c>
      <c r="B240" s="697"/>
      <c r="C240" s="697"/>
      <c r="D240" s="697"/>
      <c r="E240" s="697"/>
    </row>
    <row r="242" spans="1:5" ht="14.25">
      <c r="A242" s="698"/>
      <c r="B242" s="699"/>
      <c r="C242" s="699"/>
      <c r="D242" s="699"/>
      <c r="E242" s="699"/>
    </row>
    <row r="243" spans="1:5" ht="14.25">
      <c r="A243" s="698"/>
      <c r="B243" s="699"/>
      <c r="C243" s="699"/>
      <c r="D243" s="699"/>
      <c r="E243" s="699"/>
    </row>
    <row r="256" spans="1:5" ht="13.5">
      <c r="C256"/>
    </row>
    <row r="258" spans="1:5" ht="14.25">
      <c r="A258" s="696" t="s">
        <v>1497</v>
      </c>
      <c r="B258" s="697"/>
      <c r="C258" s="697"/>
      <c r="D258" s="697"/>
      <c r="E258" s="697"/>
    </row>
    <row r="260" spans="1:5" ht="14.25">
      <c r="A260" s="698"/>
      <c r="B260" s="699"/>
      <c r="C260" s="699"/>
      <c r="D260" s="699"/>
      <c r="E260" s="699"/>
    </row>
    <row r="261" spans="1:5" ht="14.25">
      <c r="A261" s="698"/>
      <c r="B261" s="699"/>
      <c r="C261" s="699"/>
      <c r="D261" s="699"/>
      <c r="E261" s="699"/>
    </row>
    <row r="277" spans="1:10" ht="14.25">
      <c r="A277" s="277" t="s">
        <v>1498</v>
      </c>
      <c r="B277" s="277"/>
      <c r="C277" s="277"/>
      <c r="D277" s="277"/>
      <c r="E277" s="277"/>
      <c r="F277" s="277"/>
      <c r="G277" s="277"/>
    </row>
    <row r="278" spans="1:10" ht="14.25">
      <c r="A278" s="277" t="s">
        <v>1502</v>
      </c>
      <c r="B278" s="277"/>
      <c r="C278" s="277"/>
      <c r="D278" s="277"/>
      <c r="E278" s="277"/>
      <c r="F278" s="277"/>
      <c r="G278" s="277"/>
    </row>
    <row r="279" spans="1:10" ht="14.25">
      <c r="A279" s="277"/>
      <c r="B279" s="277"/>
      <c r="C279" s="277"/>
      <c r="D279" s="277"/>
      <c r="E279" s="277"/>
      <c r="F279" s="277"/>
      <c r="G279" s="277"/>
    </row>
    <row r="280" spans="1:10" ht="14.25">
      <c r="A280" s="277" t="s">
        <v>1499</v>
      </c>
      <c r="B280" s="277"/>
      <c r="C280" s="277"/>
      <c r="D280" s="277"/>
      <c r="E280" s="277"/>
      <c r="F280" s="277"/>
      <c r="G280" s="277"/>
    </row>
    <row r="281" spans="1:10" ht="14.25">
      <c r="A281" s="701" t="s">
        <v>1461</v>
      </c>
      <c r="B281" s="700"/>
      <c r="C281" s="700"/>
      <c r="D281" s="700"/>
      <c r="E281" s="700"/>
      <c r="F281" s="700"/>
      <c r="G281" s="277"/>
    </row>
    <row r="282" spans="1:10" ht="14.25">
      <c r="A282" s="701" t="s">
        <v>1458</v>
      </c>
      <c r="B282" s="700"/>
      <c r="C282" s="700"/>
      <c r="D282" s="700"/>
      <c r="E282" s="700"/>
      <c r="F282" s="700"/>
      <c r="G282" s="277"/>
    </row>
    <row r="283" spans="1:10" ht="14.25">
      <c r="A283" s="701" t="s">
        <v>1462</v>
      </c>
      <c r="B283" s="700"/>
      <c r="C283" s="700"/>
      <c r="D283" s="700"/>
      <c r="E283" s="700"/>
      <c r="F283" s="700"/>
      <c r="G283" s="277"/>
    </row>
    <row r="284" spans="1:10" ht="14.25">
      <c r="A284" s="277"/>
      <c r="B284" s="277"/>
      <c r="C284" s="277"/>
      <c r="D284" s="277"/>
      <c r="E284" s="277"/>
      <c r="F284" s="277"/>
      <c r="G284" s="277"/>
    </row>
    <row r="285" spans="1:10" ht="14.25">
      <c r="A285" s="277" t="s">
        <v>1500</v>
      </c>
      <c r="B285" s="277"/>
      <c r="C285" s="277"/>
      <c r="D285" s="277"/>
      <c r="E285" s="277"/>
      <c r="F285" s="277"/>
      <c r="G285" s="277"/>
    </row>
    <row r="286" spans="1:10" ht="14.25">
      <c r="A286" s="277" t="s">
        <v>1501</v>
      </c>
      <c r="B286" s="277"/>
      <c r="C286" s="277"/>
      <c r="D286" s="277"/>
      <c r="E286" s="277"/>
      <c r="F286" s="277"/>
      <c r="G286" s="277"/>
    </row>
    <row r="287" spans="1:10" ht="15" thickBot="1">
      <c r="A287" s="277"/>
      <c r="B287" s="277"/>
      <c r="C287" s="277"/>
      <c r="D287" s="277"/>
      <c r="E287" s="277"/>
      <c r="F287" s="277"/>
      <c r="G287" s="277"/>
    </row>
    <row r="288" spans="1:10" ht="21">
      <c r="A288" s="703" t="s">
        <v>1503</v>
      </c>
      <c r="B288" s="704"/>
      <c r="C288" s="704"/>
      <c r="D288" s="704"/>
      <c r="E288" s="704"/>
      <c r="F288" s="704"/>
      <c r="G288" s="704"/>
      <c r="H288" s="704"/>
      <c r="I288" s="683"/>
      <c r="J288" s="684"/>
    </row>
    <row r="289" spans="1:10" ht="21">
      <c r="A289" s="705"/>
      <c r="B289" s="706"/>
      <c r="C289" s="706"/>
      <c r="D289" s="706"/>
      <c r="E289" s="706"/>
      <c r="F289" s="706"/>
      <c r="G289" s="706"/>
      <c r="H289" s="706"/>
      <c r="I289" s="649"/>
      <c r="J289" s="687"/>
    </row>
    <row r="290" spans="1:10" ht="21">
      <c r="A290" s="705" t="s">
        <v>1504</v>
      </c>
      <c r="B290" s="706"/>
      <c r="C290" s="706"/>
      <c r="D290" s="706"/>
      <c r="E290" s="706"/>
      <c r="F290" s="706"/>
      <c r="G290" s="706"/>
      <c r="H290" s="706"/>
      <c r="I290" s="649"/>
      <c r="J290" s="687"/>
    </row>
    <row r="291" spans="1:10" ht="21">
      <c r="A291" s="702"/>
      <c r="B291" s="649"/>
      <c r="C291" s="649"/>
      <c r="D291" s="649"/>
      <c r="E291" s="649"/>
      <c r="F291" s="649"/>
      <c r="G291" s="649"/>
      <c r="H291" s="649"/>
      <c r="I291" s="649"/>
      <c r="J291" s="687"/>
    </row>
    <row r="292" spans="1:10" ht="21">
      <c r="A292" s="702" t="s">
        <v>1505</v>
      </c>
      <c r="B292" s="649"/>
      <c r="C292" s="649"/>
      <c r="D292" s="649"/>
      <c r="E292" s="649"/>
      <c r="F292" s="649"/>
      <c r="G292" s="649"/>
      <c r="H292" s="649"/>
      <c r="I292" s="649"/>
      <c r="J292" s="687"/>
    </row>
    <row r="293" spans="1:10" ht="21">
      <c r="A293" s="702" t="s">
        <v>1506</v>
      </c>
      <c r="B293" s="649"/>
      <c r="C293" s="649"/>
      <c r="D293" s="649"/>
      <c r="E293" s="649"/>
      <c r="F293" s="649"/>
      <c r="G293" s="649"/>
      <c r="H293" s="649"/>
      <c r="I293" s="649"/>
      <c r="J293" s="687"/>
    </row>
    <row r="294" spans="1:10" ht="21">
      <c r="A294" s="702" t="s">
        <v>1507</v>
      </c>
      <c r="B294" s="649"/>
      <c r="C294" s="649"/>
      <c r="D294" s="649"/>
      <c r="E294" s="649"/>
      <c r="F294" s="649"/>
      <c r="G294" s="649"/>
      <c r="H294" s="649"/>
      <c r="I294" s="649"/>
      <c r="J294" s="687"/>
    </row>
    <row r="295" spans="1:10" ht="21.75" thickBot="1">
      <c r="A295" s="707" t="s">
        <v>1509</v>
      </c>
      <c r="B295" s="708"/>
      <c r="C295" s="708"/>
      <c r="D295" s="708"/>
      <c r="E295" s="690"/>
      <c r="F295" s="690"/>
      <c r="G295" s="690"/>
      <c r="H295" s="690"/>
      <c r="I295" s="690"/>
      <c r="J295" s="691"/>
    </row>
    <row r="298" spans="1:10">
      <c r="A298" s="87" t="s">
        <v>1510</v>
      </c>
    </row>
    <row r="299" spans="1:10">
      <c r="A299" s="87" t="s">
        <v>1511</v>
      </c>
    </row>
    <row r="301" spans="1:10">
      <c r="A301" s="87" t="s">
        <v>1512</v>
      </c>
    </row>
    <row r="303" spans="1:10">
      <c r="A303" s="87" t="s">
        <v>1513</v>
      </c>
    </row>
    <row r="304" spans="1:10">
      <c r="A304" s="87" t="s">
        <v>1514</v>
      </c>
    </row>
    <row r="306" spans="1:3">
      <c r="A306" s="87" t="s">
        <v>1515</v>
      </c>
    </row>
    <row r="307" spans="1:3">
      <c r="A307" s="87" t="s">
        <v>1516</v>
      </c>
    </row>
    <row r="309" spans="1:3">
      <c r="A309" s="709" t="s">
        <v>1506</v>
      </c>
      <c r="B309" s="92"/>
      <c r="C309" s="92"/>
    </row>
    <row r="310" spans="1:3">
      <c r="A310" s="709" t="s">
        <v>1507</v>
      </c>
      <c r="B310" s="92"/>
      <c r="C310" s="92"/>
    </row>
    <row r="311" spans="1:3" ht="12" thickBot="1">
      <c r="A311" s="710" t="s">
        <v>1508</v>
      </c>
      <c r="B311" s="92"/>
      <c r="C311" s="92"/>
    </row>
    <row r="312" spans="1:3">
      <c r="A312" s="817"/>
      <c r="B312" s="92"/>
      <c r="C312" s="92"/>
    </row>
    <row r="313" spans="1:3">
      <c r="A313" s="817"/>
      <c r="B313" s="92"/>
      <c r="C313" s="92"/>
    </row>
    <row r="314" spans="1:3">
      <c r="A314" s="817"/>
      <c r="B314" s="92"/>
      <c r="C314" s="92"/>
    </row>
    <row r="315" spans="1:3">
      <c r="A315" s="817"/>
      <c r="B315" s="92"/>
      <c r="C315" s="92"/>
    </row>
    <row r="316" spans="1:3">
      <c r="A316" s="817"/>
      <c r="B316" s="92"/>
      <c r="C316" s="92"/>
    </row>
    <row r="317" spans="1:3">
      <c r="A317" s="817"/>
      <c r="B317" s="92"/>
      <c r="C317" s="92"/>
    </row>
    <row r="318" spans="1:3">
      <c r="A318" s="817"/>
      <c r="B318" s="92"/>
      <c r="C318" s="92"/>
    </row>
    <row r="319" spans="1:3" ht="24">
      <c r="A319" s="818" t="s">
        <v>1701</v>
      </c>
      <c r="B319" s="92"/>
      <c r="C319" s="92"/>
    </row>
    <row r="320" spans="1:3">
      <c r="A320" s="817"/>
      <c r="B320" s="92"/>
      <c r="C320" s="92"/>
    </row>
    <row r="321" spans="1:6">
      <c r="A321" s="820" t="s">
        <v>1703</v>
      </c>
      <c r="B321" s="821"/>
      <c r="C321" s="821"/>
      <c r="D321" s="697"/>
      <c r="E321" s="697"/>
      <c r="F321" s="697"/>
    </row>
    <row r="322" spans="1:6">
      <c r="A322" s="820" t="s">
        <v>1702</v>
      </c>
      <c r="B322" s="821"/>
      <c r="C322" s="821"/>
      <c r="D322" s="697"/>
      <c r="E322" s="697"/>
      <c r="F322" s="697"/>
    </row>
    <row r="323" spans="1:6">
      <c r="A323" s="820" t="s">
        <v>1704</v>
      </c>
      <c r="B323" s="821"/>
      <c r="C323" s="821"/>
      <c r="D323" s="697"/>
      <c r="E323" s="697"/>
      <c r="F323" s="697"/>
    </row>
    <row r="324" spans="1:6">
      <c r="A324" s="820" t="s">
        <v>1705</v>
      </c>
      <c r="B324" s="821"/>
      <c r="C324" s="821"/>
      <c r="D324" s="697"/>
      <c r="E324" s="697"/>
      <c r="F324" s="697"/>
    </row>
    <row r="325" spans="1:6">
      <c r="A325" s="820" t="s">
        <v>1706</v>
      </c>
      <c r="B325" s="821"/>
      <c r="C325" s="821"/>
      <c r="D325" s="697"/>
      <c r="E325" s="697"/>
      <c r="F325" s="697"/>
    </row>
    <row r="326" spans="1:6">
      <c r="A326" s="817"/>
      <c r="B326" s="92"/>
      <c r="C326" s="92"/>
    </row>
    <row r="327" spans="1:6">
      <c r="A327" s="817"/>
      <c r="B327" s="92"/>
      <c r="C327" s="92"/>
    </row>
    <row r="328" spans="1:6">
      <c r="A328" s="817" t="s">
        <v>1707</v>
      </c>
      <c r="B328" s="92"/>
      <c r="C328" s="92"/>
    </row>
    <row r="329" spans="1:6">
      <c r="A329" s="817"/>
      <c r="B329" s="92"/>
      <c r="C329" s="92"/>
    </row>
    <row r="330" spans="1:6">
      <c r="A330" s="825" t="s">
        <v>1711</v>
      </c>
      <c r="B330" s="826"/>
      <c r="C330" s="827"/>
      <c r="D330" s="25" t="s">
        <v>1667</v>
      </c>
      <c r="E330" s="25" t="s">
        <v>1708</v>
      </c>
    </row>
    <row r="331" spans="1:6">
      <c r="A331" s="828" t="s">
        <v>1712</v>
      </c>
      <c r="B331" s="829"/>
      <c r="C331" s="830"/>
      <c r="D331" s="831" t="s">
        <v>1716</v>
      </c>
      <c r="E331" s="831" t="s">
        <v>1709</v>
      </c>
    </row>
    <row r="332" spans="1:6">
      <c r="A332" s="822" t="s">
        <v>1713</v>
      </c>
      <c r="B332" s="823"/>
      <c r="C332" s="824"/>
      <c r="D332" s="88">
        <v>0</v>
      </c>
      <c r="E332" s="88" t="s">
        <v>1710</v>
      </c>
    </row>
    <row r="333" spans="1:6">
      <c r="A333" s="822" t="s">
        <v>1714</v>
      </c>
      <c r="B333" s="823"/>
      <c r="C333" s="824"/>
      <c r="D333" s="88">
        <v>0</v>
      </c>
      <c r="E333" s="88" t="s">
        <v>1709</v>
      </c>
    </row>
    <row r="334" spans="1:6">
      <c r="A334" s="828" t="s">
        <v>1715</v>
      </c>
      <c r="B334" s="829"/>
      <c r="C334" s="830"/>
      <c r="D334" s="831" t="s">
        <v>1716</v>
      </c>
      <c r="E334" s="831" t="s">
        <v>1709</v>
      </c>
    </row>
    <row r="335" spans="1:6">
      <c r="A335" s="817"/>
      <c r="B335" s="92"/>
      <c r="C335" s="92"/>
    </row>
    <row r="336" spans="1:6" s="92" customFormat="1">
      <c r="A336" s="819"/>
    </row>
    <row r="337" spans="1:5" s="92" customFormat="1">
      <c r="A337" s="819" t="s">
        <v>1717</v>
      </c>
    </row>
    <row r="338" spans="1:5" s="92" customFormat="1">
      <c r="A338" s="819"/>
    </row>
    <row r="339" spans="1:5" s="92" customFormat="1">
      <c r="A339" s="819" t="s">
        <v>1718</v>
      </c>
    </row>
    <row r="340" spans="1:5" s="92" customFormat="1">
      <c r="A340" s="819"/>
    </row>
    <row r="341" spans="1:5" s="92" customFormat="1">
      <c r="A341" s="819" t="s">
        <v>1719</v>
      </c>
    </row>
    <row r="342" spans="1:5" s="92" customFormat="1">
      <c r="A342" s="819"/>
    </row>
    <row r="343" spans="1:5" s="92" customFormat="1">
      <c r="A343" s="819" t="s">
        <v>1720</v>
      </c>
    </row>
    <row r="344" spans="1:5" s="92" customFormat="1">
      <c r="A344" s="819"/>
    </row>
    <row r="345" spans="1:5" s="92" customFormat="1">
      <c r="A345" s="819" t="s">
        <v>1721</v>
      </c>
    </row>
    <row r="346" spans="1:5" s="92" customFormat="1"/>
    <row r="347" spans="1:5" s="92" customFormat="1">
      <c r="A347" s="819"/>
    </row>
    <row r="348" spans="1:5" s="92" customFormat="1">
      <c r="A348" s="832" t="s">
        <v>1722</v>
      </c>
      <c r="D348" s="832" t="s">
        <v>1723</v>
      </c>
    </row>
    <row r="349" spans="1:5" s="92" customFormat="1">
      <c r="A349" s="819"/>
    </row>
    <row r="350" spans="1:5" s="92" customFormat="1" ht="25.5">
      <c r="A350" s="833" t="s">
        <v>1724</v>
      </c>
      <c r="B350" s="834"/>
      <c r="C350" s="834"/>
      <c r="D350" s="835"/>
      <c r="E350" s="835"/>
    </row>
    <row r="351" spans="1:5" s="92" customFormat="1">
      <c r="A351" s="819"/>
    </row>
    <row r="353" spans="1:9" s="674" customFormat="1" ht="22.5" customHeight="1"/>
    <row r="355" spans="1:9" ht="55.5">
      <c r="A355" s="638" t="s">
        <v>1538</v>
      </c>
    </row>
    <row r="357" spans="1:9">
      <c r="A357" s="87" t="s">
        <v>1539</v>
      </c>
    </row>
    <row r="358" spans="1:9">
      <c r="A358" s="87" t="s">
        <v>1544</v>
      </c>
    </row>
    <row r="359" spans="1:9" ht="28.5">
      <c r="A359" s="711" t="s">
        <v>1540</v>
      </c>
      <c r="B359" s="279"/>
      <c r="C359" s="279"/>
      <c r="D359" s="279"/>
      <c r="E359" s="279"/>
      <c r="F359" s="279"/>
      <c r="G359" s="279"/>
      <c r="H359" s="279"/>
      <c r="I359" s="280"/>
    </row>
    <row r="360" spans="1:9">
      <c r="A360" s="281"/>
      <c r="B360" s="282"/>
      <c r="C360" s="282"/>
      <c r="D360" s="282"/>
      <c r="E360" s="282"/>
      <c r="F360" s="282"/>
      <c r="G360" s="282"/>
      <c r="H360" s="282"/>
      <c r="I360" s="283"/>
    </row>
    <row r="361" spans="1:9">
      <c r="A361" s="281" t="s">
        <v>1541</v>
      </c>
      <c r="B361" s="282"/>
      <c r="C361" s="282"/>
      <c r="D361" s="282"/>
      <c r="E361" s="282"/>
      <c r="F361" s="282"/>
      <c r="G361" s="282"/>
      <c r="H361" s="282"/>
      <c r="I361" s="283"/>
    </row>
    <row r="362" spans="1:9" ht="24">
      <c r="A362" s="712" t="s">
        <v>1508</v>
      </c>
      <c r="B362" s="713"/>
      <c r="C362" s="713"/>
      <c r="D362" s="713"/>
      <c r="E362" s="282"/>
      <c r="F362" s="282"/>
      <c r="G362" s="282"/>
      <c r="H362" s="282"/>
      <c r="I362" s="283"/>
    </row>
    <row r="363" spans="1:9">
      <c r="A363" s="281"/>
      <c r="B363" s="282"/>
      <c r="C363" s="282"/>
      <c r="D363" s="282"/>
      <c r="E363" s="282"/>
      <c r="F363" s="282"/>
      <c r="G363" s="282"/>
      <c r="H363" s="282"/>
      <c r="I363" s="283"/>
    </row>
    <row r="364" spans="1:9" ht="25.5">
      <c r="A364" s="714" t="s">
        <v>1542</v>
      </c>
      <c r="B364" s="282"/>
      <c r="C364" s="282"/>
      <c r="D364" s="282"/>
      <c r="E364" s="282"/>
      <c r="F364" s="282"/>
      <c r="G364" s="282"/>
      <c r="H364" s="282"/>
      <c r="I364" s="283"/>
    </row>
    <row r="365" spans="1:9">
      <c r="A365" s="284"/>
      <c r="B365" s="285"/>
      <c r="C365" s="285"/>
      <c r="D365" s="285"/>
      <c r="E365" s="285"/>
      <c r="F365" s="285"/>
      <c r="G365" s="285"/>
      <c r="H365" s="285"/>
      <c r="I365" s="286"/>
    </row>
    <row r="368" spans="1:9">
      <c r="A368" s="87" t="s">
        <v>1543</v>
      </c>
    </row>
    <row r="370" spans="1:19">
      <c r="A370" s="87" t="s">
        <v>1545</v>
      </c>
    </row>
    <row r="371" spans="1:19" ht="12" thickBot="1">
      <c r="A371" s="87" t="s">
        <v>1546</v>
      </c>
    </row>
    <row r="372" spans="1:19" ht="17.25">
      <c r="A372" s="715" t="s">
        <v>1548</v>
      </c>
      <c r="B372" s="716"/>
      <c r="C372" s="716"/>
      <c r="D372" s="716"/>
      <c r="E372" s="716"/>
      <c r="F372" s="716"/>
      <c r="G372" s="716"/>
      <c r="H372" s="716"/>
      <c r="I372" s="716"/>
      <c r="J372" s="716"/>
      <c r="K372" s="716"/>
      <c r="L372" s="716"/>
      <c r="M372" s="716"/>
      <c r="N372" s="716"/>
      <c r="O372" s="716"/>
      <c r="P372" s="716"/>
      <c r="Q372" s="683"/>
      <c r="R372" s="683"/>
      <c r="S372" s="684"/>
    </row>
    <row r="373" spans="1:19" ht="12" thickBot="1">
      <c r="A373" s="717"/>
      <c r="B373" s="718"/>
      <c r="C373" s="718"/>
      <c r="D373" s="718"/>
      <c r="E373" s="718"/>
      <c r="F373" s="718"/>
      <c r="G373" s="718"/>
      <c r="H373" s="718"/>
      <c r="I373" s="718"/>
      <c r="J373" s="718"/>
      <c r="K373" s="718"/>
      <c r="L373" s="718"/>
      <c r="M373" s="718"/>
      <c r="N373" s="718"/>
      <c r="O373" s="718"/>
      <c r="P373" s="718"/>
      <c r="Q373" s="690"/>
      <c r="R373" s="690"/>
      <c r="S373" s="691"/>
    </row>
    <row r="376" spans="1:19" s="242" customFormat="1" ht="28.5">
      <c r="A376" s="719" t="s">
        <v>1540</v>
      </c>
      <c r="B376" s="720"/>
      <c r="C376" s="720"/>
      <c r="D376" s="720"/>
      <c r="E376" s="720"/>
      <c r="F376" s="720"/>
    </row>
    <row r="383" spans="1:19">
      <c r="A383" s="87" t="s">
        <v>1549</v>
      </c>
    </row>
    <row r="384" spans="1:19">
      <c r="A384" s="721" t="s">
        <v>1550</v>
      </c>
      <c r="B384" s="722"/>
      <c r="C384" s="722"/>
      <c r="D384" s="722"/>
      <c r="E384" s="722"/>
      <c r="F384" s="722"/>
      <c r="G384" s="722"/>
      <c r="H384" s="722"/>
      <c r="I384" s="722"/>
      <c r="J384" s="722"/>
      <c r="K384" s="722"/>
      <c r="L384" s="723"/>
    </row>
    <row r="385" spans="1:12">
      <c r="A385" s="262"/>
      <c r="B385" s="263"/>
      <c r="C385" s="263"/>
      <c r="D385" s="263"/>
      <c r="E385" s="263"/>
      <c r="F385" s="263"/>
      <c r="G385" s="263"/>
      <c r="H385" s="263"/>
      <c r="I385" s="263"/>
      <c r="J385" s="263"/>
      <c r="K385" s="263"/>
      <c r="L385" s="724"/>
    </row>
    <row r="386" spans="1:12">
      <c r="A386" s="734" t="s">
        <v>1554</v>
      </c>
      <c r="B386" s="263"/>
      <c r="C386" s="263"/>
      <c r="D386" s="263"/>
      <c r="E386" s="263"/>
      <c r="F386" s="263"/>
      <c r="G386" s="263"/>
      <c r="H386" s="263"/>
      <c r="I386" s="263"/>
      <c r="J386" s="263"/>
      <c r="K386" s="263"/>
      <c r="L386" s="724"/>
    </row>
    <row r="387" spans="1:12">
      <c r="A387" s="262" t="s">
        <v>1551</v>
      </c>
      <c r="B387" s="263"/>
      <c r="C387" s="263"/>
      <c r="D387" s="263"/>
      <c r="E387" s="263"/>
      <c r="F387" s="263"/>
      <c r="G387" s="263"/>
      <c r="H387" s="263"/>
      <c r="I387" s="263"/>
      <c r="J387" s="263"/>
      <c r="K387" s="263"/>
      <c r="L387" s="724"/>
    </row>
    <row r="388" spans="1:12">
      <c r="A388" s="262" t="s">
        <v>1552</v>
      </c>
      <c r="B388" s="263"/>
      <c r="C388" s="263"/>
      <c r="D388" s="263"/>
      <c r="E388" s="263"/>
      <c r="F388" s="263"/>
      <c r="G388" s="263"/>
      <c r="H388" s="263"/>
      <c r="I388" s="263"/>
      <c r="J388" s="263"/>
      <c r="K388" s="263"/>
      <c r="L388" s="724"/>
    </row>
    <row r="389" spans="1:12">
      <c r="A389" s="262" t="s">
        <v>1553</v>
      </c>
      <c r="B389" s="263"/>
      <c r="C389" s="263"/>
      <c r="D389" s="263"/>
      <c r="E389" s="263"/>
      <c r="F389" s="263"/>
      <c r="G389" s="263"/>
      <c r="H389" s="263"/>
      <c r="I389" s="263"/>
      <c r="J389" s="263"/>
      <c r="K389" s="263"/>
      <c r="L389" s="724"/>
    </row>
    <row r="390" spans="1:12">
      <c r="A390" s="262"/>
      <c r="B390" s="263"/>
      <c r="C390" s="263"/>
      <c r="D390" s="263"/>
      <c r="E390" s="263"/>
      <c r="F390" s="263"/>
      <c r="G390" s="263"/>
      <c r="H390" s="263"/>
      <c r="I390" s="263"/>
      <c r="J390" s="263"/>
      <c r="K390" s="263"/>
      <c r="L390" s="724"/>
    </row>
    <row r="391" spans="1:12">
      <c r="A391" s="262" t="s">
        <v>1555</v>
      </c>
      <c r="B391" s="263"/>
      <c r="C391" s="263"/>
      <c r="D391" s="263"/>
      <c r="E391" s="263"/>
      <c r="F391" s="263"/>
      <c r="G391" s="263"/>
      <c r="H391" s="263"/>
      <c r="I391" s="263"/>
      <c r="J391" s="263"/>
      <c r="K391" s="263"/>
      <c r="L391" s="724"/>
    </row>
    <row r="392" spans="1:12">
      <c r="A392" s="262"/>
      <c r="B392" s="725" t="s">
        <v>1556</v>
      </c>
      <c r="C392" s="729" t="s">
        <v>1558</v>
      </c>
      <c r="D392" s="729"/>
      <c r="E392" s="729"/>
      <c r="F392" s="263"/>
      <c r="G392" s="263"/>
      <c r="H392" s="263"/>
      <c r="I392" s="263"/>
      <c r="J392" s="263"/>
      <c r="K392" s="263"/>
      <c r="L392" s="724"/>
    </row>
    <row r="393" spans="1:12">
      <c r="A393" s="262"/>
      <c r="B393" s="725" t="s">
        <v>1556</v>
      </c>
      <c r="C393" s="729" t="s">
        <v>1557</v>
      </c>
      <c r="D393" s="729"/>
      <c r="E393" s="729"/>
      <c r="F393" s="263"/>
      <c r="G393" s="263"/>
      <c r="H393" s="263"/>
      <c r="I393" s="263"/>
      <c r="J393" s="263"/>
      <c r="K393" s="263"/>
      <c r="L393" s="724"/>
    </row>
    <row r="394" spans="1:12">
      <c r="A394" s="262"/>
      <c r="B394" s="725" t="s">
        <v>1556</v>
      </c>
      <c r="C394" s="729" t="s">
        <v>1559</v>
      </c>
      <c r="D394" s="729"/>
      <c r="E394" s="729"/>
      <c r="F394" s="263"/>
      <c r="G394" s="263"/>
      <c r="H394" s="263"/>
      <c r="I394" s="263"/>
      <c r="J394" s="263"/>
      <c r="K394" s="263"/>
      <c r="L394" s="724"/>
    </row>
    <row r="395" spans="1:12">
      <c r="A395" s="262"/>
      <c r="B395" s="725" t="s">
        <v>1556</v>
      </c>
      <c r="C395" s="729" t="s">
        <v>1560</v>
      </c>
      <c r="D395" s="729"/>
      <c r="E395" s="729"/>
      <c r="F395" s="263"/>
      <c r="G395" s="263"/>
      <c r="H395" s="263"/>
      <c r="I395" s="263"/>
      <c r="J395" s="263"/>
      <c r="K395" s="263"/>
      <c r="L395" s="724"/>
    </row>
    <row r="396" spans="1:12">
      <c r="A396" s="262"/>
      <c r="B396" s="263"/>
      <c r="C396" s="263"/>
      <c r="D396" s="263"/>
      <c r="E396" s="263"/>
      <c r="F396" s="263"/>
      <c r="G396" s="263"/>
      <c r="H396" s="263"/>
      <c r="I396" s="263"/>
      <c r="J396" s="263"/>
      <c r="K396" s="263"/>
      <c r="L396" s="724"/>
    </row>
    <row r="397" spans="1:12">
      <c r="A397" s="262" t="s">
        <v>1547</v>
      </c>
      <c r="B397" s="263"/>
      <c r="C397" s="263"/>
      <c r="D397" s="263"/>
      <c r="E397" s="263"/>
      <c r="F397" s="263"/>
      <c r="G397" s="263"/>
      <c r="H397" s="263"/>
      <c r="I397" s="263"/>
      <c r="J397" s="263"/>
      <c r="K397" s="263"/>
      <c r="L397" s="724"/>
    </row>
    <row r="398" spans="1:12">
      <c r="A398" s="262"/>
      <c r="B398" s="263"/>
      <c r="C398" s="263"/>
      <c r="D398" s="263"/>
      <c r="E398" s="263"/>
      <c r="F398" s="263"/>
      <c r="G398" s="263"/>
      <c r="H398" s="263"/>
      <c r="I398" s="263"/>
      <c r="J398" s="263"/>
      <c r="K398" s="263"/>
      <c r="L398" s="724"/>
    </row>
    <row r="399" spans="1:12">
      <c r="A399" s="262" t="s">
        <v>1561</v>
      </c>
      <c r="B399" s="263"/>
      <c r="C399" s="263"/>
      <c r="D399" s="263"/>
      <c r="E399" s="263"/>
      <c r="F399" s="263"/>
      <c r="G399" s="263"/>
      <c r="H399" s="263"/>
      <c r="I399" s="263"/>
      <c r="J399" s="263"/>
      <c r="K399" s="263"/>
      <c r="L399" s="724"/>
    </row>
    <row r="400" spans="1:12">
      <c r="A400" s="262"/>
      <c r="B400" s="263"/>
      <c r="C400" s="263"/>
      <c r="D400" s="263"/>
      <c r="E400" s="263"/>
      <c r="F400" s="263"/>
      <c r="G400" s="263"/>
      <c r="H400" s="263"/>
      <c r="I400" s="263"/>
      <c r="J400" s="263"/>
      <c r="K400" s="263"/>
      <c r="L400" s="724"/>
    </row>
    <row r="401" spans="1:12">
      <c r="A401" s="262" t="s">
        <v>1562</v>
      </c>
      <c r="B401" s="263"/>
      <c r="C401" s="263"/>
      <c r="D401" s="263"/>
      <c r="E401" s="263"/>
      <c r="F401" s="263"/>
      <c r="G401" s="263"/>
      <c r="H401" s="263"/>
      <c r="I401" s="263"/>
      <c r="J401" s="263"/>
      <c r="K401" s="263"/>
      <c r="L401" s="724"/>
    </row>
    <row r="402" spans="1:12">
      <c r="A402" s="730"/>
      <c r="B402" s="731"/>
      <c r="C402" s="731"/>
      <c r="D402" s="263"/>
      <c r="E402" s="263"/>
      <c r="F402" s="263"/>
      <c r="G402" s="263"/>
      <c r="H402" s="263"/>
      <c r="I402" s="263"/>
      <c r="J402" s="263"/>
      <c r="K402" s="263"/>
      <c r="L402" s="724"/>
    </row>
    <row r="403" spans="1:12">
      <c r="A403" s="730" t="s">
        <v>1563</v>
      </c>
      <c r="B403" s="731"/>
      <c r="C403" s="731"/>
      <c r="D403" s="263"/>
      <c r="E403" s="263"/>
      <c r="F403" s="263"/>
      <c r="G403" s="263"/>
      <c r="H403" s="263"/>
      <c r="I403" s="263"/>
      <c r="J403" s="263"/>
      <c r="K403" s="263"/>
      <c r="L403" s="724"/>
    </row>
    <row r="404" spans="1:12">
      <c r="A404" s="262"/>
      <c r="B404" s="263"/>
      <c r="C404" s="263"/>
      <c r="D404" s="263"/>
      <c r="E404" s="263"/>
      <c r="F404" s="263"/>
      <c r="G404" s="263"/>
      <c r="H404" s="263"/>
      <c r="I404" s="263"/>
      <c r="J404" s="263"/>
      <c r="K404" s="263"/>
      <c r="L404" s="724"/>
    </row>
    <row r="405" spans="1:12" ht="18.75">
      <c r="A405" s="732" t="s">
        <v>1564</v>
      </c>
      <c r="B405" s="733"/>
      <c r="C405" s="733"/>
      <c r="D405" s="733"/>
      <c r="E405" s="263"/>
      <c r="F405" s="263"/>
      <c r="G405" s="263"/>
      <c r="H405" s="263"/>
      <c r="I405" s="263"/>
      <c r="J405" s="263"/>
      <c r="K405" s="263"/>
      <c r="L405" s="724"/>
    </row>
    <row r="406" spans="1:12">
      <c r="A406" s="262"/>
      <c r="B406" s="263"/>
      <c r="C406" s="263"/>
      <c r="D406" s="263"/>
      <c r="E406" s="263"/>
      <c r="F406" s="263"/>
      <c r="G406" s="263"/>
      <c r="H406" s="263"/>
      <c r="I406" s="263"/>
      <c r="J406" s="263"/>
      <c r="K406" s="263"/>
      <c r="L406" s="724"/>
    </row>
    <row r="407" spans="1:12">
      <c r="A407" s="262"/>
      <c r="B407" s="263"/>
      <c r="C407" s="263"/>
      <c r="D407" s="263"/>
      <c r="E407" s="263"/>
      <c r="F407" s="263"/>
      <c r="G407" s="263"/>
      <c r="H407" s="263"/>
      <c r="I407" s="263"/>
      <c r="J407" s="263"/>
      <c r="K407" s="263"/>
      <c r="L407" s="724"/>
    </row>
    <row r="408" spans="1:12">
      <c r="A408" s="726"/>
      <c r="B408" s="727"/>
      <c r="C408" s="727"/>
      <c r="D408" s="727"/>
      <c r="E408" s="727"/>
      <c r="F408" s="727"/>
      <c r="G408" s="727"/>
      <c r="H408" s="727"/>
      <c r="I408" s="727"/>
      <c r="J408" s="727"/>
      <c r="K408" s="727"/>
      <c r="L408" s="728"/>
    </row>
    <row r="411" spans="1:12">
      <c r="A411" s="87" t="s">
        <v>19</v>
      </c>
    </row>
    <row r="412" spans="1:12">
      <c r="A412" s="721" t="s">
        <v>1550</v>
      </c>
      <c r="B412" s="722"/>
      <c r="C412" s="722"/>
      <c r="D412" s="722"/>
      <c r="E412" s="722"/>
      <c r="F412" s="722"/>
      <c r="G412" s="722"/>
      <c r="H412" s="722"/>
      <c r="I412" s="722"/>
      <c r="J412" s="722"/>
      <c r="K412" s="722"/>
      <c r="L412" s="723"/>
    </row>
    <row r="413" spans="1:12">
      <c r="A413" s="262"/>
      <c r="B413" s="263"/>
      <c r="C413" s="263"/>
      <c r="D413" s="263"/>
      <c r="E413" s="263"/>
      <c r="F413" s="263"/>
      <c r="G413" s="263"/>
      <c r="H413" s="263"/>
      <c r="I413" s="263"/>
      <c r="J413" s="263"/>
      <c r="K413" s="263"/>
      <c r="L413" s="724"/>
    </row>
    <row r="414" spans="1:12">
      <c r="A414" s="734" t="s">
        <v>1565</v>
      </c>
      <c r="B414" s="263"/>
      <c r="C414" s="263"/>
      <c r="D414" s="263"/>
      <c r="E414" s="263"/>
      <c r="F414" s="263"/>
      <c r="G414" s="263"/>
      <c r="H414" s="263"/>
      <c r="I414" s="263"/>
      <c r="J414" s="263"/>
      <c r="K414" s="263"/>
      <c r="L414" s="724"/>
    </row>
    <row r="415" spans="1:12">
      <c r="A415" s="262" t="s">
        <v>1551</v>
      </c>
      <c r="B415" s="263"/>
      <c r="C415" s="263"/>
      <c r="D415" s="263"/>
      <c r="E415" s="263"/>
      <c r="F415" s="263"/>
      <c r="G415" s="263"/>
      <c r="H415" s="263"/>
      <c r="I415" s="263"/>
      <c r="J415" s="263"/>
      <c r="K415" s="263"/>
      <c r="L415" s="724"/>
    </row>
    <row r="416" spans="1:12">
      <c r="A416" s="262" t="s">
        <v>1552</v>
      </c>
      <c r="B416" s="263"/>
      <c r="C416" s="263"/>
      <c r="D416" s="263"/>
      <c r="E416" s="263"/>
      <c r="F416" s="263"/>
      <c r="G416" s="263"/>
      <c r="H416" s="263"/>
      <c r="I416" s="263"/>
      <c r="J416" s="263"/>
      <c r="K416" s="263"/>
      <c r="L416" s="724"/>
    </row>
    <row r="417" spans="1:12">
      <c r="A417" s="262" t="s">
        <v>1553</v>
      </c>
      <c r="B417" s="263"/>
      <c r="C417" s="263"/>
      <c r="D417" s="263"/>
      <c r="E417" s="263"/>
      <c r="F417" s="263"/>
      <c r="G417" s="263"/>
      <c r="H417" s="263"/>
      <c r="I417" s="263"/>
      <c r="J417" s="263"/>
      <c r="K417" s="263"/>
      <c r="L417" s="724"/>
    </row>
    <row r="418" spans="1:12">
      <c r="A418" s="262"/>
      <c r="B418" s="263"/>
      <c r="C418" s="263"/>
      <c r="D418" s="263"/>
      <c r="E418" s="263"/>
      <c r="F418" s="263"/>
      <c r="G418" s="263"/>
      <c r="H418" s="263"/>
      <c r="I418" s="263"/>
      <c r="J418" s="263"/>
      <c r="K418" s="263"/>
      <c r="L418" s="724"/>
    </row>
    <row r="419" spans="1:12">
      <c r="A419" s="262" t="s">
        <v>1555</v>
      </c>
      <c r="B419" s="263"/>
      <c r="C419" s="263"/>
      <c r="D419" s="263"/>
      <c r="E419" s="263"/>
      <c r="F419" s="263"/>
      <c r="G419" s="263"/>
      <c r="H419" s="263"/>
      <c r="I419" s="263"/>
      <c r="J419" s="263"/>
      <c r="K419" s="263"/>
      <c r="L419" s="724"/>
    </row>
    <row r="420" spans="1:12">
      <c r="A420" s="262"/>
      <c r="B420" s="725" t="s">
        <v>1556</v>
      </c>
      <c r="C420" s="729" t="s">
        <v>1566</v>
      </c>
      <c r="D420" s="729"/>
      <c r="E420" s="729"/>
      <c r="F420" s="263"/>
      <c r="G420" s="263"/>
      <c r="H420" s="263"/>
      <c r="I420" s="263"/>
      <c r="J420" s="263"/>
      <c r="K420" s="263"/>
      <c r="L420" s="724"/>
    </row>
    <row r="421" spans="1:12">
      <c r="A421" s="262"/>
      <c r="B421" s="725" t="s">
        <v>1556</v>
      </c>
      <c r="C421" s="729" t="s">
        <v>1567</v>
      </c>
      <c r="D421" s="729"/>
      <c r="E421" s="729"/>
      <c r="F421" s="263"/>
      <c r="G421" s="263"/>
      <c r="H421" s="263"/>
      <c r="I421" s="263"/>
      <c r="J421" s="263"/>
      <c r="K421" s="263"/>
      <c r="L421" s="724"/>
    </row>
    <row r="422" spans="1:12">
      <c r="A422" s="262"/>
      <c r="B422" s="725" t="s">
        <v>1556</v>
      </c>
      <c r="C422" s="729" t="s">
        <v>1559</v>
      </c>
      <c r="D422" s="729"/>
      <c r="E422" s="729"/>
      <c r="F422" s="263"/>
      <c r="G422" s="263"/>
      <c r="H422" s="263"/>
      <c r="I422" s="263"/>
      <c r="J422" s="263"/>
      <c r="K422" s="263"/>
      <c r="L422" s="724"/>
    </row>
    <row r="423" spans="1:12">
      <c r="A423" s="262"/>
      <c r="B423" s="725" t="s">
        <v>1556</v>
      </c>
      <c r="C423" s="729" t="s">
        <v>1568</v>
      </c>
      <c r="D423" s="729"/>
      <c r="E423" s="729"/>
      <c r="F423" s="263"/>
      <c r="G423" s="263"/>
      <c r="H423" s="263"/>
      <c r="I423" s="263"/>
      <c r="J423" s="263"/>
      <c r="K423" s="263"/>
      <c r="L423" s="724"/>
    </row>
    <row r="424" spans="1:12">
      <c r="A424" s="262"/>
      <c r="B424" s="263"/>
      <c r="C424" s="263"/>
      <c r="D424" s="263"/>
      <c r="E424" s="263"/>
      <c r="F424" s="263"/>
      <c r="G424" s="263"/>
      <c r="H424" s="263"/>
      <c r="I424" s="263"/>
      <c r="J424" s="263"/>
      <c r="K424" s="263"/>
      <c r="L424" s="724"/>
    </row>
    <row r="425" spans="1:12">
      <c r="A425" s="262" t="s">
        <v>1547</v>
      </c>
      <c r="B425" s="263"/>
      <c r="C425" s="263"/>
      <c r="D425" s="263"/>
      <c r="E425" s="263"/>
      <c r="F425" s="263"/>
      <c r="G425" s="263"/>
      <c r="H425" s="263"/>
      <c r="I425" s="263"/>
      <c r="J425" s="263"/>
      <c r="K425" s="263"/>
      <c r="L425" s="724"/>
    </row>
    <row r="426" spans="1:12">
      <c r="A426" s="262"/>
      <c r="B426" s="263"/>
      <c r="C426" s="263"/>
      <c r="D426" s="263"/>
      <c r="E426" s="263"/>
      <c r="F426" s="263"/>
      <c r="G426" s="263"/>
      <c r="H426" s="263"/>
      <c r="I426" s="263"/>
      <c r="J426" s="263"/>
      <c r="K426" s="263"/>
      <c r="L426" s="724"/>
    </row>
    <row r="427" spans="1:12">
      <c r="A427" s="262" t="s">
        <v>1569</v>
      </c>
      <c r="B427" s="263"/>
      <c r="C427" s="263"/>
      <c r="D427" s="263"/>
      <c r="E427" s="263"/>
      <c r="F427" s="263"/>
      <c r="G427" s="263"/>
      <c r="H427" s="263"/>
      <c r="I427" s="263"/>
      <c r="J427" s="263"/>
      <c r="K427" s="263"/>
      <c r="L427" s="724"/>
    </row>
    <row r="428" spans="1:12">
      <c r="A428" s="262"/>
      <c r="B428" s="263"/>
      <c r="C428" s="263"/>
      <c r="D428" s="263"/>
      <c r="E428" s="263"/>
      <c r="F428" s="263"/>
      <c r="G428" s="263"/>
      <c r="H428" s="263"/>
      <c r="I428" s="263"/>
      <c r="J428" s="263"/>
      <c r="K428" s="263"/>
      <c r="L428" s="724"/>
    </row>
    <row r="429" spans="1:12">
      <c r="A429" s="262" t="s">
        <v>1570</v>
      </c>
      <c r="B429" s="263"/>
      <c r="C429" s="263"/>
      <c r="D429" s="263"/>
      <c r="E429" s="263"/>
      <c r="F429" s="263"/>
      <c r="G429" s="263"/>
      <c r="H429" s="263"/>
      <c r="I429" s="263"/>
      <c r="J429" s="263"/>
      <c r="K429" s="263"/>
      <c r="L429" s="724"/>
    </row>
    <row r="430" spans="1:12">
      <c r="A430" s="730"/>
      <c r="B430" s="731"/>
      <c r="C430" s="731"/>
      <c r="D430" s="263"/>
      <c r="E430" s="263"/>
      <c r="F430" s="263"/>
      <c r="G430" s="263"/>
      <c r="H430" s="263"/>
      <c r="I430" s="263"/>
      <c r="J430" s="263"/>
      <c r="K430" s="263"/>
      <c r="L430" s="724"/>
    </row>
    <row r="431" spans="1:12">
      <c r="A431" s="730" t="s">
        <v>1563</v>
      </c>
      <c r="B431" s="731"/>
      <c r="C431" s="731"/>
      <c r="D431" s="263"/>
      <c r="E431" s="263"/>
      <c r="F431" s="263"/>
      <c r="G431" s="263"/>
      <c r="H431" s="263"/>
      <c r="I431" s="263"/>
      <c r="J431" s="263"/>
      <c r="K431" s="263"/>
      <c r="L431" s="724"/>
    </row>
    <row r="432" spans="1:12">
      <c r="A432" s="262"/>
      <c r="B432" s="263"/>
      <c r="C432" s="263"/>
      <c r="D432" s="263"/>
      <c r="E432" s="263"/>
      <c r="F432" s="263"/>
      <c r="G432" s="263"/>
      <c r="H432" s="263"/>
      <c r="I432" s="263"/>
      <c r="J432" s="263"/>
      <c r="K432" s="263"/>
      <c r="L432" s="724"/>
    </row>
    <row r="433" spans="1:12" ht="18.75">
      <c r="A433" s="732" t="s">
        <v>1571</v>
      </c>
      <c r="B433" s="733"/>
      <c r="C433" s="733"/>
      <c r="D433" s="733"/>
      <c r="E433" s="263"/>
      <c r="F433" s="263"/>
      <c r="G433" s="263"/>
      <c r="H433" s="263"/>
      <c r="I433" s="263"/>
      <c r="J433" s="263"/>
      <c r="K433" s="263"/>
      <c r="L433" s="724"/>
    </row>
    <row r="434" spans="1:12">
      <c r="A434" s="262"/>
      <c r="B434" s="263"/>
      <c r="C434" s="263"/>
      <c r="D434" s="263"/>
      <c r="E434" s="263"/>
      <c r="F434" s="263"/>
      <c r="G434" s="263"/>
      <c r="H434" s="263"/>
      <c r="I434" s="263"/>
      <c r="J434" s="263"/>
      <c r="K434" s="263"/>
      <c r="L434" s="724"/>
    </row>
    <row r="435" spans="1:12">
      <c r="A435" s="262"/>
      <c r="B435" s="263"/>
      <c r="C435" s="263"/>
      <c r="D435" s="263"/>
      <c r="E435" s="263"/>
      <c r="F435" s="263"/>
      <c r="G435" s="263"/>
      <c r="H435" s="263"/>
      <c r="I435" s="263"/>
      <c r="J435" s="263"/>
      <c r="K435" s="263"/>
      <c r="L435" s="724"/>
    </row>
    <row r="436" spans="1:12">
      <c r="A436" s="726"/>
      <c r="B436" s="727"/>
      <c r="C436" s="727"/>
      <c r="D436" s="727"/>
      <c r="E436" s="727"/>
      <c r="F436" s="727"/>
      <c r="G436" s="727"/>
      <c r="H436" s="727"/>
      <c r="I436" s="727"/>
      <c r="J436" s="727"/>
      <c r="K436" s="727"/>
      <c r="L436" s="728"/>
    </row>
    <row r="443" spans="1:12" s="387" customFormat="1"/>
    <row r="445" spans="1:12" ht="25.5">
      <c r="A445" s="62" t="s">
        <v>1572</v>
      </c>
    </row>
    <row r="447" spans="1:12" s="99" customFormat="1">
      <c r="A447" s="99" t="s">
        <v>1573</v>
      </c>
    </row>
    <row r="448" spans="1:12" s="99" customFormat="1">
      <c r="A448" s="735" t="s">
        <v>1375</v>
      </c>
      <c r="B448" s="735"/>
      <c r="C448" s="735"/>
      <c r="D448" s="735"/>
    </row>
    <row r="449" spans="1:6" s="99" customFormat="1"/>
    <row r="450" spans="1:6" s="99" customFormat="1">
      <c r="A450" s="99" t="s">
        <v>1376</v>
      </c>
    </row>
    <row r="451" spans="1:6" s="99" customFormat="1">
      <c r="A451" s="99" t="s">
        <v>1377</v>
      </c>
    </row>
    <row r="452" spans="1:6" s="99" customFormat="1"/>
    <row r="453" spans="1:6" s="99" customFormat="1">
      <c r="A453" s="99" t="s">
        <v>1379</v>
      </c>
    </row>
    <row r="454" spans="1:6" s="99" customFormat="1">
      <c r="A454" s="99" t="s">
        <v>1380</v>
      </c>
    </row>
    <row r="455" spans="1:6" s="99" customFormat="1">
      <c r="A455" s="99" t="s">
        <v>1381</v>
      </c>
    </row>
    <row r="456" spans="1:6" s="99" customFormat="1"/>
    <row r="457" spans="1:6" s="99" customFormat="1">
      <c r="A457" s="99" t="s">
        <v>1382</v>
      </c>
    </row>
    <row r="458" spans="1:6" s="99" customFormat="1">
      <c r="A458" s="99" t="s">
        <v>1383</v>
      </c>
    </row>
    <row r="459" spans="1:6" s="99" customFormat="1"/>
    <row r="460" spans="1:6" s="99" customFormat="1">
      <c r="A460" s="99" t="s">
        <v>1384</v>
      </c>
    </row>
    <row r="461" spans="1:6" s="99" customFormat="1"/>
    <row r="462" spans="1:6" s="99" customFormat="1" ht="25.5">
      <c r="A462" s="628" t="s">
        <v>1385</v>
      </c>
    </row>
    <row r="463" spans="1:6" s="99" customFormat="1">
      <c r="A463" s="604" t="s">
        <v>1386</v>
      </c>
      <c r="B463" s="605"/>
      <c r="C463" s="605"/>
      <c r="D463" s="605"/>
      <c r="E463" s="605"/>
      <c r="F463" s="606"/>
    </row>
    <row r="464" spans="1:6" s="99" customFormat="1">
      <c r="A464" s="607" t="s">
        <v>1387</v>
      </c>
      <c r="B464" s="608"/>
      <c r="C464" s="608"/>
      <c r="D464" s="608"/>
      <c r="E464" s="608"/>
      <c r="F464" s="609"/>
    </row>
    <row r="465" spans="1:8" s="99" customFormat="1">
      <c r="A465" s="610" t="s">
        <v>1388</v>
      </c>
      <c r="B465" s="611"/>
      <c r="C465" s="611"/>
      <c r="D465" s="611"/>
      <c r="E465" s="611"/>
      <c r="F465" s="612"/>
    </row>
    <row r="466" spans="1:8" s="99" customFormat="1">
      <c r="A466" s="99" t="s">
        <v>1389</v>
      </c>
    </row>
    <row r="467" spans="1:8" s="99" customFormat="1"/>
    <row r="468" spans="1:8" s="99" customFormat="1" ht="24">
      <c r="A468" s="98" t="s">
        <v>1390</v>
      </c>
    </row>
    <row r="469" spans="1:8" s="99" customFormat="1">
      <c r="A469" s="604" t="s">
        <v>1391</v>
      </c>
      <c r="B469" s="605"/>
      <c r="C469" s="605"/>
      <c r="D469" s="605"/>
      <c r="E469" s="605"/>
      <c r="F469" s="605"/>
      <c r="G469" s="606"/>
    </row>
    <row r="470" spans="1:8" s="99" customFormat="1">
      <c r="A470" s="610"/>
      <c r="B470" s="611"/>
      <c r="C470" s="611"/>
      <c r="D470" s="611"/>
      <c r="E470" s="611"/>
      <c r="F470" s="611"/>
      <c r="G470" s="612"/>
    </row>
    <row r="471" spans="1:8" s="99" customFormat="1"/>
    <row r="472" spans="1:8" s="99" customFormat="1" ht="12" thickBot="1">
      <c r="A472" s="99" t="s">
        <v>1396</v>
      </c>
    </row>
    <row r="473" spans="1:8" s="99" customFormat="1">
      <c r="A473" s="629" t="s">
        <v>1392</v>
      </c>
      <c r="B473" s="630"/>
      <c r="C473" s="630"/>
      <c r="D473" s="630"/>
      <c r="E473" s="630"/>
      <c r="F473" s="630"/>
      <c r="G473" s="630"/>
      <c r="H473" s="631"/>
    </row>
    <row r="474" spans="1:8" s="99" customFormat="1">
      <c r="A474" s="632"/>
      <c r="B474" s="633"/>
      <c r="C474" s="633"/>
      <c r="D474" s="633"/>
      <c r="E474" s="633"/>
      <c r="F474" s="633"/>
      <c r="G474" s="633"/>
      <c r="H474" s="634"/>
    </row>
    <row r="475" spans="1:8" s="99" customFormat="1">
      <c r="A475" s="632" t="s">
        <v>1393</v>
      </c>
      <c r="B475" s="633"/>
      <c r="C475" s="633"/>
      <c r="D475" s="633"/>
      <c r="E475" s="633"/>
      <c r="F475" s="633"/>
      <c r="G475" s="633"/>
      <c r="H475" s="634"/>
    </row>
    <row r="476" spans="1:8" s="99" customFormat="1">
      <c r="A476" s="632"/>
      <c r="B476" s="633"/>
      <c r="C476" s="633"/>
      <c r="D476" s="633"/>
      <c r="E476" s="633"/>
      <c r="F476" s="633"/>
      <c r="G476" s="633"/>
      <c r="H476" s="634"/>
    </row>
    <row r="477" spans="1:8" s="99" customFormat="1">
      <c r="A477" s="632" t="s">
        <v>1394</v>
      </c>
      <c r="B477" s="633"/>
      <c r="C477" s="633"/>
      <c r="D477" s="633"/>
      <c r="E477" s="633"/>
      <c r="F477" s="633"/>
      <c r="G477" s="633"/>
      <c r="H477" s="634"/>
    </row>
    <row r="478" spans="1:8" s="99" customFormat="1">
      <c r="A478" s="632" t="s">
        <v>1395</v>
      </c>
      <c r="B478" s="633"/>
      <c r="C478" s="633"/>
      <c r="D478" s="633"/>
      <c r="E478" s="633"/>
      <c r="F478" s="633"/>
      <c r="G478" s="633"/>
      <c r="H478" s="634"/>
    </row>
    <row r="479" spans="1:8" s="99" customFormat="1" ht="12" thickBot="1">
      <c r="A479" s="635"/>
      <c r="B479" s="636"/>
      <c r="C479" s="636"/>
      <c r="D479" s="636"/>
      <c r="E479" s="636"/>
      <c r="F479" s="636"/>
      <c r="G479" s="636"/>
      <c r="H479" s="637"/>
    </row>
    <row r="480" spans="1:8" s="99" customFormat="1"/>
    <row r="481" spans="4:20" s="99" customFormat="1" ht="12" thickBot="1"/>
    <row r="482" spans="4:20">
      <c r="G482" s="318"/>
      <c r="H482" s="319"/>
      <c r="I482" s="319"/>
      <c r="J482" s="319"/>
      <c r="K482" s="319"/>
      <c r="L482" s="319"/>
      <c r="M482" s="319"/>
      <c r="N482" s="319"/>
      <c r="O482" s="319"/>
      <c r="P482" s="319"/>
      <c r="Q482" s="319"/>
      <c r="R482" s="319"/>
      <c r="S482" s="320"/>
    </row>
    <row r="483" spans="4:20">
      <c r="G483" s="323"/>
      <c r="H483" s="242"/>
      <c r="I483" s="242"/>
      <c r="J483" s="242"/>
      <c r="K483" s="242"/>
      <c r="L483" s="242"/>
      <c r="M483" s="242"/>
      <c r="N483" s="242"/>
      <c r="O483" s="242"/>
      <c r="P483" s="242"/>
      <c r="Q483" s="242"/>
      <c r="R483" s="242"/>
      <c r="S483" s="322"/>
    </row>
    <row r="484" spans="4:20">
      <c r="G484" s="736" t="s">
        <v>1297</v>
      </c>
      <c r="H484" s="143"/>
      <c r="I484" s="143" t="s">
        <v>1298</v>
      </c>
      <c r="J484" s="143"/>
      <c r="K484" s="143"/>
      <c r="L484" s="143"/>
      <c r="M484" s="143" t="s">
        <v>1299</v>
      </c>
      <c r="N484" s="143"/>
      <c r="O484" s="143"/>
      <c r="P484" s="143"/>
      <c r="Q484" s="143"/>
      <c r="R484" s="143"/>
      <c r="S484" s="737"/>
      <c r="T484" s="99"/>
    </row>
    <row r="485" spans="4:20">
      <c r="D485" s="87" t="s">
        <v>1579</v>
      </c>
      <c r="G485" s="736"/>
      <c r="H485" s="143"/>
      <c r="I485" s="143"/>
      <c r="J485" s="143"/>
      <c r="K485" s="143"/>
      <c r="L485" s="143"/>
      <c r="M485" s="143"/>
      <c r="N485" s="143"/>
      <c r="O485" s="143"/>
      <c r="P485" s="143"/>
      <c r="Q485" s="143"/>
      <c r="R485" s="143"/>
      <c r="S485" s="737"/>
      <c r="T485" s="99"/>
    </row>
    <row r="486" spans="4:20">
      <c r="G486" s="736"/>
      <c r="H486" s="143"/>
      <c r="I486" s="143"/>
      <c r="J486" s="143"/>
      <c r="K486" s="143"/>
      <c r="L486" s="143"/>
      <c r="M486" s="143"/>
      <c r="N486" s="143"/>
      <c r="O486" s="143"/>
      <c r="P486" s="143"/>
      <c r="Q486" s="143"/>
      <c r="R486" s="143"/>
      <c r="S486" s="737"/>
      <c r="T486" s="99"/>
    </row>
    <row r="487" spans="4:20">
      <c r="G487" s="736"/>
      <c r="H487" s="143"/>
      <c r="I487" s="143"/>
      <c r="J487" s="143"/>
      <c r="K487" s="143"/>
      <c r="L487" s="143"/>
      <c r="M487" s="143"/>
      <c r="N487" s="143"/>
      <c r="O487" s="143"/>
      <c r="P487" s="143"/>
      <c r="Q487" s="143"/>
      <c r="R487" s="143"/>
      <c r="S487" s="737"/>
      <c r="T487" s="99"/>
    </row>
    <row r="488" spans="4:20">
      <c r="G488" s="736"/>
      <c r="H488" s="143"/>
      <c r="I488" s="143"/>
      <c r="J488" s="143"/>
      <c r="K488" s="143"/>
      <c r="L488" s="143"/>
      <c r="M488" s="143"/>
      <c r="N488" s="738"/>
      <c r="O488" s="143"/>
      <c r="P488" s="143"/>
      <c r="Q488" s="143"/>
      <c r="R488" s="143"/>
      <c r="S488" s="737"/>
      <c r="T488" s="99"/>
    </row>
    <row r="489" spans="4:20">
      <c r="G489" s="736"/>
      <c r="H489" s="143"/>
      <c r="I489" s="143"/>
      <c r="J489" s="143"/>
      <c r="K489" s="143"/>
      <c r="L489" s="739" t="s">
        <v>1305</v>
      </c>
      <c r="M489" s="143"/>
      <c r="N489" s="143"/>
      <c r="O489" s="143"/>
      <c r="P489" s="143"/>
      <c r="Q489" s="143"/>
      <c r="R489" s="143"/>
      <c r="S489" s="737"/>
      <c r="T489" s="99"/>
    </row>
    <row r="490" spans="4:20">
      <c r="G490" s="736"/>
      <c r="H490" s="143"/>
      <c r="I490" s="143"/>
      <c r="J490" s="143"/>
      <c r="K490" s="143"/>
      <c r="L490" s="143"/>
      <c r="M490" s="143"/>
      <c r="N490" s="143"/>
      <c r="O490" s="143"/>
      <c r="P490" s="143"/>
      <c r="Q490" s="143"/>
      <c r="R490" s="143"/>
      <c r="S490" s="737"/>
      <c r="T490" s="99"/>
    </row>
    <row r="491" spans="4:20">
      <c r="G491" s="736"/>
      <c r="H491" s="143"/>
      <c r="I491" s="143"/>
      <c r="J491" s="143"/>
      <c r="K491" s="143"/>
      <c r="L491" s="143"/>
      <c r="M491" s="143"/>
      <c r="N491" s="143"/>
      <c r="O491" s="143"/>
      <c r="P491" s="143"/>
      <c r="Q491" s="143"/>
      <c r="R491" s="143"/>
      <c r="S491" s="737"/>
      <c r="T491" s="99"/>
    </row>
    <row r="492" spans="4:20">
      <c r="G492" s="736"/>
      <c r="H492" s="143"/>
      <c r="I492" s="143"/>
      <c r="J492" s="143"/>
      <c r="K492" s="143"/>
      <c r="L492" s="143"/>
      <c r="M492" s="143"/>
      <c r="N492" s="143"/>
      <c r="O492" s="143"/>
      <c r="P492" s="143"/>
      <c r="Q492" s="143"/>
      <c r="R492" s="143"/>
      <c r="S492" s="737"/>
      <c r="T492" s="99"/>
    </row>
    <row r="493" spans="4:20">
      <c r="G493" s="736"/>
      <c r="H493" s="143" t="s">
        <v>1307</v>
      </c>
      <c r="I493" s="143"/>
      <c r="J493" s="143"/>
      <c r="K493" s="143"/>
      <c r="L493" s="143"/>
      <c r="M493" s="143"/>
      <c r="N493" s="143"/>
      <c r="O493" s="143"/>
      <c r="P493" s="143"/>
      <c r="Q493" s="143"/>
      <c r="R493" s="143"/>
      <c r="S493" s="737"/>
      <c r="T493" s="99"/>
    </row>
    <row r="494" spans="4:20">
      <c r="G494" s="736"/>
      <c r="H494" s="143"/>
      <c r="I494" s="143"/>
      <c r="J494" s="143"/>
      <c r="K494" s="143"/>
      <c r="L494" s="143"/>
      <c r="M494" s="143"/>
      <c r="N494" s="143"/>
      <c r="O494" s="143"/>
      <c r="P494" s="143"/>
      <c r="Q494" s="143"/>
      <c r="R494" s="143"/>
      <c r="S494" s="737"/>
      <c r="T494" s="99"/>
    </row>
    <row r="495" spans="4:20">
      <c r="G495" s="736"/>
      <c r="H495" s="143" t="s">
        <v>1349</v>
      </c>
      <c r="I495" s="143"/>
      <c r="J495" s="143" t="s">
        <v>1351</v>
      </c>
      <c r="K495" s="143"/>
      <c r="L495" s="143"/>
      <c r="M495" s="143"/>
      <c r="N495" s="143"/>
      <c r="O495" s="143"/>
      <c r="P495" s="143"/>
      <c r="Q495" s="143"/>
      <c r="R495" s="143"/>
      <c r="S495" s="737"/>
      <c r="T495" s="99"/>
    </row>
    <row r="496" spans="4:20">
      <c r="G496" s="736"/>
      <c r="H496" s="143" t="s">
        <v>1350</v>
      </c>
      <c r="I496" s="143"/>
      <c r="J496" s="143" t="s">
        <v>1352</v>
      </c>
      <c r="K496" s="143"/>
      <c r="L496" s="143"/>
      <c r="M496" s="143"/>
      <c r="N496" s="143"/>
      <c r="O496" s="143"/>
      <c r="P496" s="143"/>
      <c r="Q496" s="143"/>
      <c r="R496" s="143"/>
      <c r="S496" s="737"/>
      <c r="T496" s="99"/>
    </row>
    <row r="497" spans="1:20">
      <c r="B497" s="87" t="s">
        <v>1574</v>
      </c>
      <c r="G497" s="736"/>
      <c r="H497" s="143"/>
      <c r="I497" s="143"/>
      <c r="J497" s="143"/>
      <c r="K497" s="143"/>
      <c r="L497" s="143"/>
      <c r="M497" s="143"/>
      <c r="N497" s="143"/>
      <c r="O497" s="143"/>
      <c r="P497" s="143"/>
      <c r="Q497" s="143"/>
      <c r="R497" s="143"/>
      <c r="S497" s="737"/>
      <c r="T497" s="99"/>
    </row>
    <row r="498" spans="1:20">
      <c r="B498" s="87" t="s">
        <v>1575</v>
      </c>
      <c r="G498" s="736"/>
      <c r="H498" s="143" t="s">
        <v>1353</v>
      </c>
      <c r="I498" s="143"/>
      <c r="J498" s="143"/>
      <c r="K498" s="143"/>
      <c r="L498" s="143"/>
      <c r="M498" s="143"/>
      <c r="N498" s="143"/>
      <c r="O498" s="143"/>
      <c r="P498" s="143"/>
      <c r="Q498" s="143"/>
      <c r="R498" s="143"/>
      <c r="S498" s="737"/>
      <c r="T498" s="99"/>
    </row>
    <row r="499" spans="1:20">
      <c r="G499" s="736"/>
      <c r="H499" s="143" t="s">
        <v>1354</v>
      </c>
      <c r="I499" s="143"/>
      <c r="J499" s="143"/>
      <c r="K499" s="143"/>
      <c r="L499" s="143"/>
      <c r="M499" s="143"/>
      <c r="N499" s="143"/>
      <c r="O499" s="143"/>
      <c r="P499" s="143"/>
      <c r="Q499" s="143"/>
      <c r="R499" s="143"/>
      <c r="S499" s="737"/>
      <c r="T499" s="99"/>
    </row>
    <row r="500" spans="1:20">
      <c r="A500" s="87" t="s">
        <v>1576</v>
      </c>
      <c r="G500" s="736"/>
      <c r="H500" s="740" t="s">
        <v>1355</v>
      </c>
      <c r="I500" s="740"/>
      <c r="J500" s="740"/>
      <c r="K500" s="143"/>
      <c r="L500" s="143"/>
      <c r="M500" s="143"/>
      <c r="N500" s="143"/>
      <c r="O500" s="143"/>
      <c r="P500" s="143"/>
      <c r="Q500" s="143"/>
      <c r="R500" s="143"/>
      <c r="S500" s="737"/>
      <c r="T500" s="99"/>
    </row>
    <row r="501" spans="1:20">
      <c r="A501" s="87" t="s">
        <v>1577</v>
      </c>
      <c r="G501" s="736"/>
      <c r="H501" s="143"/>
      <c r="I501" s="143"/>
      <c r="J501" s="143"/>
      <c r="K501" s="143"/>
      <c r="L501" s="143"/>
      <c r="M501" s="143"/>
      <c r="N501" s="143"/>
      <c r="O501" s="143"/>
      <c r="P501" s="143"/>
      <c r="Q501" s="143"/>
      <c r="R501" s="143"/>
      <c r="S501" s="737"/>
      <c r="T501" s="99"/>
    </row>
    <row r="502" spans="1:20">
      <c r="A502" s="87" t="s">
        <v>1578</v>
      </c>
      <c r="G502" s="736"/>
      <c r="H502" s="143" t="s">
        <v>1356</v>
      </c>
      <c r="I502" s="143"/>
      <c r="J502" s="143"/>
      <c r="K502" s="143"/>
      <c r="L502" s="143"/>
      <c r="M502" s="143"/>
      <c r="N502" s="143"/>
      <c r="O502" s="143"/>
      <c r="P502" s="143"/>
      <c r="Q502" s="143"/>
      <c r="R502" s="143"/>
      <c r="S502" s="737"/>
      <c r="T502" s="99"/>
    </row>
    <row r="503" spans="1:20">
      <c r="G503" s="736"/>
      <c r="H503" s="143" t="s">
        <v>1357</v>
      </c>
      <c r="I503" s="143"/>
      <c r="J503" s="143"/>
      <c r="K503" s="143"/>
      <c r="L503" s="143"/>
      <c r="M503" s="143"/>
      <c r="N503" s="143"/>
      <c r="O503" s="143"/>
      <c r="P503" s="143"/>
      <c r="Q503" s="143"/>
      <c r="R503" s="143"/>
      <c r="S503" s="737"/>
      <c r="T503" s="99"/>
    </row>
    <row r="504" spans="1:20">
      <c r="G504" s="736"/>
      <c r="H504" s="740" t="s">
        <v>1358</v>
      </c>
      <c r="I504" s="143"/>
      <c r="J504" s="143"/>
      <c r="K504" s="143"/>
      <c r="L504" s="143"/>
      <c r="M504" s="143"/>
      <c r="N504" s="143"/>
      <c r="O504" s="143"/>
      <c r="P504" s="143"/>
      <c r="Q504" s="143"/>
      <c r="R504" s="143"/>
      <c r="S504" s="737"/>
      <c r="T504" s="99"/>
    </row>
    <row r="505" spans="1:20">
      <c r="G505" s="736"/>
      <c r="H505" s="143"/>
      <c r="I505" s="143"/>
      <c r="J505" s="143"/>
      <c r="K505" s="143"/>
      <c r="L505" s="143"/>
      <c r="M505" s="143"/>
      <c r="N505" s="143"/>
      <c r="O505" s="143"/>
      <c r="P505" s="143"/>
      <c r="Q505" s="143"/>
      <c r="R505" s="143"/>
      <c r="S505" s="737"/>
      <c r="T505" s="99"/>
    </row>
    <row r="506" spans="1:20">
      <c r="G506" s="736"/>
      <c r="H506" s="143" t="s">
        <v>1359</v>
      </c>
      <c r="I506" s="143"/>
      <c r="J506" s="143"/>
      <c r="K506" s="143"/>
      <c r="L506" s="143"/>
      <c r="M506" s="143"/>
      <c r="N506" s="143"/>
      <c r="O506" s="143"/>
      <c r="P506" s="143"/>
      <c r="Q506" s="143"/>
      <c r="R506" s="143"/>
      <c r="S506" s="737"/>
      <c r="T506" s="99"/>
    </row>
    <row r="507" spans="1:20" ht="24">
      <c r="G507" s="736"/>
      <c r="H507" s="741" t="s">
        <v>1374</v>
      </c>
      <c r="I507" s="741"/>
      <c r="J507" s="741"/>
      <c r="K507" s="741"/>
      <c r="L507" s="741"/>
      <c r="M507" s="741"/>
      <c r="N507" s="742"/>
      <c r="O507" s="742"/>
      <c r="P507" s="742"/>
      <c r="Q507" s="742"/>
      <c r="R507" s="742"/>
      <c r="S507" s="743"/>
      <c r="T507" s="99"/>
    </row>
    <row r="508" spans="1:20" ht="12" thickBot="1">
      <c r="G508" s="325"/>
      <c r="H508" s="326"/>
      <c r="I508" s="326"/>
      <c r="J508" s="326"/>
      <c r="K508" s="326"/>
      <c r="L508" s="326"/>
      <c r="M508" s="326"/>
      <c r="N508" s="326"/>
      <c r="O508" s="326"/>
      <c r="P508" s="326"/>
      <c r="Q508" s="326"/>
      <c r="R508" s="326"/>
      <c r="S508" s="327"/>
    </row>
    <row r="512" spans="1:20">
      <c r="K512" s="87" t="s">
        <v>1580</v>
      </c>
    </row>
    <row r="516" spans="7:15" ht="25.5">
      <c r="G516" s="628" t="s">
        <v>1385</v>
      </c>
      <c r="H516" s="99"/>
      <c r="I516" s="99"/>
      <c r="J516" s="99"/>
      <c r="K516" s="99"/>
      <c r="L516" s="99"/>
      <c r="M516" s="99"/>
      <c r="N516" s="99"/>
      <c r="O516" s="99"/>
    </row>
    <row r="517" spans="7:15">
      <c r="G517" s="604" t="s">
        <v>1386</v>
      </c>
      <c r="H517" s="605"/>
      <c r="I517" s="605"/>
      <c r="J517" s="605"/>
      <c r="K517" s="605"/>
      <c r="L517" s="606"/>
      <c r="M517" s="99"/>
      <c r="N517" s="99"/>
      <c r="O517" s="99"/>
    </row>
    <row r="518" spans="7:15">
      <c r="G518" s="607" t="s">
        <v>1387</v>
      </c>
      <c r="H518" s="608"/>
      <c r="I518" s="608"/>
      <c r="J518" s="608"/>
      <c r="K518" s="608"/>
      <c r="L518" s="609"/>
      <c r="M518" s="99"/>
      <c r="N518" s="99"/>
      <c r="O518" s="99"/>
    </row>
    <row r="519" spans="7:15">
      <c r="G519" s="610" t="s">
        <v>1388</v>
      </c>
      <c r="H519" s="611"/>
      <c r="I519" s="611"/>
      <c r="J519" s="611"/>
      <c r="K519" s="611"/>
      <c r="L519" s="612"/>
      <c r="M519" s="99"/>
      <c r="N519" s="99"/>
      <c r="O519" s="99"/>
    </row>
    <row r="520" spans="7:15">
      <c r="G520" s="99" t="s">
        <v>1389</v>
      </c>
      <c r="H520" s="99"/>
      <c r="I520" s="99"/>
      <c r="J520" s="99"/>
      <c r="K520" s="99"/>
      <c r="L520" s="99"/>
      <c r="M520" s="99"/>
      <c r="N520" s="99"/>
      <c r="O520" s="99"/>
    </row>
    <row r="521" spans="7:15">
      <c r="G521" s="99"/>
      <c r="H521" s="99"/>
      <c r="I521" s="99"/>
      <c r="J521" s="99"/>
      <c r="K521" s="99"/>
      <c r="L521" s="99"/>
      <c r="M521" s="99"/>
      <c r="N521" s="99"/>
      <c r="O521" s="99"/>
    </row>
    <row r="522" spans="7:15" ht="24">
      <c r="G522" s="98" t="s">
        <v>1390</v>
      </c>
      <c r="H522" s="99"/>
      <c r="I522" s="99"/>
      <c r="J522" s="99"/>
      <c r="K522" s="99"/>
      <c r="L522" s="99"/>
      <c r="M522" s="99"/>
      <c r="N522" s="99"/>
      <c r="O522" s="99"/>
    </row>
    <row r="523" spans="7:15">
      <c r="G523" s="604" t="s">
        <v>1391</v>
      </c>
      <c r="H523" s="605"/>
      <c r="I523" s="605"/>
      <c r="J523" s="605"/>
      <c r="K523" s="605"/>
      <c r="L523" s="605"/>
      <c r="M523" s="606"/>
      <c r="N523" s="99"/>
      <c r="O523" s="99"/>
    </row>
    <row r="524" spans="7:15">
      <c r="G524" s="610"/>
      <c r="H524" s="611"/>
      <c r="I524" s="611"/>
      <c r="J524" s="611"/>
      <c r="K524" s="611"/>
      <c r="L524" s="611"/>
      <c r="M524" s="612"/>
      <c r="N524" s="99"/>
      <c r="O524" s="99"/>
    </row>
    <row r="525" spans="7:15">
      <c r="G525" s="99"/>
      <c r="H525" s="99"/>
      <c r="I525" s="99"/>
      <c r="J525" s="99"/>
      <c r="K525" s="99"/>
      <c r="L525" s="99"/>
      <c r="M525" s="99"/>
      <c r="N525" s="99"/>
      <c r="O525" s="99"/>
    </row>
    <row r="526" spans="7:15" ht="12" thickBot="1">
      <c r="G526" s="99" t="s">
        <v>1396</v>
      </c>
      <c r="H526" s="99"/>
      <c r="I526" s="99"/>
      <c r="J526" s="99"/>
      <c r="K526" s="99"/>
      <c r="L526" s="99"/>
      <c r="M526" s="99"/>
      <c r="N526" s="99"/>
      <c r="O526" s="99"/>
    </row>
    <row r="527" spans="7:15">
      <c r="G527" s="629" t="s">
        <v>1392</v>
      </c>
      <c r="H527" s="630"/>
      <c r="I527" s="630"/>
      <c r="J527" s="630"/>
      <c r="K527" s="630"/>
      <c r="L527" s="630"/>
      <c r="M527" s="630"/>
      <c r="N527" s="631"/>
      <c r="O527" s="99"/>
    </row>
    <row r="528" spans="7:15">
      <c r="G528" s="632"/>
      <c r="H528" s="633"/>
      <c r="I528" s="633"/>
      <c r="J528" s="633"/>
      <c r="K528" s="633"/>
      <c r="L528" s="633"/>
      <c r="M528" s="633"/>
      <c r="N528" s="634"/>
      <c r="O528" s="99"/>
    </row>
    <row r="529" spans="1:15">
      <c r="G529" s="632" t="s">
        <v>1393</v>
      </c>
      <c r="H529" s="633"/>
      <c r="I529" s="633"/>
      <c r="J529" s="633"/>
      <c r="K529" s="633"/>
      <c r="L529" s="633"/>
      <c r="M529" s="633"/>
      <c r="N529" s="634"/>
      <c r="O529" s="99"/>
    </row>
    <row r="530" spans="1:15">
      <c r="G530" s="632"/>
      <c r="H530" s="633"/>
      <c r="I530" s="633"/>
      <c r="J530" s="633"/>
      <c r="K530" s="633"/>
      <c r="L530" s="633"/>
      <c r="M530" s="633"/>
      <c r="N530" s="634"/>
      <c r="O530" s="99"/>
    </row>
    <row r="531" spans="1:15">
      <c r="G531" s="632" t="s">
        <v>1394</v>
      </c>
      <c r="H531" s="633"/>
      <c r="I531" s="633"/>
      <c r="J531" s="633"/>
      <c r="K531" s="633"/>
      <c r="L531" s="633"/>
      <c r="M531" s="633"/>
      <c r="N531" s="634"/>
      <c r="O531" s="99"/>
    </row>
    <row r="532" spans="1:15">
      <c r="G532" s="632" t="s">
        <v>1395</v>
      </c>
      <c r="H532" s="633"/>
      <c r="I532" s="633"/>
      <c r="J532" s="633"/>
      <c r="K532" s="633"/>
      <c r="L532" s="633"/>
      <c r="M532" s="633"/>
      <c r="N532" s="634"/>
      <c r="O532" s="99"/>
    </row>
    <row r="533" spans="1:15" ht="12" thickBot="1">
      <c r="G533" s="635"/>
      <c r="H533" s="636"/>
      <c r="I533" s="636"/>
      <c r="J533" s="636"/>
      <c r="K533" s="636"/>
      <c r="L533" s="636"/>
      <c r="M533" s="636"/>
      <c r="N533" s="637"/>
      <c r="O533" s="99"/>
    </row>
    <row r="534" spans="1:15">
      <c r="G534" s="99"/>
      <c r="H534" s="99"/>
      <c r="I534" s="99"/>
      <c r="J534" s="99"/>
      <c r="K534" s="99"/>
      <c r="L534" s="99"/>
      <c r="M534" s="99"/>
      <c r="N534" s="99"/>
      <c r="O534" s="99"/>
    </row>
    <row r="539" spans="1:15" ht="12" thickBot="1">
      <c r="A539" s="87" t="s">
        <v>1583</v>
      </c>
      <c r="B539" s="87" t="s">
        <v>1584</v>
      </c>
    </row>
    <row r="540" spans="1:15">
      <c r="A540" s="745" t="s">
        <v>1585</v>
      </c>
      <c r="B540" s="746"/>
      <c r="C540" s="746"/>
      <c r="D540" s="746"/>
      <c r="E540" s="746"/>
      <c r="F540" s="747"/>
    </row>
    <row r="541" spans="1:15">
      <c r="A541" s="748" t="s">
        <v>1586</v>
      </c>
      <c r="B541" s="282"/>
      <c r="C541" s="282"/>
      <c r="D541" s="282"/>
      <c r="E541" s="282"/>
      <c r="F541" s="749"/>
    </row>
    <row r="542" spans="1:15">
      <c r="A542" s="748" t="s">
        <v>1587</v>
      </c>
      <c r="B542" s="282"/>
      <c r="C542" s="282"/>
      <c r="D542" s="282"/>
      <c r="E542" s="282"/>
      <c r="F542" s="749"/>
    </row>
    <row r="543" spans="1:15" ht="12" thickBot="1">
      <c r="A543" s="750" t="s">
        <v>1588</v>
      </c>
      <c r="B543" s="751"/>
      <c r="C543" s="751"/>
      <c r="D543" s="751"/>
      <c r="E543" s="751"/>
      <c r="F543" s="752"/>
    </row>
    <row r="545" spans="1:2">
      <c r="A545" s="87" t="s">
        <v>1589</v>
      </c>
    </row>
    <row r="546" spans="1:2">
      <c r="A546" s="87" t="s">
        <v>1590</v>
      </c>
    </row>
    <row r="547" spans="1:2">
      <c r="A547" s="87" t="s">
        <v>1591</v>
      </c>
    </row>
    <row r="548" spans="1:2">
      <c r="A548" s="87" t="s">
        <v>1592</v>
      </c>
    </row>
    <row r="549" spans="1:2">
      <c r="A549" s="87" t="s">
        <v>1593</v>
      </c>
    </row>
    <row r="550" spans="1:2">
      <c r="A550" s="87" t="s">
        <v>1594</v>
      </c>
    </row>
    <row r="552" spans="1:2">
      <c r="A552" s="87" t="s">
        <v>1603</v>
      </c>
    </row>
    <row r="553" spans="1:2">
      <c r="A553" s="87" t="s">
        <v>1596</v>
      </c>
    </row>
    <row r="554" spans="1:2">
      <c r="A554" s="87" t="s">
        <v>1597</v>
      </c>
    </row>
    <row r="555" spans="1:2">
      <c r="A555" s="87" t="s">
        <v>1598</v>
      </c>
    </row>
    <row r="557" spans="1:2">
      <c r="A557" s="753" t="s">
        <v>1595</v>
      </c>
      <c r="B557" s="753"/>
    </row>
    <row r="558" spans="1:2">
      <c r="A558" s="753" t="s">
        <v>1599</v>
      </c>
      <c r="B558" s="753"/>
    </row>
    <row r="559" spans="1:2">
      <c r="A559" s="753" t="s">
        <v>1600</v>
      </c>
      <c r="B559" s="753"/>
    </row>
    <row r="560" spans="1:2">
      <c r="A560" s="753" t="s">
        <v>1601</v>
      </c>
      <c r="B560" s="753"/>
    </row>
    <row r="561" spans="1:6">
      <c r="A561" s="753" t="s">
        <v>1602</v>
      </c>
      <c r="B561" s="753"/>
      <c r="F561" s="87" t="s">
        <v>1574</v>
      </c>
    </row>
    <row r="562" spans="1:6">
      <c r="F562" s="87" t="s">
        <v>1575</v>
      </c>
    </row>
    <row r="563" spans="1:6">
      <c r="A563" s="753" t="s">
        <v>1595</v>
      </c>
      <c r="B563" s="753"/>
    </row>
    <row r="564" spans="1:6">
      <c r="A564" s="753" t="s">
        <v>1604</v>
      </c>
      <c r="B564" s="753"/>
      <c r="E564" s="87" t="s">
        <v>1576</v>
      </c>
    </row>
    <row r="565" spans="1:6">
      <c r="A565" s="753">
        <f>LN(1.25)</f>
        <v>0.22314355131420976</v>
      </c>
      <c r="B565" s="754" t="s">
        <v>1605</v>
      </c>
      <c r="E565" s="87" t="s">
        <v>1577</v>
      </c>
    </row>
    <row r="566" spans="1:6">
      <c r="E566" s="87" t="s">
        <v>1578</v>
      </c>
    </row>
    <row r="571" spans="1:6" ht="32.25">
      <c r="A571" s="692" t="s">
        <v>1606</v>
      </c>
    </row>
    <row r="573" spans="1:6">
      <c r="A573" s="87" t="s">
        <v>1607</v>
      </c>
    </row>
    <row r="574" spans="1:6">
      <c r="A574" s="87" t="s">
        <v>1608</v>
      </c>
    </row>
    <row r="575" spans="1:6">
      <c r="A575" s="87" t="s">
        <v>1609</v>
      </c>
    </row>
    <row r="577" spans="1:7">
      <c r="A577" s="87" t="s">
        <v>1610</v>
      </c>
    </row>
    <row r="578" spans="1:7">
      <c r="B578" s="753" t="s">
        <v>1611</v>
      </c>
      <c r="C578" s="753"/>
      <c r="D578" s="753"/>
      <c r="E578" s="753"/>
      <c r="F578" s="753"/>
      <c r="G578" s="753"/>
    </row>
    <row r="579" spans="1:7">
      <c r="B579" s="753"/>
      <c r="C579" s="753" t="s">
        <v>1612</v>
      </c>
      <c r="D579" s="753"/>
      <c r="E579" s="753"/>
      <c r="F579" s="753"/>
      <c r="G579" s="753"/>
    </row>
    <row r="580" spans="1:7">
      <c r="B580" s="753"/>
      <c r="C580" s="753" t="s">
        <v>1613</v>
      </c>
      <c r="D580" s="753"/>
      <c r="E580" s="753"/>
      <c r="F580" s="753"/>
      <c r="G580" s="753"/>
    </row>
    <row r="581" spans="1:7">
      <c r="B581" s="753"/>
      <c r="C581" s="753" t="s">
        <v>1614</v>
      </c>
      <c r="D581" s="753"/>
      <c r="E581" s="753"/>
      <c r="F581" s="753"/>
      <c r="G581" s="753"/>
    </row>
    <row r="582" spans="1:7">
      <c r="B582" s="753" t="s">
        <v>1615</v>
      </c>
      <c r="C582" s="753"/>
      <c r="D582" s="753"/>
      <c r="E582" s="753"/>
      <c r="F582" s="753"/>
      <c r="G582" s="753"/>
    </row>
    <row r="583" spans="1:7">
      <c r="B583" s="753"/>
      <c r="C583" s="753" t="s">
        <v>1616</v>
      </c>
      <c r="D583" s="753"/>
      <c r="E583" s="753"/>
      <c r="F583" s="753"/>
      <c r="G583" s="753"/>
    </row>
    <row r="584" spans="1:7">
      <c r="B584" s="753" t="s">
        <v>1617</v>
      </c>
      <c r="C584" s="753"/>
      <c r="D584" s="753"/>
      <c r="E584" s="753"/>
      <c r="F584" s="753"/>
      <c r="G584" s="753"/>
    </row>
    <row r="585" spans="1:7">
      <c r="B585" s="753"/>
      <c r="C585" s="753" t="s">
        <v>1625</v>
      </c>
      <c r="D585" s="753"/>
      <c r="E585" s="753"/>
      <c r="F585" s="753"/>
      <c r="G585" s="753"/>
    </row>
    <row r="586" spans="1:7">
      <c r="B586" s="753"/>
      <c r="C586" s="753" t="s">
        <v>1626</v>
      </c>
      <c r="D586" s="753"/>
      <c r="E586" s="753"/>
      <c r="F586" s="753"/>
      <c r="G586" s="753"/>
    </row>
    <row r="591" spans="1:7">
      <c r="E591" s="87" t="s">
        <v>1618</v>
      </c>
    </row>
    <row r="592" spans="1:7">
      <c r="E592" s="87" t="s">
        <v>1619</v>
      </c>
    </row>
    <row r="593" spans="2:7">
      <c r="E593" s="87" t="s">
        <v>1620</v>
      </c>
    </row>
    <row r="594" spans="2:7">
      <c r="F594" s="87" t="s">
        <v>1621</v>
      </c>
      <c r="G594" s="32" t="s">
        <v>1623</v>
      </c>
    </row>
    <row r="595" spans="2:7">
      <c r="F595" s="87" t="s">
        <v>1622</v>
      </c>
      <c r="G595" s="32" t="s">
        <v>1624</v>
      </c>
    </row>
    <row r="603" spans="2:7">
      <c r="C603" s="87" t="s">
        <v>1574</v>
      </c>
    </row>
    <row r="604" spans="2:7">
      <c r="C604" s="87" t="s">
        <v>1575</v>
      </c>
    </row>
    <row r="606" spans="2:7">
      <c r="B606" s="87" t="s">
        <v>1576</v>
      </c>
    </row>
    <row r="607" spans="2:7">
      <c r="B607" s="87" t="s">
        <v>1577</v>
      </c>
    </row>
    <row r="608" spans="2:7">
      <c r="B608" s="87" t="s">
        <v>1578</v>
      </c>
    </row>
  </sheetData>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326"/>
  <sheetViews>
    <sheetView showGridLines="0" topLeftCell="A187" zoomScaleNormal="100" workbookViewId="0">
      <selection activeCell="A203" sqref="A203"/>
    </sheetView>
  </sheetViews>
  <sheetFormatPr defaultRowHeight="13.5"/>
  <sheetData>
    <row r="1" spans="1:7" ht="55.5">
      <c r="A1" s="638" t="s">
        <v>1627</v>
      </c>
    </row>
    <row r="4" spans="1:7" s="87" customFormat="1" ht="32.25">
      <c r="A4" s="692" t="s">
        <v>1606</v>
      </c>
    </row>
    <row r="5" spans="1:7" s="87" customFormat="1" ht="11.25"/>
    <row r="6" spans="1:7" s="87" customFormat="1" ht="11.25">
      <c r="A6" s="87" t="s">
        <v>1607</v>
      </c>
    </row>
    <row r="7" spans="1:7" s="87" customFormat="1" ht="11.25">
      <c r="A7" s="87" t="s">
        <v>1608</v>
      </c>
    </row>
    <row r="8" spans="1:7" s="87" customFormat="1" ht="11.25">
      <c r="A8" s="87" t="s">
        <v>1609</v>
      </c>
    </row>
    <row r="9" spans="1:7" s="87" customFormat="1" ht="11.25"/>
    <row r="10" spans="1:7" s="87" customFormat="1" ht="11.25">
      <c r="A10" s="87" t="s">
        <v>1610</v>
      </c>
    </row>
    <row r="11" spans="1:7" s="87" customFormat="1" ht="11.25">
      <c r="B11" s="753" t="s">
        <v>1611</v>
      </c>
      <c r="C11" s="753"/>
      <c r="D11" s="753"/>
      <c r="E11" s="753"/>
      <c r="F11" s="753"/>
      <c r="G11" s="753"/>
    </row>
    <row r="12" spans="1:7" s="87" customFormat="1" ht="11.25">
      <c r="B12" s="753"/>
      <c r="C12" s="753" t="s">
        <v>1612</v>
      </c>
      <c r="D12" s="753"/>
      <c r="E12" s="753"/>
      <c r="F12" s="753"/>
      <c r="G12" s="753"/>
    </row>
    <row r="13" spans="1:7" s="87" customFormat="1" ht="11.25">
      <c r="B13" s="753"/>
      <c r="C13" s="753" t="s">
        <v>1613</v>
      </c>
      <c r="D13" s="753"/>
      <c r="E13" s="753"/>
      <c r="F13" s="753"/>
      <c r="G13" s="753"/>
    </row>
    <row r="14" spans="1:7" s="87" customFormat="1" ht="11.25">
      <c r="B14" s="753"/>
      <c r="C14" s="753" t="s">
        <v>1614</v>
      </c>
      <c r="D14" s="753"/>
      <c r="E14" s="753"/>
      <c r="F14" s="753"/>
      <c r="G14" s="753"/>
    </row>
    <row r="15" spans="1:7" s="87" customFormat="1" ht="11.25">
      <c r="B15" s="753" t="s">
        <v>1615</v>
      </c>
      <c r="C15" s="753"/>
      <c r="D15" s="753"/>
      <c r="E15" s="753"/>
      <c r="F15" s="753"/>
      <c r="G15" s="753"/>
    </row>
    <row r="16" spans="1:7" s="87" customFormat="1" ht="11.25">
      <c r="B16" s="753"/>
      <c r="C16" s="753" t="s">
        <v>1616</v>
      </c>
      <c r="D16" s="753"/>
      <c r="E16" s="753"/>
      <c r="F16" s="753"/>
      <c r="G16" s="753"/>
    </row>
    <row r="17" spans="2:7" s="87" customFormat="1" ht="11.25">
      <c r="B17" s="753" t="s">
        <v>1617</v>
      </c>
      <c r="C17" s="753"/>
      <c r="D17" s="753"/>
      <c r="E17" s="753"/>
      <c r="F17" s="753"/>
      <c r="G17" s="753"/>
    </row>
    <row r="18" spans="2:7" s="87" customFormat="1" ht="11.25">
      <c r="B18" s="753"/>
      <c r="C18" s="753" t="s">
        <v>1625</v>
      </c>
      <c r="D18" s="753"/>
      <c r="E18" s="753"/>
      <c r="F18" s="753"/>
      <c r="G18" s="753"/>
    </row>
    <row r="19" spans="2:7" s="87" customFormat="1" ht="11.25">
      <c r="B19" s="753"/>
      <c r="C19" s="753" t="s">
        <v>1626</v>
      </c>
      <c r="D19" s="753"/>
      <c r="E19" s="753"/>
      <c r="F19" s="753"/>
      <c r="G19" s="753"/>
    </row>
    <row r="20" spans="2:7" s="87" customFormat="1" ht="11.25"/>
    <row r="21" spans="2:7" s="87" customFormat="1" ht="11.25"/>
    <row r="22" spans="2:7" s="87" customFormat="1" ht="11.25"/>
    <row r="23" spans="2:7" s="87" customFormat="1" ht="11.25"/>
    <row r="24" spans="2:7" s="87" customFormat="1" ht="11.25">
      <c r="E24" s="87" t="s">
        <v>1618</v>
      </c>
    </row>
    <row r="25" spans="2:7" s="87" customFormat="1" ht="11.25">
      <c r="E25" s="87" t="s">
        <v>1619</v>
      </c>
    </row>
    <row r="26" spans="2:7" s="87" customFormat="1" ht="11.25">
      <c r="E26" s="87" t="s">
        <v>1620</v>
      </c>
    </row>
    <row r="27" spans="2:7" s="87" customFormat="1" ht="11.25">
      <c r="F27" s="87" t="s">
        <v>1621</v>
      </c>
      <c r="G27" s="32" t="s">
        <v>1623</v>
      </c>
    </row>
    <row r="28" spans="2:7" s="87" customFormat="1" ht="11.25">
      <c r="F28" s="87" t="s">
        <v>1622</v>
      </c>
      <c r="G28" s="32" t="s">
        <v>1624</v>
      </c>
    </row>
    <row r="29" spans="2:7" s="87" customFormat="1" ht="11.25"/>
    <row r="30" spans="2:7" s="87" customFormat="1" ht="11.25"/>
    <row r="31" spans="2:7" s="87" customFormat="1" ht="11.25"/>
    <row r="32" spans="2:7" s="87" customFormat="1" ht="11.25"/>
    <row r="33" spans="1:3" s="87" customFormat="1" ht="11.25"/>
    <row r="34" spans="1:3" s="87" customFormat="1" ht="11.25"/>
    <row r="35" spans="1:3" s="87" customFormat="1" ht="11.25"/>
    <row r="36" spans="1:3" s="87" customFormat="1" ht="11.25">
      <c r="C36" s="87" t="s">
        <v>1574</v>
      </c>
    </row>
    <row r="37" spans="1:3" s="87" customFormat="1" ht="11.25">
      <c r="C37" s="87" t="s">
        <v>1575</v>
      </c>
    </row>
    <row r="38" spans="1:3" s="87" customFormat="1" ht="11.25"/>
    <row r="39" spans="1:3" s="87" customFormat="1" ht="11.25">
      <c r="B39" s="87" t="s">
        <v>1576</v>
      </c>
    </row>
    <row r="40" spans="1:3" s="87" customFormat="1" ht="11.25">
      <c r="B40" s="87" t="s">
        <v>1577</v>
      </c>
    </row>
    <row r="41" spans="1:3" s="87" customFormat="1" ht="11.25">
      <c r="B41" s="87" t="s">
        <v>1578</v>
      </c>
    </row>
    <row r="42" spans="1:3" s="87" customFormat="1" ht="11.25"/>
    <row r="43" spans="1:3" s="87" customFormat="1" ht="11.25"/>
    <row r="44" spans="1:3" s="87" customFormat="1" ht="17.25">
      <c r="A44" s="10" t="s">
        <v>1628</v>
      </c>
    </row>
    <row r="45" spans="1:3" s="87" customFormat="1" ht="11.25">
      <c r="A45" s="87" t="s">
        <v>1629</v>
      </c>
      <c r="B45" s="87" t="s">
        <v>1632</v>
      </c>
    </row>
    <row r="46" spans="1:3" s="87" customFormat="1" ht="11.25">
      <c r="A46" s="87" t="s">
        <v>1630</v>
      </c>
      <c r="B46" s="87" t="s">
        <v>1633</v>
      </c>
    </row>
    <row r="47" spans="1:3" s="87" customFormat="1" ht="11.25">
      <c r="A47" s="87" t="s">
        <v>1631</v>
      </c>
      <c r="B47" s="87" t="s">
        <v>1634</v>
      </c>
    </row>
    <row r="48" spans="1:3" s="87" customFormat="1" ht="11.25"/>
    <row r="49" spans="1:11" s="87" customFormat="1" ht="11.25"/>
    <row r="50" spans="1:11" s="87" customFormat="1" ht="11.25">
      <c r="A50" s="87" t="s">
        <v>1635</v>
      </c>
    </row>
    <row r="51" spans="1:11" s="87" customFormat="1" ht="11.25"/>
    <row r="52" spans="1:11" s="87" customFormat="1" ht="11.25">
      <c r="A52" s="87" t="s">
        <v>1647</v>
      </c>
    </row>
    <row r="53" spans="1:11" s="87" customFormat="1" ht="11.25">
      <c r="A53" s="87" t="s">
        <v>1636</v>
      </c>
    </row>
    <row r="54" spans="1:11" s="87" customFormat="1" ht="11.25"/>
    <row r="55" spans="1:11" s="87" customFormat="1" ht="11.25">
      <c r="B55" s="87" t="s">
        <v>1637</v>
      </c>
      <c r="G55" s="87" t="s">
        <v>1638</v>
      </c>
    </row>
    <row r="56" spans="1:11" s="87" customFormat="1" ht="11.25">
      <c r="K56" s="87" t="s">
        <v>1641</v>
      </c>
    </row>
    <row r="57" spans="1:11" s="87" customFormat="1" ht="11.25"/>
    <row r="58" spans="1:11" s="87" customFormat="1" ht="11.25"/>
    <row r="59" spans="1:11" s="87" customFormat="1" ht="11.25"/>
    <row r="60" spans="1:11" s="87" customFormat="1" ht="11.25"/>
    <row r="61" spans="1:11" s="87" customFormat="1" ht="11.25"/>
    <row r="62" spans="1:11" s="87" customFormat="1" ht="11.25"/>
    <row r="63" spans="1:11" s="87" customFormat="1" ht="11.25"/>
    <row r="64" spans="1:11" s="87" customFormat="1" ht="11.25"/>
    <row r="65" spans="1:13" s="87" customFormat="1" ht="11.25"/>
    <row r="66" spans="1:13" s="87" customFormat="1" ht="11.25"/>
    <row r="67" spans="1:13" s="87" customFormat="1" ht="11.25"/>
    <row r="68" spans="1:13" s="87" customFormat="1" ht="11.25">
      <c r="H68" s="753" t="s">
        <v>1642</v>
      </c>
      <c r="I68" s="753"/>
      <c r="J68" s="753"/>
      <c r="K68" s="753"/>
      <c r="L68" s="753"/>
      <c r="M68" s="753"/>
    </row>
    <row r="69" spans="1:13" s="87" customFormat="1" ht="11.25">
      <c r="A69" s="87" t="s">
        <v>1639</v>
      </c>
      <c r="H69" s="753" t="s">
        <v>1643</v>
      </c>
      <c r="I69" s="753"/>
      <c r="J69" s="753"/>
      <c r="K69" s="753"/>
      <c r="L69" s="753"/>
      <c r="M69" s="753"/>
    </row>
    <row r="70" spans="1:13" s="87" customFormat="1" ht="11.25">
      <c r="A70" s="87" t="s">
        <v>1640</v>
      </c>
      <c r="H70" s="753"/>
      <c r="I70" s="753"/>
      <c r="J70" s="753"/>
      <c r="K70" s="753"/>
      <c r="L70" s="753"/>
      <c r="M70" s="753"/>
    </row>
    <row r="71" spans="1:13" s="87" customFormat="1" ht="11.25">
      <c r="H71" s="753" t="s">
        <v>1644</v>
      </c>
      <c r="I71" s="753"/>
      <c r="J71" s="753"/>
      <c r="K71" s="753"/>
      <c r="L71" s="753"/>
      <c r="M71" s="753"/>
    </row>
    <row r="72" spans="1:13" s="87" customFormat="1" ht="11.25">
      <c r="H72" s="753" t="s">
        <v>1645</v>
      </c>
      <c r="I72" s="753"/>
      <c r="J72" s="753"/>
      <c r="K72" s="753"/>
      <c r="L72" s="753"/>
      <c r="M72" s="753"/>
    </row>
    <row r="73" spans="1:13" s="87" customFormat="1" ht="11.25">
      <c r="H73" s="753" t="s">
        <v>1646</v>
      </c>
      <c r="I73" s="753"/>
      <c r="J73" s="753"/>
      <c r="K73" s="753"/>
      <c r="L73" s="753"/>
      <c r="M73" s="753"/>
    </row>
    <row r="74" spans="1:13" s="87" customFormat="1" ht="11.25">
      <c r="H74" s="753"/>
      <c r="I74" s="753"/>
      <c r="J74" s="753"/>
      <c r="K74" s="753"/>
      <c r="L74" s="753"/>
      <c r="M74" s="753"/>
    </row>
    <row r="75" spans="1:13" s="87" customFormat="1" ht="11.25">
      <c r="H75" s="753" t="s">
        <v>1648</v>
      </c>
      <c r="I75" s="753"/>
      <c r="J75" s="753"/>
      <c r="K75" s="753"/>
      <c r="L75" s="753"/>
      <c r="M75" s="753"/>
    </row>
    <row r="76" spans="1:13" s="87" customFormat="1" ht="11.25">
      <c r="H76" s="753" t="s">
        <v>1649</v>
      </c>
      <c r="I76" s="753"/>
      <c r="J76" s="753"/>
      <c r="K76" s="753"/>
      <c r="L76" s="753"/>
      <c r="M76" s="753"/>
    </row>
    <row r="77" spans="1:13" s="87" customFormat="1" ht="11.25">
      <c r="H77" s="753" t="s">
        <v>1650</v>
      </c>
      <c r="I77" s="753"/>
      <c r="J77" s="753"/>
      <c r="K77" s="753"/>
      <c r="L77" s="753"/>
      <c r="M77" s="753"/>
    </row>
    <row r="78" spans="1:13" s="87" customFormat="1" ht="11.25">
      <c r="H78" s="753"/>
      <c r="I78" s="753"/>
      <c r="J78" s="753"/>
      <c r="K78" s="753"/>
      <c r="L78" s="753"/>
      <c r="M78" s="753"/>
    </row>
    <row r="79" spans="1:13" s="87" customFormat="1" ht="11.25"/>
    <row r="80" spans="1:13" s="87" customFormat="1" ht="11.25"/>
    <row r="81" spans="1:9" s="87" customFormat="1" ht="11.25"/>
    <row r="82" spans="1:9" s="87" customFormat="1" ht="11.25">
      <c r="A82" s="87" t="s">
        <v>1651</v>
      </c>
    </row>
    <row r="83" spans="1:9" s="87" customFormat="1" ht="11.25"/>
    <row r="84" spans="1:9" s="87" customFormat="1" ht="11.25"/>
    <row r="85" spans="1:9" s="87" customFormat="1" ht="11.25"/>
    <row r="86" spans="1:9" s="87" customFormat="1" ht="11.25"/>
    <row r="87" spans="1:9" s="87" customFormat="1" ht="11.25">
      <c r="F87" s="87" t="s">
        <v>1652</v>
      </c>
    </row>
    <row r="88" spans="1:9" s="87" customFormat="1" ht="11.25">
      <c r="F88" s="87" t="s">
        <v>1653</v>
      </c>
    </row>
    <row r="89" spans="1:9" s="87" customFormat="1" ht="11.25">
      <c r="G89" s="32"/>
    </row>
    <row r="90" spans="1:9" s="87" customFormat="1" ht="18.75">
      <c r="F90" s="289" t="s">
        <v>1654</v>
      </c>
      <c r="G90" s="756"/>
      <c r="H90" s="755"/>
      <c r="I90" s="755"/>
    </row>
    <row r="91" spans="1:9" s="87" customFormat="1" ht="18.75">
      <c r="F91" s="755"/>
      <c r="G91" s="755"/>
      <c r="H91" s="755"/>
      <c r="I91" s="755"/>
    </row>
    <row r="92" spans="1:9" s="87" customFormat="1" ht="11.25"/>
    <row r="93" spans="1:9" s="87" customFormat="1" ht="11.25"/>
    <row r="94" spans="1:9" s="87" customFormat="1" ht="11.25"/>
    <row r="95" spans="1:9" s="87" customFormat="1" ht="11.25"/>
    <row r="96" spans="1:9" s="87" customFormat="1" ht="11.25"/>
    <row r="97" spans="1:10" s="87" customFormat="1" ht="11.25"/>
    <row r="98" spans="1:10" s="87" customFormat="1" ht="11.25">
      <c r="C98" s="87" t="s">
        <v>1574</v>
      </c>
    </row>
    <row r="99" spans="1:10" s="87" customFormat="1" ht="11.25">
      <c r="C99" s="87" t="s">
        <v>1575</v>
      </c>
    </row>
    <row r="100" spans="1:10" s="87" customFormat="1" ht="11.25"/>
    <row r="101" spans="1:10" s="87" customFormat="1" ht="11.25"/>
    <row r="102" spans="1:10" s="87" customFormat="1" ht="11.25">
      <c r="A102" s="87" t="s">
        <v>1655</v>
      </c>
    </row>
    <row r="103" spans="1:10" s="87" customFormat="1" ht="11.25"/>
    <row r="104" spans="1:10">
      <c r="F104" s="87" t="s">
        <v>1652</v>
      </c>
      <c r="G104" s="87"/>
      <c r="H104" s="87"/>
      <c r="I104" s="87"/>
      <c r="J104" s="87"/>
    </row>
    <row r="105" spans="1:10">
      <c r="F105" s="87" t="s">
        <v>1653</v>
      </c>
      <c r="G105" s="87"/>
      <c r="H105" s="87"/>
      <c r="I105" s="87"/>
      <c r="J105" s="87"/>
    </row>
    <row r="106" spans="1:10">
      <c r="F106" s="87"/>
      <c r="G106" s="32"/>
      <c r="H106" s="87"/>
      <c r="I106" s="87"/>
      <c r="J106" s="87"/>
    </row>
    <row r="107" spans="1:10" ht="18.75">
      <c r="F107" s="79" t="s">
        <v>1656</v>
      </c>
      <c r="G107" s="756"/>
      <c r="H107" s="755"/>
      <c r="I107" s="755"/>
      <c r="J107" s="87"/>
    </row>
    <row r="108" spans="1:10" ht="18.75">
      <c r="F108" s="755"/>
      <c r="G108" s="755"/>
      <c r="H108" s="755"/>
      <c r="I108" s="755"/>
      <c r="J108" s="87"/>
    </row>
    <row r="110" spans="1:10">
      <c r="J110" t="s">
        <v>1657</v>
      </c>
    </row>
    <row r="112" spans="1:10" ht="14.25" thickBot="1">
      <c r="C112" s="79"/>
    </row>
    <row r="113" spans="1:14">
      <c r="B113" s="757" t="s">
        <v>1658</v>
      </c>
      <c r="C113" s="595"/>
      <c r="D113" s="595"/>
      <c r="E113" s="758"/>
      <c r="F113" s="595"/>
      <c r="G113" s="595"/>
      <c r="H113" s="595"/>
      <c r="I113" s="595"/>
      <c r="J113" s="595"/>
      <c r="K113" s="595"/>
      <c r="L113" s="595"/>
      <c r="M113" s="596"/>
    </row>
    <row r="114" spans="1:14" ht="14.25" thickBot="1">
      <c r="B114" s="759" t="s">
        <v>1659</v>
      </c>
      <c r="C114" s="599"/>
      <c r="D114" s="599"/>
      <c r="E114" s="599"/>
      <c r="F114" s="599"/>
      <c r="G114" s="599"/>
      <c r="H114" s="599"/>
      <c r="I114" s="599"/>
      <c r="J114" s="599"/>
      <c r="K114" s="599"/>
      <c r="L114" s="599"/>
      <c r="M114" s="600"/>
    </row>
    <row r="116" spans="1:14">
      <c r="B116" t="s">
        <v>1660</v>
      </c>
    </row>
    <row r="121" spans="1:14" s="760" customFormat="1"/>
    <row r="123" spans="1:14" ht="18.75">
      <c r="A123" s="289" t="s">
        <v>1661</v>
      </c>
    </row>
    <row r="125" spans="1:14">
      <c r="A125" s="79" t="s">
        <v>1662</v>
      </c>
    </row>
    <row r="126" spans="1:14">
      <c r="A126" s="99" t="s">
        <v>1663</v>
      </c>
      <c r="B126" s="99"/>
      <c r="C126" s="99"/>
      <c r="D126" s="99"/>
      <c r="E126" s="99"/>
      <c r="F126" s="99"/>
      <c r="G126" s="99"/>
      <c r="H126" s="99"/>
      <c r="I126" s="99"/>
      <c r="J126" s="99"/>
      <c r="K126" s="99"/>
      <c r="L126" s="99"/>
      <c r="M126" s="99"/>
      <c r="N126" s="99"/>
    </row>
    <row r="127" spans="1:14" ht="17.25">
      <c r="A127" s="99" t="s">
        <v>1664</v>
      </c>
      <c r="B127" s="99"/>
      <c r="C127" s="99"/>
      <c r="D127" s="99"/>
      <c r="E127" s="99"/>
      <c r="F127" s="99"/>
      <c r="G127" s="99"/>
      <c r="H127" s="10" t="s">
        <v>16</v>
      </c>
      <c r="K127" s="99"/>
      <c r="L127" s="99"/>
      <c r="M127" s="99"/>
      <c r="N127" s="99"/>
    </row>
    <row r="128" spans="1:14">
      <c r="A128" s="99" t="s">
        <v>1665</v>
      </c>
      <c r="B128" s="99"/>
      <c r="C128" s="99"/>
      <c r="D128" s="99"/>
      <c r="E128" s="99"/>
      <c r="F128" s="99"/>
      <c r="G128" s="99"/>
      <c r="H128" s="761" t="s">
        <v>17</v>
      </c>
      <c r="I128" s="762"/>
      <c r="J128" s="762"/>
      <c r="K128" s="765"/>
      <c r="L128" s="99"/>
      <c r="M128" s="99"/>
      <c r="N128" s="99"/>
    </row>
    <row r="129" spans="1:14">
      <c r="A129" s="99"/>
      <c r="B129" s="99"/>
      <c r="C129" s="99" t="s">
        <v>1666</v>
      </c>
      <c r="D129" s="99"/>
      <c r="E129" s="99"/>
      <c r="F129" s="99"/>
      <c r="G129" s="99"/>
      <c r="H129" s="763" t="s">
        <v>18</v>
      </c>
      <c r="I129" s="764"/>
      <c r="J129" s="764"/>
      <c r="K129" s="766"/>
      <c r="L129" s="99"/>
      <c r="M129" s="99"/>
      <c r="N129" s="99"/>
    </row>
    <row r="130" spans="1:14">
      <c r="A130" s="99" t="s">
        <v>1667</v>
      </c>
      <c r="B130" s="99"/>
      <c r="C130" s="99"/>
      <c r="D130" s="99"/>
      <c r="E130" s="99"/>
      <c r="F130" s="99"/>
      <c r="G130" s="99"/>
      <c r="H130" s="99"/>
      <c r="I130" s="99"/>
      <c r="J130" s="99"/>
      <c r="K130" s="99"/>
      <c r="L130" s="99"/>
      <c r="M130" s="99"/>
      <c r="N130" s="99"/>
    </row>
    <row r="131" spans="1:14" ht="24">
      <c r="A131" s="767" t="s">
        <v>1682</v>
      </c>
      <c r="B131" s="767"/>
      <c r="C131" s="767"/>
      <c r="D131" s="768"/>
      <c r="E131" s="768"/>
      <c r="F131" s="99"/>
      <c r="G131" s="99"/>
      <c r="H131" s="99"/>
      <c r="I131" s="99"/>
      <c r="J131" s="99"/>
      <c r="K131" s="99"/>
      <c r="L131" s="99"/>
      <c r="M131" s="99"/>
      <c r="N131" s="99"/>
    </row>
    <row r="132" spans="1:14">
      <c r="A132" s="99"/>
      <c r="B132" s="99"/>
      <c r="C132" s="99"/>
      <c r="D132" s="99"/>
      <c r="E132" s="99"/>
      <c r="F132" s="99"/>
      <c r="G132" s="99"/>
      <c r="H132" s="99"/>
      <c r="I132" s="99"/>
      <c r="J132" s="99"/>
      <c r="K132" s="99"/>
      <c r="L132" s="99"/>
      <c r="M132" s="99"/>
      <c r="N132" s="99"/>
    </row>
    <row r="133" spans="1:14" ht="14.25" thickBot="1">
      <c r="A133" s="99" t="s">
        <v>1668</v>
      </c>
      <c r="B133" s="99"/>
      <c r="C133" s="99"/>
      <c r="D133" s="99"/>
      <c r="E133" s="99"/>
      <c r="F133" s="99"/>
      <c r="G133" s="99"/>
      <c r="H133" s="99"/>
      <c r="I133" s="99"/>
      <c r="J133" s="99"/>
      <c r="K133" s="99"/>
      <c r="L133" s="99"/>
      <c r="M133" s="99"/>
      <c r="N133" s="99"/>
    </row>
    <row r="134" spans="1:14">
      <c r="A134" s="801" t="s">
        <v>1669</v>
      </c>
      <c r="B134" s="802"/>
      <c r="C134" s="802"/>
      <c r="D134" s="802"/>
      <c r="E134" s="802"/>
      <c r="F134" s="802"/>
      <c r="G134" s="803"/>
      <c r="H134" s="803"/>
      <c r="I134" s="804"/>
      <c r="J134" s="99"/>
      <c r="K134" s="99"/>
      <c r="L134" s="99"/>
      <c r="M134" s="99"/>
      <c r="N134" s="99"/>
    </row>
    <row r="135" spans="1:14">
      <c r="A135" s="805"/>
      <c r="B135" s="806" t="s">
        <v>1670</v>
      </c>
      <c r="C135" s="806"/>
      <c r="D135" s="806"/>
      <c r="E135" s="806"/>
      <c r="F135" s="806"/>
      <c r="G135" s="184"/>
      <c r="H135" s="184"/>
      <c r="I135" s="807"/>
      <c r="J135" s="99"/>
      <c r="K135" s="99"/>
      <c r="L135" s="99"/>
      <c r="M135" s="99"/>
      <c r="N135" s="99"/>
    </row>
    <row r="136" spans="1:14">
      <c r="A136" s="805"/>
      <c r="B136" s="806" t="s">
        <v>1673</v>
      </c>
      <c r="C136" s="806"/>
      <c r="D136" s="806"/>
      <c r="E136" s="806"/>
      <c r="F136" s="806"/>
      <c r="G136" s="184"/>
      <c r="H136" s="184"/>
      <c r="I136" s="807"/>
      <c r="J136" s="99"/>
      <c r="K136" s="99"/>
      <c r="L136" s="99"/>
      <c r="M136" s="99"/>
      <c r="N136" s="99"/>
    </row>
    <row r="137" spans="1:14">
      <c r="A137" s="808"/>
      <c r="B137" s="184"/>
      <c r="C137" s="184"/>
      <c r="D137" s="184"/>
      <c r="E137" s="184"/>
      <c r="F137" s="184"/>
      <c r="G137" s="184"/>
      <c r="H137" s="184"/>
      <c r="I137" s="807"/>
      <c r="J137" s="99"/>
      <c r="K137" s="99"/>
      <c r="L137" s="99"/>
      <c r="M137" s="99"/>
      <c r="N137" s="99"/>
    </row>
    <row r="138" spans="1:14">
      <c r="A138" s="808" t="s">
        <v>1674</v>
      </c>
      <c r="B138" s="184"/>
      <c r="C138" s="184"/>
      <c r="D138" s="184"/>
      <c r="E138" s="184"/>
      <c r="F138" s="184"/>
      <c r="G138" s="184"/>
      <c r="H138" s="184"/>
      <c r="I138" s="807"/>
      <c r="J138" s="99"/>
      <c r="K138" s="99"/>
      <c r="L138" s="99"/>
      <c r="M138" s="99"/>
      <c r="N138" s="99"/>
    </row>
    <row r="139" spans="1:14">
      <c r="A139" s="809" t="s">
        <v>1675</v>
      </c>
      <c r="B139" s="806"/>
      <c r="C139" s="806"/>
      <c r="D139" s="806"/>
      <c r="E139" s="806"/>
      <c r="F139" s="806"/>
      <c r="G139" s="806"/>
      <c r="H139" s="806"/>
      <c r="I139" s="807"/>
      <c r="J139" s="99"/>
      <c r="K139" s="99"/>
      <c r="L139" s="99"/>
      <c r="M139" s="99"/>
      <c r="N139" s="99"/>
    </row>
    <row r="140" spans="1:14" ht="14.25" thickBot="1">
      <c r="A140" s="810"/>
      <c r="B140" s="811"/>
      <c r="C140" s="811"/>
      <c r="D140" s="811"/>
      <c r="E140" s="811"/>
      <c r="F140" s="811"/>
      <c r="G140" s="811"/>
      <c r="H140" s="811"/>
      <c r="I140" s="812"/>
      <c r="J140" s="99"/>
      <c r="K140" s="99"/>
      <c r="L140" s="99"/>
      <c r="M140" s="99"/>
      <c r="N140" s="99"/>
    </row>
    <row r="141" spans="1:14">
      <c r="A141" s="99"/>
      <c r="B141" s="99"/>
      <c r="C141" s="99"/>
      <c r="D141" s="99"/>
      <c r="E141" s="99"/>
      <c r="F141" s="99"/>
      <c r="G141" s="99"/>
      <c r="H141" s="99"/>
      <c r="I141" s="99"/>
      <c r="J141" s="99"/>
      <c r="K141" s="99"/>
      <c r="L141" s="99"/>
      <c r="M141" s="99"/>
      <c r="N141" s="99"/>
    </row>
    <row r="142" spans="1:14">
      <c r="A142" s="99"/>
      <c r="B142" s="99"/>
      <c r="C142" s="99"/>
      <c r="D142" s="99"/>
      <c r="E142" s="99"/>
      <c r="F142" s="99"/>
      <c r="G142" s="99"/>
      <c r="H142" s="99"/>
      <c r="I142" s="99"/>
      <c r="J142" s="99"/>
      <c r="K142" s="99"/>
      <c r="L142" s="99"/>
      <c r="M142" s="99"/>
      <c r="N142" s="99"/>
    </row>
    <row r="143" spans="1:14">
      <c r="A143" s="99"/>
      <c r="B143" s="99"/>
      <c r="C143" s="99"/>
      <c r="D143" s="99"/>
      <c r="E143" s="99"/>
      <c r="F143" s="99"/>
      <c r="G143" s="99"/>
      <c r="H143" s="99"/>
      <c r="I143" s="99"/>
      <c r="J143" s="99"/>
      <c r="K143" s="99"/>
      <c r="L143" s="99"/>
      <c r="M143" s="99"/>
      <c r="N143" s="99"/>
    </row>
    <row r="144" spans="1:14">
      <c r="A144" s="99"/>
      <c r="B144" s="99"/>
      <c r="C144" s="99"/>
      <c r="D144" s="99"/>
      <c r="E144" s="99"/>
      <c r="F144" s="99"/>
      <c r="G144" s="99"/>
      <c r="H144" s="99"/>
      <c r="I144" s="99"/>
      <c r="J144" s="99"/>
      <c r="K144" s="99"/>
      <c r="L144" s="99"/>
      <c r="M144" s="99"/>
      <c r="N144" s="99"/>
    </row>
    <row r="145" spans="1:14">
      <c r="A145" s="99"/>
      <c r="B145" s="99"/>
      <c r="C145" s="99"/>
      <c r="D145" s="99"/>
      <c r="E145" s="99"/>
      <c r="F145" s="99"/>
      <c r="G145" s="99"/>
      <c r="H145" s="99"/>
      <c r="I145" s="99"/>
      <c r="J145" s="99"/>
      <c r="K145" s="99"/>
      <c r="L145" s="99"/>
      <c r="M145" s="99"/>
      <c r="N145" s="99"/>
    </row>
    <row r="146" spans="1:14">
      <c r="A146" s="99" t="s">
        <v>1676</v>
      </c>
      <c r="B146" s="99"/>
      <c r="C146" s="99"/>
      <c r="D146" s="99"/>
      <c r="E146" s="99"/>
      <c r="F146" s="99"/>
      <c r="G146" s="99"/>
      <c r="H146" s="99"/>
      <c r="I146" s="99"/>
      <c r="J146" s="99"/>
      <c r="K146" s="99"/>
      <c r="L146" s="99"/>
      <c r="M146" s="99"/>
      <c r="N146" s="99"/>
    </row>
    <row r="147" spans="1:14">
      <c r="B147" s="604" t="s">
        <v>1677</v>
      </c>
      <c r="C147" s="605"/>
      <c r="D147" s="605"/>
      <c r="E147" s="605"/>
      <c r="F147" s="605"/>
      <c r="G147" s="606"/>
      <c r="H147" s="99"/>
      <c r="I147" s="99"/>
      <c r="J147" s="99"/>
      <c r="K147" s="99"/>
      <c r="L147" s="99"/>
      <c r="M147" s="99"/>
      <c r="N147" s="99"/>
    </row>
    <row r="148" spans="1:14">
      <c r="B148" s="607" t="s">
        <v>1678</v>
      </c>
      <c r="C148" s="608"/>
      <c r="D148" s="608"/>
      <c r="E148" s="608"/>
      <c r="F148" s="608"/>
      <c r="G148" s="609"/>
      <c r="H148" s="99"/>
      <c r="I148" s="99"/>
      <c r="J148" s="99"/>
      <c r="K148" s="99"/>
      <c r="L148" s="99"/>
      <c r="M148" s="99"/>
      <c r="N148" s="99"/>
    </row>
    <row r="149" spans="1:14">
      <c r="B149" s="607" t="s">
        <v>1679</v>
      </c>
      <c r="C149" s="608"/>
      <c r="D149" s="608"/>
      <c r="E149" s="608"/>
      <c r="F149" s="608"/>
      <c r="G149" s="609"/>
      <c r="H149" s="99"/>
      <c r="I149" s="99"/>
      <c r="J149" s="99"/>
      <c r="K149" s="99"/>
      <c r="L149" s="99"/>
      <c r="M149" s="99"/>
      <c r="N149" s="99"/>
    </row>
    <row r="150" spans="1:14">
      <c r="B150" s="777" t="s">
        <v>1680</v>
      </c>
      <c r="C150" s="608"/>
      <c r="D150" s="608"/>
      <c r="E150" s="608"/>
      <c r="F150" s="608"/>
      <c r="G150" s="609"/>
      <c r="H150" s="99"/>
      <c r="I150" s="99"/>
      <c r="J150" s="99"/>
      <c r="K150" s="99"/>
      <c r="L150" s="99"/>
      <c r="M150" s="99"/>
      <c r="N150" s="99"/>
    </row>
    <row r="151" spans="1:14">
      <c r="B151" s="778" t="s">
        <v>1690</v>
      </c>
      <c r="C151" s="611"/>
      <c r="D151" s="611"/>
      <c r="E151" s="611"/>
      <c r="F151" s="611"/>
      <c r="G151" s="612"/>
      <c r="H151" s="99"/>
      <c r="I151" s="99"/>
      <c r="J151" s="99"/>
      <c r="K151" s="99"/>
      <c r="L151" s="99"/>
      <c r="M151" s="99"/>
      <c r="N151" s="99"/>
    </row>
    <row r="152" spans="1:14">
      <c r="A152" s="99" t="s">
        <v>1681</v>
      </c>
      <c r="B152" s="99"/>
      <c r="C152" s="99"/>
      <c r="D152" s="99"/>
      <c r="E152" s="99"/>
      <c r="F152" s="99"/>
      <c r="G152" s="99"/>
      <c r="H152" s="99"/>
      <c r="I152" s="99"/>
      <c r="J152" s="99"/>
      <c r="K152" s="99"/>
      <c r="L152" s="99"/>
      <c r="M152" s="99"/>
      <c r="N152" s="99"/>
    </row>
    <row r="153" spans="1:14">
      <c r="A153" t="s">
        <v>1667</v>
      </c>
      <c r="B153" t="s">
        <v>1683</v>
      </c>
    </row>
    <row r="157" spans="1:14">
      <c r="B157" t="s">
        <v>1684</v>
      </c>
    </row>
    <row r="159" spans="1:14">
      <c r="B159" s="779" t="s">
        <v>1685</v>
      </c>
      <c r="C159" s="780"/>
      <c r="D159" s="780"/>
      <c r="E159" s="780"/>
      <c r="F159" s="780"/>
      <c r="G159" s="780"/>
      <c r="H159" s="780"/>
      <c r="I159" s="780"/>
      <c r="J159" s="780"/>
      <c r="K159" s="780"/>
      <c r="L159" s="780"/>
      <c r="M159" s="780"/>
      <c r="N159" s="781"/>
    </row>
    <row r="160" spans="1:14">
      <c r="B160" s="782" t="s">
        <v>1686</v>
      </c>
      <c r="C160" s="783"/>
      <c r="D160" s="783"/>
      <c r="E160" s="783"/>
      <c r="F160" s="783"/>
      <c r="G160" s="783"/>
      <c r="H160" s="783"/>
      <c r="I160" s="783"/>
      <c r="J160" s="783"/>
      <c r="K160" s="783"/>
      <c r="L160" s="783"/>
      <c r="M160" s="783"/>
      <c r="N160" s="784"/>
    </row>
    <row r="161" spans="1:14">
      <c r="B161" s="782" t="s">
        <v>1687</v>
      </c>
      <c r="C161" s="783"/>
      <c r="D161" s="783"/>
      <c r="E161" s="783"/>
      <c r="F161" s="783"/>
      <c r="G161" s="783"/>
      <c r="H161" s="783"/>
      <c r="I161" s="783"/>
      <c r="J161" s="783"/>
      <c r="K161" s="783"/>
      <c r="L161" s="783"/>
      <c r="M161" s="783"/>
      <c r="N161" s="784"/>
    </row>
    <row r="162" spans="1:14">
      <c r="B162" s="785"/>
      <c r="C162" s="786"/>
      <c r="D162" s="786"/>
      <c r="E162" s="786"/>
      <c r="F162" s="786"/>
      <c r="G162" s="786"/>
      <c r="H162" s="786"/>
      <c r="I162" s="786"/>
      <c r="J162" s="786"/>
      <c r="K162" s="786"/>
      <c r="L162" s="786"/>
      <c r="M162" s="786"/>
      <c r="N162" s="787"/>
    </row>
    <row r="170" spans="1:14" ht="14.25">
      <c r="A170" s="788" t="s">
        <v>1457</v>
      </c>
      <c r="B170" s="789"/>
      <c r="C170" s="789"/>
      <c r="D170" s="789"/>
      <c r="E170" s="789"/>
      <c r="F170" s="789"/>
      <c r="G170" s="215"/>
    </row>
    <row r="171" spans="1:14" ht="14.25">
      <c r="A171" s="790" t="s">
        <v>1461</v>
      </c>
      <c r="B171" s="791"/>
      <c r="C171" s="791"/>
      <c r="D171" s="791"/>
      <c r="E171" s="791"/>
      <c r="F171" s="791"/>
      <c r="G171" s="217"/>
    </row>
    <row r="172" spans="1:14" ht="14.25">
      <c r="A172" s="790" t="s">
        <v>1458</v>
      </c>
      <c r="B172" s="791"/>
      <c r="C172" s="791"/>
      <c r="D172" s="791"/>
      <c r="E172" s="791"/>
      <c r="F172" s="791"/>
      <c r="G172" s="217"/>
    </row>
    <row r="173" spans="1:14" ht="14.25">
      <c r="A173" s="790"/>
      <c r="B173" s="791"/>
      <c r="C173" s="791"/>
      <c r="D173" s="791"/>
      <c r="E173" s="791"/>
      <c r="F173" s="791"/>
      <c r="G173" s="217"/>
    </row>
    <row r="174" spans="1:14" ht="14.25">
      <c r="A174" s="792" t="s">
        <v>1462</v>
      </c>
      <c r="B174" s="793"/>
      <c r="C174" s="793"/>
      <c r="D174" s="793"/>
      <c r="E174" s="793"/>
      <c r="F174" s="800" t="s">
        <v>1692</v>
      </c>
      <c r="G174" s="219"/>
    </row>
    <row r="176" spans="1:14">
      <c r="A176" t="s">
        <v>1689</v>
      </c>
      <c r="I176" t="s">
        <v>1694</v>
      </c>
    </row>
    <row r="177" spans="1:9" ht="14.25">
      <c r="A177" s="794" t="s">
        <v>1457</v>
      </c>
      <c r="B177" s="795"/>
      <c r="C177" s="795"/>
      <c r="D177" s="795"/>
      <c r="E177" s="795"/>
      <c r="F177" s="795"/>
      <c r="G177" s="646"/>
    </row>
    <row r="178" spans="1:9" ht="14.25">
      <c r="A178" s="796" t="s">
        <v>1693</v>
      </c>
      <c r="B178" s="797"/>
      <c r="C178" s="797"/>
      <c r="D178" s="797"/>
      <c r="E178" s="797"/>
      <c r="F178" s="797"/>
      <c r="G178" s="650"/>
    </row>
    <row r="179" spans="1:9" ht="14.25">
      <c r="A179" s="796" t="s">
        <v>1458</v>
      </c>
      <c r="B179" s="797"/>
      <c r="C179" s="797"/>
      <c r="D179" s="797"/>
      <c r="E179" s="797"/>
      <c r="F179" s="797"/>
      <c r="G179" s="650"/>
    </row>
    <row r="180" spans="1:9" ht="14.25">
      <c r="A180" s="796"/>
      <c r="B180" s="797"/>
      <c r="C180" s="797"/>
      <c r="D180" s="797"/>
      <c r="E180" s="797"/>
      <c r="F180" s="797"/>
      <c r="G180" s="650"/>
    </row>
    <row r="181" spans="1:9" ht="14.25">
      <c r="A181" s="798" t="s">
        <v>1691</v>
      </c>
      <c r="B181" s="799"/>
      <c r="C181" s="799"/>
      <c r="D181" s="799"/>
      <c r="E181" s="799"/>
      <c r="F181" s="799" t="s">
        <v>1692</v>
      </c>
      <c r="G181" s="654"/>
    </row>
    <row r="188" spans="1:9" ht="14.25" thickBot="1">
      <c r="A188" t="s">
        <v>1688</v>
      </c>
    </row>
    <row r="189" spans="1:9">
      <c r="A189" s="801" t="s">
        <v>1669</v>
      </c>
      <c r="B189" s="802"/>
      <c r="C189" s="802"/>
      <c r="D189" s="802"/>
      <c r="E189" s="802"/>
      <c r="F189" s="802"/>
      <c r="G189" s="803"/>
      <c r="H189" s="803"/>
      <c r="I189" s="804"/>
    </row>
    <row r="190" spans="1:9">
      <c r="A190" s="805"/>
      <c r="B190" s="806" t="s">
        <v>1670</v>
      </c>
      <c r="C190" s="806"/>
      <c r="D190" s="806"/>
      <c r="E190" s="806"/>
      <c r="F190" s="806"/>
      <c r="G190" s="184"/>
      <c r="H190" s="184"/>
      <c r="I190" s="807"/>
    </row>
    <row r="191" spans="1:9">
      <c r="A191" s="805"/>
      <c r="B191" s="806" t="s">
        <v>1673</v>
      </c>
      <c r="C191" s="806"/>
      <c r="D191" s="806"/>
      <c r="E191" s="806"/>
      <c r="F191" s="806"/>
      <c r="G191" s="184"/>
      <c r="H191" s="184"/>
      <c r="I191" s="807"/>
    </row>
    <row r="192" spans="1:9">
      <c r="A192" s="808"/>
      <c r="B192" s="184"/>
      <c r="C192" s="184"/>
      <c r="D192" s="184"/>
      <c r="E192" s="184"/>
      <c r="F192" s="184"/>
      <c r="G192" s="184"/>
      <c r="H192" s="184"/>
      <c r="I192" s="807"/>
    </row>
    <row r="193" spans="1:12">
      <c r="A193" s="808" t="s">
        <v>1674</v>
      </c>
      <c r="B193" s="184"/>
      <c r="C193" s="184"/>
      <c r="D193" s="184"/>
      <c r="E193" s="184"/>
      <c r="F193" s="184"/>
      <c r="G193" s="184"/>
      <c r="H193" s="184"/>
      <c r="I193" s="807"/>
    </row>
    <row r="194" spans="1:12">
      <c r="A194" s="809" t="s">
        <v>1675</v>
      </c>
      <c r="B194" s="806"/>
      <c r="C194" s="806"/>
      <c r="D194" s="806"/>
      <c r="E194" s="806"/>
      <c r="F194" s="806"/>
      <c r="G194" s="806"/>
      <c r="H194" s="806"/>
      <c r="I194" s="807"/>
    </row>
    <row r="195" spans="1:12" ht="15" thickBot="1">
      <c r="A195" s="800" t="s">
        <v>1695</v>
      </c>
      <c r="B195" s="811"/>
      <c r="C195" s="811"/>
      <c r="D195" s="811"/>
      <c r="E195" s="811"/>
      <c r="F195" s="811"/>
      <c r="G195" s="811"/>
      <c r="H195" s="811"/>
      <c r="I195" s="812"/>
    </row>
    <row r="197" spans="1:12" ht="14.25" thickBot="1">
      <c r="A197" t="s">
        <v>1689</v>
      </c>
      <c r="L197" t="s">
        <v>1696</v>
      </c>
    </row>
    <row r="198" spans="1:12">
      <c r="A198" s="772" t="s">
        <v>1669</v>
      </c>
      <c r="B198" s="773"/>
      <c r="C198" s="773"/>
      <c r="D198" s="773"/>
      <c r="E198" s="773"/>
      <c r="F198" s="773"/>
      <c r="G198" s="769"/>
      <c r="H198" s="769"/>
      <c r="I198" s="769"/>
      <c r="J198" s="596"/>
    </row>
    <row r="199" spans="1:12">
      <c r="A199" s="774"/>
      <c r="B199" s="813" t="s">
        <v>1697</v>
      </c>
      <c r="C199" s="813"/>
      <c r="D199" s="813"/>
      <c r="E199" s="775"/>
      <c r="F199" s="775"/>
      <c r="G199" s="742"/>
      <c r="H199" s="742"/>
      <c r="I199" s="742"/>
      <c r="J199" s="814"/>
    </row>
    <row r="200" spans="1:12">
      <c r="A200" s="774"/>
      <c r="B200" s="775" t="s">
        <v>1698</v>
      </c>
      <c r="C200" s="775"/>
      <c r="D200" s="775"/>
      <c r="E200" s="775"/>
      <c r="F200" s="775"/>
      <c r="G200" s="742"/>
      <c r="H200" s="742"/>
      <c r="I200" s="742"/>
      <c r="J200" s="814"/>
    </row>
    <row r="201" spans="1:12">
      <c r="A201" s="770"/>
      <c r="B201" s="742"/>
      <c r="C201" s="742"/>
      <c r="D201" s="742"/>
      <c r="E201" s="742"/>
      <c r="F201" s="742"/>
      <c r="G201" s="742"/>
      <c r="H201" s="742"/>
      <c r="I201" s="742"/>
      <c r="J201" s="814"/>
    </row>
    <row r="202" spans="1:12">
      <c r="A202" s="770" t="s">
        <v>1674</v>
      </c>
      <c r="B202" s="742"/>
      <c r="C202" s="742"/>
      <c r="D202" s="742"/>
      <c r="E202" s="742"/>
      <c r="F202" s="742"/>
      <c r="G202" s="742"/>
      <c r="H202" s="742"/>
      <c r="I202" s="742"/>
      <c r="J202" s="814"/>
    </row>
    <row r="203" spans="1:12">
      <c r="A203" s="776" t="s">
        <v>1794</v>
      </c>
      <c r="B203" s="775"/>
      <c r="C203" s="775"/>
      <c r="D203" s="775"/>
      <c r="E203" s="775"/>
      <c r="F203" s="775"/>
      <c r="G203" s="775"/>
      <c r="H203" s="775"/>
      <c r="I203" s="742"/>
      <c r="J203" s="814"/>
    </row>
    <row r="204" spans="1:12" ht="15" thickBot="1">
      <c r="A204" s="815" t="s">
        <v>1695</v>
      </c>
      <c r="B204" s="771"/>
      <c r="C204" s="771"/>
      <c r="D204" s="771"/>
      <c r="E204" s="771"/>
      <c r="F204" s="771"/>
      <c r="G204" s="771"/>
      <c r="H204" s="771"/>
      <c r="I204" s="771"/>
      <c r="J204" s="600"/>
    </row>
    <row r="207" spans="1:12">
      <c r="A207" s="816" t="s">
        <v>1699</v>
      </c>
      <c r="B207" s="816"/>
      <c r="C207" s="816"/>
      <c r="D207" s="816"/>
      <c r="E207" s="816"/>
      <c r="F207" s="816"/>
      <c r="G207" s="816"/>
      <c r="H207" s="816"/>
      <c r="I207" s="816"/>
    </row>
    <row r="208" spans="1:12">
      <c r="A208" s="816" t="s">
        <v>1700</v>
      </c>
      <c r="B208" s="816"/>
      <c r="C208" s="816"/>
      <c r="D208" s="816"/>
      <c r="E208" s="816"/>
      <c r="F208" s="816"/>
      <c r="G208" s="816"/>
      <c r="H208" s="816"/>
      <c r="I208" s="816"/>
    </row>
    <row r="209" spans="1:9">
      <c r="A209" s="816"/>
      <c r="B209" s="816"/>
      <c r="C209" s="816"/>
      <c r="D209" s="816"/>
      <c r="E209" s="816"/>
      <c r="F209" s="816"/>
      <c r="G209" s="816"/>
      <c r="H209" s="816"/>
      <c r="I209" s="816"/>
    </row>
    <row r="212" spans="1:9" s="419" customFormat="1"/>
    <row r="214" spans="1:9" s="10" customFormat="1" ht="17.25">
      <c r="A214" s="10" t="s">
        <v>1725</v>
      </c>
    </row>
    <row r="216" spans="1:9">
      <c r="A216" s="836" t="s">
        <v>1735</v>
      </c>
      <c r="B216" s="873" t="s">
        <v>1728</v>
      </c>
      <c r="C216" s="873"/>
      <c r="D216" s="873" t="s">
        <v>1729</v>
      </c>
      <c r="E216" s="873"/>
    </row>
    <row r="217" spans="1:9">
      <c r="A217" s="7" t="s">
        <v>1726</v>
      </c>
      <c r="B217" s="874" t="s">
        <v>1730</v>
      </c>
      <c r="C217" s="875"/>
      <c r="D217" s="878" t="s">
        <v>1736</v>
      </c>
      <c r="E217" s="878"/>
    </row>
    <row r="218" spans="1:9">
      <c r="A218" s="7" t="s">
        <v>1667</v>
      </c>
      <c r="B218" s="876" t="s">
        <v>1731</v>
      </c>
      <c r="C218" s="876"/>
      <c r="D218" s="876" t="s">
        <v>1734</v>
      </c>
      <c r="E218" s="876"/>
    </row>
    <row r="219" spans="1:9">
      <c r="A219" s="7" t="s">
        <v>1708</v>
      </c>
      <c r="B219" s="877" t="s">
        <v>1732</v>
      </c>
      <c r="C219" s="877"/>
      <c r="D219" s="877" t="s">
        <v>1732</v>
      </c>
      <c r="E219" s="877"/>
    </row>
    <row r="220" spans="1:9">
      <c r="A220" s="7" t="s">
        <v>1727</v>
      </c>
      <c r="B220" s="877" t="s">
        <v>1733</v>
      </c>
      <c r="C220" s="877"/>
      <c r="D220" s="877" t="s">
        <v>1733</v>
      </c>
      <c r="E220" s="877"/>
    </row>
    <row r="223" spans="1:9">
      <c r="A223" t="s">
        <v>1738</v>
      </c>
    </row>
    <row r="225" spans="1:5">
      <c r="A225" t="s">
        <v>1737</v>
      </c>
    </row>
    <row r="227" spans="1:5">
      <c r="A227" s="87"/>
      <c r="B227" s="87"/>
      <c r="C227" s="87"/>
      <c r="D227" s="87"/>
      <c r="E227" s="87"/>
    </row>
    <row r="228" spans="1:5">
      <c r="A228" s="87"/>
      <c r="B228" s="87"/>
      <c r="C228" s="87"/>
      <c r="D228" s="87"/>
      <c r="E228" s="87"/>
    </row>
    <row r="229" spans="1:5">
      <c r="A229" s="87"/>
      <c r="B229" s="87"/>
      <c r="C229" s="87"/>
      <c r="D229" s="87"/>
      <c r="E229" s="87"/>
    </row>
    <row r="230" spans="1:5">
      <c r="A230" s="87"/>
      <c r="B230" s="87"/>
      <c r="C230" s="87"/>
      <c r="D230" s="87"/>
      <c r="E230" s="87"/>
    </row>
    <row r="231" spans="1:5">
      <c r="A231" s="87"/>
      <c r="B231" s="87"/>
      <c r="C231" s="87"/>
      <c r="D231" s="87"/>
      <c r="E231" s="87"/>
    </row>
    <row r="232" spans="1:5">
      <c r="A232" s="87"/>
      <c r="B232" s="87"/>
      <c r="C232" s="87"/>
      <c r="D232" s="87"/>
      <c r="E232" s="87"/>
    </row>
    <row r="233" spans="1:5">
      <c r="A233" s="87"/>
      <c r="B233" s="87"/>
      <c r="C233" s="87"/>
      <c r="D233" s="87"/>
      <c r="E233" s="87"/>
    </row>
    <row r="234" spans="1:5">
      <c r="A234" s="87"/>
      <c r="B234" s="87"/>
      <c r="C234" s="87"/>
      <c r="D234" s="87"/>
      <c r="E234" s="87"/>
    </row>
    <row r="235" spans="1:5">
      <c r="A235" s="87"/>
      <c r="B235" s="87"/>
      <c r="C235" s="87"/>
      <c r="D235" s="87"/>
      <c r="E235" s="87"/>
    </row>
    <row r="236" spans="1:5">
      <c r="A236" s="87"/>
      <c r="B236" s="87"/>
      <c r="C236" s="87"/>
      <c r="D236" s="87"/>
      <c r="E236" s="87"/>
    </row>
    <row r="237" spans="1:5">
      <c r="A237" s="87"/>
      <c r="B237" s="87"/>
      <c r="C237" s="87"/>
      <c r="D237" s="87"/>
      <c r="E237" s="87"/>
    </row>
    <row r="238" spans="1:5">
      <c r="A238" s="87"/>
      <c r="B238" s="87"/>
      <c r="C238" s="87"/>
      <c r="D238" s="87"/>
      <c r="E238" s="87"/>
    </row>
    <row r="239" spans="1:5">
      <c r="A239" s="87"/>
      <c r="B239" s="87"/>
      <c r="C239" s="87"/>
      <c r="D239" s="87"/>
      <c r="E239" s="87"/>
    </row>
    <row r="240" spans="1:5">
      <c r="A240" s="87"/>
      <c r="B240" s="87"/>
      <c r="C240" s="87"/>
      <c r="D240" s="87"/>
      <c r="E240" s="87"/>
    </row>
    <row r="241" spans="1:9">
      <c r="A241" t="s">
        <v>1739</v>
      </c>
    </row>
    <row r="242" spans="1:9">
      <c r="A242" s="816" t="s">
        <v>1740</v>
      </c>
      <c r="B242" s="816"/>
      <c r="C242" s="816"/>
      <c r="D242" s="816"/>
      <c r="E242" s="816"/>
      <c r="F242" s="816"/>
      <c r="G242" s="816"/>
      <c r="H242" s="816"/>
      <c r="I242" s="816"/>
    </row>
    <row r="243" spans="1:9">
      <c r="A243" s="816" t="s">
        <v>1741</v>
      </c>
      <c r="B243" s="816"/>
      <c r="C243" s="816"/>
      <c r="D243" s="816"/>
      <c r="E243" s="816"/>
      <c r="F243" s="816"/>
      <c r="G243" s="816"/>
      <c r="H243" s="816"/>
      <c r="I243" s="816"/>
    </row>
    <row r="244" spans="1:9">
      <c r="A244" s="816" t="s">
        <v>1742</v>
      </c>
      <c r="B244" s="816"/>
      <c r="C244" s="816"/>
      <c r="D244" s="816"/>
      <c r="E244" s="816"/>
      <c r="F244" s="816"/>
      <c r="G244" s="816"/>
      <c r="H244" s="816"/>
      <c r="I244" s="816"/>
    </row>
    <row r="247" spans="1:9">
      <c r="A247" t="s">
        <v>1743</v>
      </c>
    </row>
    <row r="248" spans="1:9">
      <c r="A248" t="s">
        <v>1744</v>
      </c>
    </row>
    <row r="249" spans="1:9">
      <c r="A249" t="s">
        <v>1745</v>
      </c>
    </row>
    <row r="250" spans="1:9">
      <c r="A250" s="18" t="s">
        <v>1746</v>
      </c>
    </row>
    <row r="252" spans="1:9">
      <c r="A252" t="s">
        <v>1747</v>
      </c>
    </row>
    <row r="253" spans="1:9">
      <c r="A253" t="s">
        <v>1748</v>
      </c>
    </row>
    <row r="254" spans="1:9">
      <c r="A254" s="18" t="s">
        <v>1749</v>
      </c>
    </row>
    <row r="255" spans="1:9">
      <c r="A255" s="18" t="s">
        <v>1750</v>
      </c>
    </row>
    <row r="257" spans="1:9">
      <c r="A257" t="s">
        <v>1751</v>
      </c>
    </row>
    <row r="258" spans="1:9">
      <c r="A258" s="838" t="s">
        <v>1752</v>
      </c>
      <c r="B258" s="838"/>
      <c r="C258" s="838"/>
      <c r="D258" s="838"/>
      <c r="E258" s="838"/>
      <c r="F258" s="838"/>
      <c r="G258" s="838"/>
      <c r="H258" s="838"/>
      <c r="I258" s="838"/>
    </row>
    <row r="259" spans="1:9">
      <c r="A259" s="838" t="s">
        <v>1753</v>
      </c>
      <c r="B259" s="838"/>
      <c r="C259" s="838"/>
      <c r="D259" s="838"/>
      <c r="E259" s="838"/>
      <c r="F259" s="838"/>
      <c r="G259" s="838"/>
      <c r="H259" s="838"/>
      <c r="I259" s="838"/>
    </row>
    <row r="260" spans="1:9">
      <c r="A260" s="816" t="s">
        <v>1754</v>
      </c>
      <c r="B260" s="816"/>
      <c r="C260" s="816"/>
      <c r="D260" s="816"/>
      <c r="E260" s="816"/>
      <c r="F260" s="816"/>
      <c r="G260" s="816"/>
      <c r="H260" s="816"/>
      <c r="I260" s="816"/>
    </row>
    <row r="261" spans="1:9">
      <c r="A261" s="837" t="s">
        <v>1755</v>
      </c>
      <c r="B261" s="816"/>
      <c r="C261" s="816"/>
      <c r="D261" s="816"/>
      <c r="E261" s="816"/>
      <c r="F261" s="816"/>
      <c r="G261" s="816"/>
      <c r="H261" s="816"/>
      <c r="I261" s="816"/>
    </row>
    <row r="264" spans="1:9">
      <c r="A264" t="s">
        <v>1756</v>
      </c>
    </row>
    <row r="265" spans="1:9">
      <c r="A265" t="s">
        <v>1757</v>
      </c>
    </row>
    <row r="266" spans="1:9">
      <c r="A266" t="s">
        <v>1758</v>
      </c>
    </row>
    <row r="267" spans="1:9">
      <c r="A267" s="18" t="s">
        <v>1759</v>
      </c>
    </row>
    <row r="268" spans="1:9">
      <c r="A268" s="18" t="s">
        <v>1760</v>
      </c>
    </row>
    <row r="269" spans="1:9">
      <c r="A269" s="18" t="s">
        <v>1761</v>
      </c>
    </row>
    <row r="271" spans="1:9">
      <c r="A271" t="s">
        <v>1762</v>
      </c>
    </row>
    <row r="272" spans="1:9">
      <c r="A272" t="s">
        <v>1763</v>
      </c>
    </row>
    <row r="273" spans="1:9">
      <c r="A273" s="18" t="s">
        <v>1764</v>
      </c>
    </row>
    <row r="275" spans="1:9">
      <c r="A275" t="s">
        <v>1765</v>
      </c>
    </row>
    <row r="276" spans="1:9">
      <c r="A276" t="s">
        <v>1766</v>
      </c>
    </row>
    <row r="277" spans="1:9">
      <c r="A277" t="s">
        <v>1767</v>
      </c>
    </row>
    <row r="278" spans="1:9">
      <c r="A278" s="816" t="s">
        <v>1768</v>
      </c>
      <c r="B278" s="816"/>
      <c r="C278" s="816"/>
      <c r="D278" s="816"/>
      <c r="E278" s="816"/>
      <c r="F278" s="816"/>
    </row>
    <row r="281" spans="1:9" ht="24.75" thickBot="1">
      <c r="A281" s="40" t="s">
        <v>1769</v>
      </c>
      <c r="B281" s="839"/>
    </row>
    <row r="282" spans="1:9">
      <c r="A282" s="840" t="s">
        <v>1770</v>
      </c>
      <c r="B282" s="841"/>
      <c r="C282" s="841"/>
      <c r="D282" s="841"/>
      <c r="E282" s="841"/>
      <c r="F282" s="841"/>
      <c r="G282" s="841"/>
      <c r="H282" s="841"/>
      <c r="I282" s="842"/>
    </row>
    <row r="283" spans="1:9">
      <c r="A283" s="843" t="s">
        <v>1771</v>
      </c>
      <c r="B283" s="844"/>
      <c r="C283" s="844"/>
      <c r="D283" s="844"/>
      <c r="E283" s="844"/>
      <c r="F283" s="844"/>
      <c r="G283" s="844"/>
      <c r="H283" s="844"/>
      <c r="I283" s="845"/>
    </row>
    <row r="284" spans="1:9">
      <c r="A284" s="843"/>
      <c r="B284" s="844" t="s">
        <v>1772</v>
      </c>
      <c r="C284" s="844"/>
      <c r="D284" s="844"/>
      <c r="E284" s="844"/>
      <c r="F284" s="844"/>
      <c r="G284" s="844"/>
      <c r="H284" s="844"/>
      <c r="I284" s="845"/>
    </row>
    <row r="285" spans="1:9" ht="14.25" thickBot="1">
      <c r="A285" s="846"/>
      <c r="B285" s="847"/>
      <c r="C285" s="847"/>
      <c r="D285" s="847"/>
      <c r="E285" s="847"/>
      <c r="F285" s="847"/>
      <c r="G285" s="847"/>
      <c r="H285" s="847"/>
      <c r="I285" s="848"/>
    </row>
    <row r="289" spans="1:14" s="760" customFormat="1"/>
    <row r="291" spans="1:14" ht="28.5">
      <c r="A291" s="47" t="s">
        <v>1773</v>
      </c>
    </row>
    <row r="293" spans="1:14">
      <c r="A293" s="779" t="s">
        <v>1774</v>
      </c>
      <c r="B293" s="780"/>
      <c r="C293" s="780"/>
      <c r="D293" s="780"/>
      <c r="E293" s="780"/>
      <c r="F293" s="780"/>
      <c r="G293" s="780"/>
      <c r="H293" s="780"/>
      <c r="I293" s="780"/>
      <c r="J293" s="780"/>
      <c r="K293" s="780"/>
      <c r="L293" s="780"/>
      <c r="M293" s="780"/>
      <c r="N293" s="781"/>
    </row>
    <row r="294" spans="1:14">
      <c r="A294" s="782" t="s">
        <v>1777</v>
      </c>
      <c r="B294" s="783"/>
      <c r="C294" s="783"/>
      <c r="D294" s="783"/>
      <c r="E294" s="783"/>
      <c r="F294" s="783"/>
      <c r="G294" s="783"/>
      <c r="H294" s="783"/>
      <c r="I294" s="783"/>
      <c r="J294" s="783"/>
      <c r="K294" s="783"/>
      <c r="L294" s="783"/>
      <c r="M294" s="783"/>
      <c r="N294" s="784"/>
    </row>
    <row r="295" spans="1:14">
      <c r="A295" s="785" t="s">
        <v>1778</v>
      </c>
      <c r="B295" s="786"/>
      <c r="C295" s="786"/>
      <c r="D295" s="786"/>
      <c r="E295" s="786"/>
      <c r="F295" s="786"/>
      <c r="G295" s="786"/>
      <c r="H295" s="786"/>
      <c r="I295" s="786"/>
      <c r="J295" s="786"/>
      <c r="K295" s="786"/>
      <c r="L295" s="786"/>
      <c r="M295" s="786"/>
      <c r="N295" s="787"/>
    </row>
    <row r="299" spans="1:14">
      <c r="E299" t="s">
        <v>1775</v>
      </c>
    </row>
    <row r="305" spans="3:11">
      <c r="F305" t="s">
        <v>1776</v>
      </c>
    </row>
    <row r="306" spans="3:11">
      <c r="C306" s="87"/>
      <c r="D306" s="87"/>
      <c r="E306" s="87"/>
      <c r="F306" s="87"/>
      <c r="H306" s="87"/>
      <c r="I306" s="87"/>
      <c r="J306" s="87"/>
      <c r="K306" s="87"/>
    </row>
    <row r="307" spans="3:11">
      <c r="C307" s="87"/>
      <c r="D307" s="87"/>
      <c r="E307" s="87"/>
      <c r="F307" s="87"/>
      <c r="H307" s="87"/>
      <c r="I307" s="87"/>
      <c r="J307" s="87"/>
      <c r="K307" s="87"/>
    </row>
    <row r="308" spans="3:11">
      <c r="C308" s="87"/>
      <c r="D308" s="87"/>
      <c r="E308" s="87"/>
      <c r="F308" s="87"/>
      <c r="H308" s="87"/>
      <c r="I308" s="87"/>
      <c r="J308" s="87"/>
      <c r="K308" s="87"/>
    </row>
    <row r="309" spans="3:11">
      <c r="C309" s="87"/>
      <c r="D309" s="87"/>
      <c r="E309" s="87"/>
      <c r="F309" s="87"/>
      <c r="H309" s="87"/>
      <c r="I309" s="87"/>
      <c r="J309" s="87"/>
      <c r="K309" s="87"/>
    </row>
    <row r="310" spans="3:11">
      <c r="C310" s="87"/>
      <c r="D310" s="87"/>
      <c r="E310" s="87"/>
      <c r="F310" s="87"/>
      <c r="H310" s="87"/>
      <c r="I310" s="87"/>
      <c r="J310" s="87"/>
      <c r="K310" s="87"/>
    </row>
    <row r="311" spans="3:11">
      <c r="C311" s="87"/>
      <c r="D311" s="87"/>
      <c r="E311" s="87"/>
      <c r="F311" s="87"/>
      <c r="H311" s="87"/>
      <c r="I311" s="87"/>
      <c r="J311" s="87"/>
      <c r="K311" s="87"/>
    </row>
    <row r="312" spans="3:11">
      <c r="C312" s="87"/>
      <c r="D312" s="87"/>
      <c r="E312" s="87"/>
      <c r="F312" s="87"/>
      <c r="H312" s="87"/>
      <c r="I312" s="87"/>
      <c r="J312" s="87"/>
      <c r="K312" s="87"/>
    </row>
    <row r="313" spans="3:11">
      <c r="C313" s="87"/>
      <c r="D313" s="87"/>
      <c r="E313" s="87"/>
      <c r="F313" s="87"/>
      <c r="H313" s="87"/>
      <c r="I313" s="87"/>
      <c r="J313" s="87"/>
      <c r="K313" s="87"/>
    </row>
    <row r="314" spans="3:11">
      <c r="C314" s="87"/>
      <c r="D314" s="87"/>
      <c r="E314" s="87"/>
      <c r="F314" s="87"/>
      <c r="H314" s="87"/>
      <c r="I314" s="87"/>
      <c r="J314" s="87"/>
      <c r="K314" s="87"/>
    </row>
    <row r="317" spans="3:11">
      <c r="C317" t="s">
        <v>1779</v>
      </c>
      <c r="D317" t="s">
        <v>1780</v>
      </c>
      <c r="H317" t="s">
        <v>1779</v>
      </c>
      <c r="I317" t="s">
        <v>1780</v>
      </c>
    </row>
    <row r="318" spans="3:11">
      <c r="C318" t="s">
        <v>1781</v>
      </c>
      <c r="D318" t="s">
        <v>1783</v>
      </c>
      <c r="H318" t="s">
        <v>1781</v>
      </c>
      <c r="I318" t="s">
        <v>1785</v>
      </c>
    </row>
    <row r="319" spans="3:11">
      <c r="C319" t="s">
        <v>1782</v>
      </c>
      <c r="D319" t="s">
        <v>1784</v>
      </c>
      <c r="H319" t="s">
        <v>1782</v>
      </c>
      <c r="I319" t="s">
        <v>1784</v>
      </c>
    </row>
    <row r="323" spans="3:8">
      <c r="C323" t="s">
        <v>1787</v>
      </c>
      <c r="H323" t="s">
        <v>1789</v>
      </c>
    </row>
    <row r="325" spans="3:8">
      <c r="C325" t="s">
        <v>1788</v>
      </c>
    </row>
    <row r="326" spans="3:8">
      <c r="C326" t="s">
        <v>1786</v>
      </c>
    </row>
  </sheetData>
  <mergeCells count="10">
    <mergeCell ref="D216:E216"/>
    <mergeCell ref="D217:E217"/>
    <mergeCell ref="D218:E218"/>
    <mergeCell ref="D219:E219"/>
    <mergeCell ref="D220:E220"/>
    <mergeCell ref="B216:C216"/>
    <mergeCell ref="B217:C217"/>
    <mergeCell ref="B218:C218"/>
    <mergeCell ref="B219:C219"/>
    <mergeCell ref="B220:C220"/>
  </mergeCells>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271"/>
  <sheetViews>
    <sheetView showGridLines="0" tabSelected="1" topLeftCell="A241" workbookViewId="0">
      <selection activeCell="I250" sqref="I250"/>
    </sheetView>
  </sheetViews>
  <sheetFormatPr defaultRowHeight="11.25"/>
  <cols>
    <col min="1" max="16384" width="9" style="99"/>
  </cols>
  <sheetData>
    <row r="1" spans="1:12" ht="28.5">
      <c r="A1" s="849" t="s">
        <v>1790</v>
      </c>
    </row>
    <row r="4" spans="1:12" ht="13.5">
      <c r="A4" s="104" t="s">
        <v>1791</v>
      </c>
    </row>
    <row r="5" spans="1:12" ht="13.5">
      <c r="A5" s="104" t="s">
        <v>1792</v>
      </c>
    </row>
    <row r="6" spans="1:12" ht="13.5">
      <c r="A6" s="104" t="s">
        <v>1793</v>
      </c>
    </row>
    <row r="8" spans="1:12" ht="14.25">
      <c r="A8" s="850" t="s">
        <v>1796</v>
      </c>
      <c r="B8" s="851"/>
      <c r="C8" s="851"/>
      <c r="D8" s="851"/>
      <c r="E8" s="851"/>
      <c r="F8" s="851"/>
      <c r="G8" s="851"/>
      <c r="H8" s="851"/>
      <c r="I8" s="851"/>
      <c r="J8" s="851"/>
      <c r="K8" s="851"/>
      <c r="L8" s="851"/>
    </row>
    <row r="9" spans="1:12" ht="14.25">
      <c r="A9" s="850"/>
      <c r="B9" s="851"/>
      <c r="C9" s="851"/>
      <c r="D9" s="851"/>
      <c r="E9" s="851"/>
      <c r="F9" s="851"/>
      <c r="G9" s="851"/>
      <c r="H9" s="851"/>
      <c r="I9" s="851"/>
      <c r="J9" s="851"/>
      <c r="K9" s="851"/>
      <c r="L9" s="851"/>
    </row>
    <row r="10" spans="1:12" ht="14.25">
      <c r="A10" s="850" t="s">
        <v>1797</v>
      </c>
      <c r="B10" s="851"/>
      <c r="C10" s="851"/>
      <c r="D10" s="851"/>
      <c r="E10" s="851"/>
      <c r="F10" s="851"/>
      <c r="G10" s="851"/>
      <c r="H10" s="851"/>
      <c r="I10" s="851"/>
      <c r="J10" s="851"/>
      <c r="K10" s="851"/>
      <c r="L10" s="851"/>
    </row>
    <row r="11" spans="1:12" ht="14.25">
      <c r="A11" s="850"/>
      <c r="B11" s="851"/>
      <c r="C11" s="851"/>
      <c r="D11" s="851"/>
      <c r="E11" s="851"/>
      <c r="F11" s="851"/>
      <c r="G11" s="851"/>
      <c r="H11" s="851"/>
      <c r="I11" s="851"/>
      <c r="J11" s="851"/>
      <c r="K11" s="851"/>
      <c r="L11" s="851"/>
    </row>
    <row r="12" spans="1:12" ht="14.25">
      <c r="A12" s="850" t="s">
        <v>1798</v>
      </c>
      <c r="B12" s="851"/>
      <c r="C12" s="851"/>
      <c r="D12" s="851"/>
      <c r="E12" s="851"/>
      <c r="F12" s="851"/>
      <c r="G12" s="851"/>
      <c r="H12" s="851"/>
      <c r="I12" s="851"/>
      <c r="J12" s="851"/>
      <c r="K12" s="851"/>
      <c r="L12" s="851"/>
    </row>
    <row r="14" spans="1:12">
      <c r="A14" s="99" t="s">
        <v>1795</v>
      </c>
    </row>
    <row r="16" spans="1:12">
      <c r="A16" s="99" t="s">
        <v>1799</v>
      </c>
    </row>
    <row r="18" spans="1:12">
      <c r="A18" s="99" t="s">
        <v>1800</v>
      </c>
    </row>
    <row r="20" spans="1:12">
      <c r="A20" s="159" t="s">
        <v>1801</v>
      </c>
    </row>
    <row r="22" spans="1:12" ht="14.25">
      <c r="A22" s="854" t="s">
        <v>1806</v>
      </c>
      <c r="B22" s="850"/>
      <c r="C22" s="850"/>
      <c r="D22" s="850"/>
      <c r="E22" s="850"/>
      <c r="F22" s="850"/>
      <c r="G22" s="850"/>
      <c r="H22" s="850"/>
      <c r="I22" s="850"/>
      <c r="J22" s="850"/>
      <c r="K22" s="850"/>
      <c r="L22" s="850"/>
    </row>
    <row r="23" spans="1:12">
      <c r="B23" s="99" t="s">
        <v>1802</v>
      </c>
      <c r="E23" s="99" t="s">
        <v>1803</v>
      </c>
    </row>
    <row r="24" spans="1:12">
      <c r="B24" s="99" t="s">
        <v>1804</v>
      </c>
      <c r="E24" s="99" t="s">
        <v>1805</v>
      </c>
    </row>
    <row r="27" spans="1:12">
      <c r="A27" s="99" t="s">
        <v>1804</v>
      </c>
    </row>
    <row r="28" spans="1:12" ht="12">
      <c r="A28" s="852" t="s">
        <v>1807</v>
      </c>
      <c r="B28" s="852"/>
      <c r="C28" s="852"/>
      <c r="D28" s="852"/>
      <c r="E28" s="852"/>
      <c r="F28" s="852"/>
      <c r="G28" s="852"/>
      <c r="H28" s="852"/>
      <c r="I28" s="852"/>
      <c r="J28" s="852"/>
      <c r="K28" s="852"/>
      <c r="L28" s="852"/>
    </row>
    <row r="30" spans="1:12">
      <c r="A30" s="99" t="s">
        <v>1805</v>
      </c>
    </row>
    <row r="31" spans="1:12" ht="13.5">
      <c r="A31" s="853" t="s">
        <v>1808</v>
      </c>
      <c r="B31" s="851"/>
      <c r="C31" s="851"/>
      <c r="D31" s="851"/>
      <c r="E31" s="851"/>
      <c r="F31" s="851"/>
      <c r="G31" s="851"/>
      <c r="H31" s="851"/>
      <c r="I31" s="851"/>
      <c r="J31" s="851"/>
      <c r="K31" s="851"/>
      <c r="L31" s="851"/>
    </row>
    <row r="40" spans="1:14">
      <c r="A40" s="135" t="s">
        <v>1809</v>
      </c>
      <c r="B40" s="135"/>
      <c r="C40" s="135"/>
      <c r="D40" s="135"/>
      <c r="E40" s="135"/>
      <c r="F40" s="135"/>
      <c r="G40" s="135"/>
      <c r="H40" s="135"/>
      <c r="I40" s="135"/>
      <c r="J40" s="135"/>
      <c r="K40" s="135"/>
      <c r="L40" s="135"/>
      <c r="M40" s="135"/>
      <c r="N40" s="135"/>
    </row>
    <row r="49" spans="1:13" ht="21">
      <c r="A49" s="856" t="s">
        <v>1810</v>
      </c>
    </row>
    <row r="50" spans="1:13">
      <c r="A50" s="99" t="s">
        <v>1811</v>
      </c>
    </row>
    <row r="51" spans="1:13" ht="12">
      <c r="A51" s="855" t="s">
        <v>1877</v>
      </c>
      <c r="B51" s="855"/>
      <c r="C51" s="855"/>
      <c r="D51" s="855"/>
      <c r="E51" s="855"/>
      <c r="F51" s="855"/>
      <c r="G51" s="855"/>
      <c r="H51" s="855"/>
      <c r="I51" s="855"/>
      <c r="J51" s="855"/>
      <c r="K51" s="855"/>
      <c r="L51" s="855"/>
      <c r="M51" s="855"/>
    </row>
    <row r="53" spans="1:13" ht="12" thickBot="1">
      <c r="A53" s="99" t="s">
        <v>1812</v>
      </c>
    </row>
    <row r="54" spans="1:13" ht="24">
      <c r="A54" s="858" t="s">
        <v>1813</v>
      </c>
      <c r="B54" s="859"/>
      <c r="C54" s="859"/>
      <c r="D54" s="859"/>
      <c r="E54" s="859"/>
      <c r="F54" s="859"/>
      <c r="G54" s="859"/>
      <c r="H54" s="769"/>
      <c r="I54" s="769"/>
      <c r="J54" s="769"/>
      <c r="K54" s="860"/>
    </row>
    <row r="55" spans="1:13" ht="24">
      <c r="A55" s="861" t="s">
        <v>1814</v>
      </c>
      <c r="B55" s="862"/>
      <c r="C55" s="862"/>
      <c r="D55" s="862"/>
      <c r="E55" s="862"/>
      <c r="F55" s="862"/>
      <c r="G55" s="862"/>
      <c r="H55" s="742"/>
      <c r="I55" s="742"/>
      <c r="J55" s="742"/>
      <c r="K55" s="743"/>
    </row>
    <row r="56" spans="1:13" ht="24.75" thickBot="1">
      <c r="A56" s="863" t="s">
        <v>1815</v>
      </c>
      <c r="B56" s="864"/>
      <c r="C56" s="864"/>
      <c r="D56" s="864"/>
      <c r="E56" s="864"/>
      <c r="F56" s="864"/>
      <c r="G56" s="864"/>
      <c r="H56" s="771"/>
      <c r="I56" s="771"/>
      <c r="J56" s="771"/>
      <c r="K56" s="865"/>
    </row>
    <row r="57" spans="1:13" ht="24">
      <c r="A57" s="857"/>
      <c r="B57" s="857"/>
      <c r="C57" s="857"/>
      <c r="D57" s="857"/>
      <c r="E57" s="857"/>
      <c r="F57" s="857"/>
      <c r="G57" s="857"/>
    </row>
    <row r="58" spans="1:13" ht="24">
      <c r="A58" s="857"/>
      <c r="B58" s="857"/>
      <c r="C58" s="857"/>
      <c r="D58" s="857"/>
      <c r="E58" s="857"/>
      <c r="F58" s="857"/>
      <c r="G58" s="857"/>
    </row>
    <row r="60" spans="1:13" ht="17.25">
      <c r="E60" s="103" t="s">
        <v>1816</v>
      </c>
    </row>
    <row r="66" spans="1:11" ht="12" thickBot="1"/>
    <row r="67" spans="1:11" ht="24">
      <c r="A67" s="858" t="s">
        <v>1817</v>
      </c>
      <c r="B67" s="769"/>
      <c r="C67" s="769"/>
      <c r="D67" s="769"/>
      <c r="E67" s="769"/>
      <c r="F67" s="769"/>
      <c r="G67" s="769"/>
      <c r="H67" s="769"/>
      <c r="I67" s="769"/>
      <c r="J67" s="769"/>
      <c r="K67" s="860"/>
    </row>
    <row r="68" spans="1:11" ht="24">
      <c r="A68" s="861" t="s">
        <v>1814</v>
      </c>
      <c r="B68" s="742"/>
      <c r="C68" s="742"/>
      <c r="D68" s="742"/>
      <c r="E68" s="742"/>
      <c r="F68" s="742"/>
      <c r="G68" s="742"/>
      <c r="H68" s="742"/>
      <c r="I68" s="742"/>
      <c r="J68" s="742"/>
      <c r="K68" s="743"/>
    </row>
    <row r="69" spans="1:11" ht="24.75" thickBot="1">
      <c r="A69" s="863" t="s">
        <v>1815</v>
      </c>
      <c r="B69" s="771"/>
      <c r="C69" s="771"/>
      <c r="D69" s="771"/>
      <c r="E69" s="771"/>
      <c r="F69" s="771"/>
      <c r="G69" s="771"/>
      <c r="H69" s="771"/>
      <c r="I69" s="771"/>
      <c r="J69" s="771"/>
      <c r="K69" s="865"/>
    </row>
    <row r="74" spans="1:11" s="626" customFormat="1"/>
    <row r="76" spans="1:11" ht="25.5">
      <c r="A76" s="628" t="s">
        <v>1818</v>
      </c>
    </row>
    <row r="78" spans="1:11">
      <c r="A78" s="99" t="s">
        <v>1819</v>
      </c>
    </row>
    <row r="80" spans="1:11">
      <c r="A80" s="99" t="s">
        <v>1820</v>
      </c>
    </row>
    <row r="81" spans="1:10">
      <c r="B81" s="99" t="s">
        <v>1821</v>
      </c>
    </row>
    <row r="82" spans="1:10">
      <c r="B82" s="99" t="s">
        <v>1822</v>
      </c>
    </row>
    <row r="83" spans="1:10">
      <c r="B83" s="99" t="s">
        <v>1823</v>
      </c>
    </row>
    <row r="85" spans="1:10">
      <c r="B85" s="99" t="s">
        <v>1824</v>
      </c>
    </row>
    <row r="86" spans="1:10">
      <c r="B86" s="99" t="s">
        <v>1825</v>
      </c>
    </row>
    <row r="87" spans="1:10">
      <c r="B87" s="99" t="s">
        <v>1823</v>
      </c>
    </row>
    <row r="89" spans="1:10" ht="12" thickBot="1"/>
    <row r="90" spans="1:10" ht="14.25">
      <c r="A90" s="866" t="s">
        <v>164</v>
      </c>
      <c r="B90" s="867"/>
      <c r="C90" s="867"/>
      <c r="D90" s="867"/>
      <c r="E90" s="867"/>
      <c r="F90" s="867"/>
      <c r="G90" s="867"/>
      <c r="H90" s="867"/>
      <c r="I90" s="867"/>
      <c r="J90" s="618"/>
    </row>
    <row r="91" spans="1:10" ht="14.25">
      <c r="A91" s="868" t="s">
        <v>1826</v>
      </c>
      <c r="B91" s="869"/>
      <c r="C91" s="869"/>
      <c r="D91" s="869"/>
      <c r="E91" s="869"/>
      <c r="F91" s="869"/>
      <c r="G91" s="869"/>
      <c r="H91" s="869"/>
      <c r="I91" s="869"/>
      <c r="J91" s="620"/>
    </row>
    <row r="92" spans="1:10" ht="15" thickBot="1">
      <c r="A92" s="870" t="s">
        <v>1827</v>
      </c>
      <c r="B92" s="871"/>
      <c r="C92" s="871"/>
      <c r="D92" s="871"/>
      <c r="E92" s="871"/>
      <c r="F92" s="871"/>
      <c r="G92" s="871"/>
      <c r="H92" s="871"/>
      <c r="I92" s="871"/>
      <c r="J92" s="623"/>
    </row>
    <row r="95" spans="1:10">
      <c r="A95" s="99" t="s">
        <v>1821</v>
      </c>
    </row>
    <row r="97" spans="1:11">
      <c r="B97" s="99" t="s">
        <v>1828</v>
      </c>
    </row>
    <row r="103" spans="1:11">
      <c r="F103" s="99" t="s">
        <v>1829</v>
      </c>
      <c r="G103" s="149" t="s">
        <v>1830</v>
      </c>
    </row>
    <row r="104" spans="1:11">
      <c r="A104" s="99">
        <v>1</v>
      </c>
      <c r="G104" s="149" t="s">
        <v>1831</v>
      </c>
    </row>
    <row r="112" spans="1:11">
      <c r="B112" s="851"/>
      <c r="C112" s="851"/>
      <c r="D112" s="851"/>
      <c r="E112" s="851"/>
      <c r="F112" s="851"/>
      <c r="G112" s="851"/>
      <c r="H112" s="851"/>
      <c r="I112" s="851"/>
      <c r="J112" s="851"/>
      <c r="K112" s="851"/>
    </row>
    <row r="113" spans="2:11">
      <c r="B113" s="851" t="s">
        <v>1832</v>
      </c>
      <c r="C113" s="851"/>
      <c r="D113" s="851"/>
      <c r="E113" s="851"/>
      <c r="F113" s="851"/>
      <c r="G113" s="851"/>
      <c r="H113" s="851"/>
      <c r="I113" s="851"/>
      <c r="J113" s="851"/>
      <c r="K113" s="851"/>
    </row>
    <row r="114" spans="2:11">
      <c r="B114" s="851"/>
      <c r="C114" s="851"/>
      <c r="D114" s="851"/>
      <c r="E114" s="851"/>
      <c r="F114" s="851"/>
      <c r="G114" s="851"/>
      <c r="H114" s="851"/>
      <c r="I114" s="851"/>
      <c r="J114" s="851"/>
      <c r="K114" s="851"/>
    </row>
    <row r="115" spans="2:11">
      <c r="B115" s="851" t="s">
        <v>1833</v>
      </c>
      <c r="C115" s="851"/>
      <c r="D115" s="851"/>
      <c r="E115" s="851"/>
      <c r="F115" s="851"/>
      <c r="G115" s="851"/>
      <c r="H115" s="851"/>
      <c r="I115" s="851"/>
      <c r="J115" s="851"/>
      <c r="K115" s="851"/>
    </row>
    <row r="116" spans="2:11">
      <c r="B116" s="851"/>
      <c r="C116" s="872" t="s">
        <v>1834</v>
      </c>
      <c r="D116" s="851"/>
      <c r="E116" s="851"/>
      <c r="F116" s="851"/>
      <c r="G116" s="851"/>
      <c r="H116" s="851"/>
      <c r="I116" s="851"/>
      <c r="J116" s="851"/>
      <c r="K116" s="851"/>
    </row>
    <row r="117" spans="2:11">
      <c r="B117" s="851"/>
      <c r="C117" s="872" t="s">
        <v>1835</v>
      </c>
      <c r="D117" s="851"/>
      <c r="E117" s="851"/>
      <c r="F117" s="851"/>
      <c r="G117" s="851"/>
      <c r="H117" s="851"/>
      <c r="I117" s="851"/>
      <c r="J117" s="851"/>
      <c r="K117" s="851"/>
    </row>
    <row r="118" spans="2:11">
      <c r="B118" s="851"/>
      <c r="C118" s="872" t="s">
        <v>1836</v>
      </c>
      <c r="D118" s="851"/>
      <c r="E118" s="851"/>
      <c r="F118" s="851"/>
      <c r="G118" s="851"/>
      <c r="H118" s="851"/>
      <c r="I118" s="851"/>
      <c r="J118" s="851"/>
      <c r="K118" s="851"/>
    </row>
    <row r="119" spans="2:11">
      <c r="B119" s="851"/>
      <c r="C119" s="872" t="s">
        <v>1844</v>
      </c>
      <c r="D119" s="851"/>
      <c r="E119" s="851"/>
      <c r="F119" s="851"/>
      <c r="G119" s="851"/>
      <c r="H119" s="851"/>
      <c r="I119" s="851"/>
      <c r="J119" s="851"/>
      <c r="K119" s="851"/>
    </row>
    <row r="120" spans="2:11">
      <c r="B120" s="851"/>
      <c r="C120" s="851"/>
      <c r="D120" s="851"/>
      <c r="E120" s="851"/>
      <c r="F120" s="851"/>
      <c r="G120" s="851"/>
      <c r="H120" s="851"/>
      <c r="I120" s="851"/>
      <c r="J120" s="851"/>
      <c r="K120" s="851"/>
    </row>
    <row r="121" spans="2:11">
      <c r="B121" s="851" t="s">
        <v>1837</v>
      </c>
      <c r="C121" s="851"/>
      <c r="D121" s="851"/>
      <c r="E121" s="851"/>
      <c r="F121" s="851"/>
      <c r="G121" s="851"/>
      <c r="H121" s="851"/>
      <c r="I121" s="851"/>
      <c r="J121" s="851"/>
      <c r="K121" s="851"/>
    </row>
    <row r="122" spans="2:11">
      <c r="B122" s="851" t="s">
        <v>1838</v>
      </c>
      <c r="C122" s="851" t="s">
        <v>1841</v>
      </c>
      <c r="D122" s="851"/>
      <c r="E122" s="851"/>
      <c r="F122" s="851"/>
      <c r="G122" s="851"/>
      <c r="H122" s="851"/>
      <c r="I122" s="851"/>
      <c r="J122" s="851"/>
      <c r="K122" s="851"/>
    </row>
    <row r="123" spans="2:11">
      <c r="B123" s="851" t="s">
        <v>1839</v>
      </c>
      <c r="C123" s="851" t="s">
        <v>1840</v>
      </c>
      <c r="D123" s="851"/>
      <c r="E123" s="851"/>
      <c r="F123" s="851"/>
      <c r="G123" s="851"/>
      <c r="H123" s="851"/>
      <c r="I123" s="851"/>
      <c r="J123" s="851"/>
      <c r="K123" s="851"/>
    </row>
    <row r="124" spans="2:11">
      <c r="B124" s="851"/>
      <c r="C124" s="851"/>
      <c r="D124" s="851"/>
      <c r="E124" s="851"/>
      <c r="F124" s="851"/>
      <c r="G124" s="851"/>
      <c r="H124" s="851"/>
      <c r="I124" s="851"/>
      <c r="J124" s="851"/>
      <c r="K124" s="851"/>
    </row>
    <row r="125" spans="2:11">
      <c r="B125" s="851" t="s">
        <v>1842</v>
      </c>
      <c r="C125" s="851"/>
      <c r="D125" s="851"/>
      <c r="E125" s="851"/>
      <c r="F125" s="851"/>
      <c r="G125" s="851"/>
      <c r="H125" s="851"/>
      <c r="I125" s="851"/>
      <c r="J125" s="851"/>
      <c r="K125" s="851"/>
    </row>
    <row r="126" spans="2:11">
      <c r="B126" s="851" t="s">
        <v>1843</v>
      </c>
      <c r="C126" s="851"/>
      <c r="D126" s="851"/>
      <c r="E126" s="851"/>
      <c r="F126" s="851"/>
      <c r="G126" s="851"/>
      <c r="H126" s="851"/>
      <c r="I126" s="851"/>
      <c r="J126" s="851"/>
      <c r="K126" s="851"/>
    </row>
    <row r="127" spans="2:11">
      <c r="B127" s="851"/>
      <c r="C127" s="851"/>
      <c r="D127" s="851"/>
      <c r="E127" s="851"/>
      <c r="F127" s="851"/>
      <c r="G127" s="851"/>
      <c r="H127" s="851"/>
      <c r="I127" s="851"/>
      <c r="J127" s="851"/>
      <c r="K127" s="851"/>
    </row>
    <row r="128" spans="2:11">
      <c r="B128" s="851"/>
      <c r="C128" s="851"/>
      <c r="D128" s="851"/>
      <c r="E128" s="851"/>
      <c r="F128" s="851"/>
      <c r="G128" s="851"/>
      <c r="H128" s="851"/>
      <c r="I128" s="851"/>
      <c r="J128" s="851"/>
      <c r="K128" s="851"/>
    </row>
    <row r="129" spans="1:11">
      <c r="B129" s="851" t="s">
        <v>1845</v>
      </c>
      <c r="C129" s="851"/>
      <c r="D129" s="851"/>
      <c r="E129" s="851"/>
      <c r="F129" s="851"/>
      <c r="G129" s="851"/>
      <c r="H129" s="851"/>
      <c r="I129" s="851"/>
      <c r="J129" s="851"/>
      <c r="K129" s="851"/>
    </row>
    <row r="130" spans="1:11">
      <c r="B130" s="851" t="s">
        <v>1846</v>
      </c>
      <c r="C130" s="851"/>
      <c r="D130" s="851"/>
      <c r="E130" s="851"/>
      <c r="F130" s="851"/>
      <c r="G130" s="851"/>
      <c r="H130" s="851"/>
      <c r="I130" s="851"/>
      <c r="J130" s="851"/>
      <c r="K130" s="851"/>
    </row>
    <row r="131" spans="1:11">
      <c r="B131" s="851" t="s">
        <v>1847</v>
      </c>
      <c r="C131" s="851"/>
      <c r="D131" s="851"/>
      <c r="E131" s="851"/>
      <c r="F131" s="851"/>
      <c r="G131" s="851"/>
      <c r="H131" s="851"/>
      <c r="I131" s="851"/>
      <c r="J131" s="851"/>
      <c r="K131" s="851"/>
    </row>
    <row r="132" spans="1:11">
      <c r="B132" s="851" t="s">
        <v>1849</v>
      </c>
      <c r="C132" s="851"/>
      <c r="D132" s="851"/>
      <c r="E132" s="851"/>
      <c r="F132" s="851"/>
      <c r="G132" s="851"/>
      <c r="H132" s="851"/>
      <c r="I132" s="851"/>
      <c r="J132" s="851"/>
      <c r="K132" s="851"/>
    </row>
    <row r="133" spans="1:11">
      <c r="B133" s="851"/>
      <c r="C133" s="851"/>
      <c r="D133" s="851"/>
      <c r="E133" s="851"/>
      <c r="F133" s="851"/>
      <c r="G133" s="851"/>
      <c r="H133" s="851"/>
      <c r="I133" s="851"/>
      <c r="J133" s="851"/>
      <c r="K133" s="851"/>
    </row>
    <row r="134" spans="1:11">
      <c r="B134" s="851" t="s">
        <v>1848</v>
      </c>
      <c r="C134" s="851"/>
      <c r="D134" s="851"/>
      <c r="E134" s="851"/>
      <c r="F134" s="851"/>
      <c r="G134" s="851"/>
      <c r="H134" s="851"/>
      <c r="I134" s="851"/>
      <c r="J134" s="851"/>
      <c r="K134" s="851"/>
    </row>
    <row r="135" spans="1:11">
      <c r="B135" s="851" t="s">
        <v>1850</v>
      </c>
      <c r="C135" s="851"/>
      <c r="D135" s="851"/>
      <c r="E135" s="851"/>
      <c r="F135" s="851"/>
      <c r="G135" s="851"/>
      <c r="H135" s="851"/>
      <c r="I135" s="851"/>
      <c r="J135" s="851"/>
      <c r="K135" s="851"/>
    </row>
    <row r="142" spans="1:11">
      <c r="A142" s="99" t="s">
        <v>1824</v>
      </c>
    </row>
    <row r="144" spans="1:11">
      <c r="B144" s="99" t="s">
        <v>1828</v>
      </c>
    </row>
    <row r="150" spans="1:7">
      <c r="F150" s="99" t="s">
        <v>1829</v>
      </c>
      <c r="G150" s="149" t="s">
        <v>1830</v>
      </c>
    </row>
    <row r="151" spans="1:7">
      <c r="A151" s="160" t="s">
        <v>1851</v>
      </c>
      <c r="G151" s="149" t="s">
        <v>1852</v>
      </c>
    </row>
    <row r="159" spans="1:7">
      <c r="B159" s="99" t="s">
        <v>1853</v>
      </c>
    </row>
    <row r="160" spans="1:7">
      <c r="B160" s="99" t="s">
        <v>1854</v>
      </c>
    </row>
    <row r="162" spans="2:10">
      <c r="B162" s="99" t="s">
        <v>1855</v>
      </c>
    </row>
    <row r="171" spans="2:10">
      <c r="B171" s="99" t="s">
        <v>1828</v>
      </c>
      <c r="F171" s="99" t="s">
        <v>1828</v>
      </c>
      <c r="J171" s="99" t="s">
        <v>1828</v>
      </c>
    </row>
    <row r="178" spans="1:9">
      <c r="A178" s="160" t="s">
        <v>1851</v>
      </c>
      <c r="E178" s="160" t="s">
        <v>1851</v>
      </c>
      <c r="I178" s="160" t="s">
        <v>1851</v>
      </c>
    </row>
    <row r="200" spans="2:8" ht="24">
      <c r="B200" s="98" t="s">
        <v>1859</v>
      </c>
    </row>
    <row r="201" spans="2:8">
      <c r="B201" s="851" t="s">
        <v>1856</v>
      </c>
      <c r="C201" s="851"/>
      <c r="D201" s="851"/>
      <c r="E201" s="851"/>
      <c r="F201" s="851"/>
      <c r="G201" s="851"/>
      <c r="H201" s="851"/>
    </row>
    <row r="202" spans="2:8">
      <c r="B202" s="851" t="s">
        <v>1857</v>
      </c>
      <c r="C202" s="851"/>
      <c r="D202" s="851"/>
      <c r="E202" s="851"/>
      <c r="F202" s="851"/>
      <c r="G202" s="851"/>
      <c r="H202" s="851"/>
    </row>
    <row r="203" spans="2:8">
      <c r="B203" s="851" t="s">
        <v>1858</v>
      </c>
      <c r="C203" s="851"/>
      <c r="D203" s="851"/>
      <c r="E203" s="851"/>
      <c r="F203" s="851"/>
      <c r="G203" s="851"/>
      <c r="H203" s="851"/>
    </row>
    <row r="206" spans="2:8">
      <c r="B206" s="99" t="s">
        <v>1860</v>
      </c>
    </row>
    <row r="207" spans="2:8">
      <c r="B207" s="99" t="s">
        <v>1861</v>
      </c>
    </row>
    <row r="209" spans="1:12" ht="12" thickBot="1"/>
    <row r="210" spans="1:12" ht="24">
      <c r="B210" s="858" t="s">
        <v>1862</v>
      </c>
      <c r="C210" s="859"/>
      <c r="D210" s="859"/>
      <c r="E210" s="859"/>
      <c r="F210" s="859"/>
      <c r="G210" s="859"/>
      <c r="H210" s="859"/>
      <c r="I210" s="769"/>
      <c r="J210" s="769"/>
      <c r="K210" s="769"/>
      <c r="L210" s="860"/>
    </row>
    <row r="211" spans="1:12" ht="24">
      <c r="B211" s="861"/>
      <c r="C211" s="879" t="s">
        <v>1863</v>
      </c>
      <c r="D211" s="862"/>
      <c r="E211" s="862"/>
      <c r="F211" s="862"/>
      <c r="G211" s="879" t="s">
        <v>1865</v>
      </c>
      <c r="H211" s="862"/>
      <c r="I211" s="742"/>
      <c r="J211" s="742"/>
      <c r="K211" s="742"/>
      <c r="L211" s="743"/>
    </row>
    <row r="212" spans="1:12" ht="24.75" thickBot="1">
      <c r="B212" s="863"/>
      <c r="C212" s="880" t="s">
        <v>1864</v>
      </c>
      <c r="D212" s="864"/>
      <c r="E212" s="864"/>
      <c r="F212" s="864"/>
      <c r="G212" s="880" t="s">
        <v>1864</v>
      </c>
      <c r="H212" s="864"/>
      <c r="I212" s="771"/>
      <c r="J212" s="771"/>
      <c r="K212" s="771"/>
      <c r="L212" s="865"/>
    </row>
    <row r="217" spans="1:12" ht="12" thickBot="1"/>
    <row r="218" spans="1:12" ht="14.25">
      <c r="A218" s="866" t="s">
        <v>1866</v>
      </c>
      <c r="B218" s="867"/>
      <c r="C218" s="867"/>
      <c r="D218" s="867"/>
      <c r="E218" s="867"/>
      <c r="F218" s="867"/>
      <c r="G218" s="867"/>
      <c r="H218" s="867"/>
      <c r="I218" s="867"/>
      <c r="J218" s="618"/>
    </row>
    <row r="219" spans="1:12" ht="14.25">
      <c r="A219" s="619" t="s">
        <v>1867</v>
      </c>
      <c r="B219" s="869"/>
      <c r="C219" s="869"/>
      <c r="D219" s="869"/>
      <c r="E219" s="869"/>
      <c r="F219" s="869"/>
      <c r="G219" s="869"/>
      <c r="H219" s="869"/>
      <c r="I219" s="869"/>
      <c r="J219" s="620"/>
    </row>
    <row r="220" spans="1:12" ht="15" thickBot="1">
      <c r="A220" s="621" t="s">
        <v>1868</v>
      </c>
      <c r="B220" s="871"/>
      <c r="C220" s="871"/>
      <c r="D220" s="871"/>
      <c r="E220" s="871"/>
      <c r="F220" s="871"/>
      <c r="G220" s="871"/>
      <c r="H220" s="871"/>
      <c r="I220" s="871"/>
      <c r="J220" s="623"/>
    </row>
    <row r="222" spans="1:12">
      <c r="A222" s="99" t="s">
        <v>1869</v>
      </c>
    </row>
    <row r="223" spans="1:12">
      <c r="B223" s="99" t="s">
        <v>1828</v>
      </c>
    </row>
    <row r="229" spans="1:7">
      <c r="G229" s="149"/>
    </row>
    <row r="230" spans="1:7">
      <c r="A230" s="160">
        <v>1</v>
      </c>
      <c r="G230" s="149"/>
    </row>
    <row r="231" spans="1:7">
      <c r="G231" s="149"/>
    </row>
    <row r="236" spans="1:7">
      <c r="C236" s="99" t="s">
        <v>1870</v>
      </c>
      <c r="D236" s="99" t="s">
        <v>1871</v>
      </c>
    </row>
    <row r="238" spans="1:7">
      <c r="B238" s="99" t="s">
        <v>1872</v>
      </c>
    </row>
    <row r="241" spans="1:13">
      <c r="B241" s="851" t="s">
        <v>1873</v>
      </c>
      <c r="C241" s="851"/>
      <c r="D241" s="851"/>
      <c r="E241" s="851"/>
      <c r="F241" s="851"/>
      <c r="G241" s="851"/>
      <c r="H241" s="851"/>
      <c r="I241" s="851"/>
      <c r="J241" s="851"/>
      <c r="K241" s="851"/>
      <c r="L241" s="851"/>
      <c r="M241" s="851"/>
    </row>
    <row r="242" spans="1:13">
      <c r="B242" s="881" t="s">
        <v>1874</v>
      </c>
      <c r="C242" s="851"/>
      <c r="D242" s="851"/>
      <c r="E242" s="851"/>
      <c r="F242" s="851"/>
      <c r="G242" s="851"/>
      <c r="H242" s="851"/>
      <c r="I242" s="851"/>
      <c r="J242" s="851"/>
      <c r="K242" s="851"/>
      <c r="L242" s="851"/>
      <c r="M242" s="851"/>
    </row>
    <row r="246" spans="1:13">
      <c r="A246" s="99" t="s">
        <v>1875</v>
      </c>
    </row>
    <row r="247" spans="1:13">
      <c r="B247" s="99" t="s">
        <v>1828</v>
      </c>
    </row>
    <row r="253" spans="1:13">
      <c r="G253" s="149"/>
    </row>
    <row r="254" spans="1:13">
      <c r="A254" s="160" t="s">
        <v>1876</v>
      </c>
      <c r="G254" s="149"/>
    </row>
    <row r="255" spans="1:13">
      <c r="G255" s="149"/>
    </row>
    <row r="260" spans="2:14">
      <c r="C260" s="99" t="s">
        <v>1870</v>
      </c>
      <c r="D260" s="99" t="s">
        <v>1871</v>
      </c>
    </row>
    <row r="262" spans="2:14">
      <c r="B262" s="99" t="s">
        <v>1884</v>
      </c>
    </row>
    <row r="264" spans="2:14">
      <c r="B264" s="851" t="s">
        <v>1878</v>
      </c>
      <c r="C264" s="851"/>
      <c r="D264" s="851"/>
      <c r="E264" s="851"/>
      <c r="F264" s="851"/>
      <c r="G264" s="851"/>
      <c r="H264" s="851"/>
      <c r="I264" s="851"/>
      <c r="J264" s="851"/>
      <c r="K264" s="851"/>
      <c r="L264" s="851"/>
      <c r="M264" s="851"/>
      <c r="N264" s="851"/>
    </row>
    <row r="265" spans="2:14">
      <c r="B265" s="851" t="s">
        <v>1879</v>
      </c>
      <c r="C265" s="851"/>
      <c r="D265" s="851"/>
      <c r="E265" s="851"/>
      <c r="F265" s="851"/>
      <c r="G265" s="851"/>
      <c r="H265" s="851"/>
      <c r="I265" s="851"/>
      <c r="J265" s="851"/>
      <c r="K265" s="851"/>
      <c r="L265" s="851"/>
      <c r="M265" s="851"/>
      <c r="N265" s="851"/>
    </row>
    <row r="266" spans="2:14">
      <c r="B266" s="851" t="s">
        <v>1880</v>
      </c>
      <c r="C266" s="851"/>
      <c r="D266" s="851"/>
      <c r="E266" s="851"/>
      <c r="F266" s="851"/>
      <c r="G266" s="851"/>
      <c r="H266" s="851"/>
      <c r="I266" s="851"/>
      <c r="J266" s="851"/>
      <c r="K266" s="851"/>
      <c r="L266" s="851"/>
      <c r="M266" s="851"/>
      <c r="N266" s="851"/>
    </row>
    <row r="267" spans="2:14">
      <c r="B267" s="851" t="s">
        <v>1881</v>
      </c>
      <c r="C267" s="851"/>
      <c r="D267" s="851"/>
      <c r="E267" s="851"/>
      <c r="F267" s="851"/>
      <c r="G267" s="851"/>
      <c r="H267" s="851"/>
      <c r="I267" s="851"/>
      <c r="J267" s="851"/>
      <c r="K267" s="851"/>
      <c r="L267" s="851"/>
      <c r="M267" s="851"/>
      <c r="N267" s="851"/>
    </row>
    <row r="268" spans="2:14">
      <c r="B268" s="851" t="s">
        <v>1878</v>
      </c>
      <c r="C268" s="851"/>
      <c r="D268" s="851"/>
      <c r="E268" s="851"/>
      <c r="F268" s="851"/>
      <c r="G268" s="851"/>
      <c r="H268" s="851"/>
      <c r="I268" s="851"/>
      <c r="J268" s="851"/>
      <c r="K268" s="851"/>
      <c r="L268" s="851"/>
      <c r="M268" s="851"/>
      <c r="N268" s="851"/>
    </row>
    <row r="269" spans="2:14">
      <c r="B269" s="851" t="s">
        <v>1882</v>
      </c>
      <c r="C269" s="851"/>
      <c r="D269" s="851"/>
      <c r="E269" s="851"/>
      <c r="F269" s="851"/>
      <c r="G269" s="851"/>
      <c r="H269" s="851"/>
      <c r="I269" s="851"/>
      <c r="J269" s="851"/>
      <c r="K269" s="851"/>
      <c r="L269" s="851"/>
      <c r="M269" s="851"/>
      <c r="N269" s="851"/>
    </row>
    <row r="270" spans="2:14">
      <c r="B270" s="851" t="s">
        <v>1883</v>
      </c>
      <c r="C270" s="851"/>
      <c r="D270" s="851"/>
      <c r="E270" s="851"/>
      <c r="F270" s="851"/>
      <c r="G270" s="851"/>
      <c r="H270" s="851"/>
      <c r="I270" s="851"/>
      <c r="J270" s="851"/>
      <c r="K270" s="851"/>
      <c r="L270" s="851"/>
      <c r="M270" s="851"/>
      <c r="N270" s="851"/>
    </row>
    <row r="271" spans="2:14">
      <c r="B271" s="851"/>
      <c r="C271" s="851"/>
      <c r="D271" s="851"/>
      <c r="E271" s="851"/>
      <c r="F271" s="851"/>
      <c r="G271" s="851"/>
      <c r="H271" s="851"/>
      <c r="I271" s="851"/>
      <c r="J271" s="851"/>
      <c r="K271" s="851"/>
      <c r="L271" s="851"/>
      <c r="M271" s="851"/>
      <c r="N271" s="851"/>
    </row>
  </sheetData>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O267"/>
  <sheetViews>
    <sheetView topLeftCell="A242" zoomScale="85" zoomScaleNormal="85" workbookViewId="0">
      <selection activeCell="C270" sqref="C270"/>
    </sheetView>
  </sheetViews>
  <sheetFormatPr defaultRowHeight="13.5"/>
  <cols>
    <col min="1" max="13" width="15.625" customWidth="1"/>
  </cols>
  <sheetData>
    <row r="1" spans="1:6" ht="18.75">
      <c r="A1" s="134" t="s">
        <v>224</v>
      </c>
      <c r="B1" s="99"/>
      <c r="C1" s="99"/>
      <c r="D1" s="99"/>
      <c r="E1" s="99"/>
      <c r="F1" s="99"/>
    </row>
    <row r="2" spans="1:6">
      <c r="A2" s="101" t="s">
        <v>215</v>
      </c>
      <c r="B2" s="101" t="s">
        <v>213</v>
      </c>
      <c r="C2" s="101" t="s">
        <v>209</v>
      </c>
      <c r="D2" s="101" t="s">
        <v>211</v>
      </c>
      <c r="E2" s="102" t="s">
        <v>212</v>
      </c>
      <c r="F2" s="99"/>
    </row>
    <row r="3" spans="1:6">
      <c r="A3" s="105">
        <v>100000000</v>
      </c>
      <c r="B3" s="106">
        <f>150/365</f>
        <v>0.41095890410958902</v>
      </c>
      <c r="C3" s="107">
        <v>7.7999999999999996E-3</v>
      </c>
      <c r="D3" s="106">
        <v>365</v>
      </c>
      <c r="E3" s="190">
        <f>A3 * ( (1+C3/D3)^(B3*D3) )</f>
        <v>100321058.81353395</v>
      </c>
      <c r="F3" s="99" t="s">
        <v>294</v>
      </c>
    </row>
    <row r="4" spans="1:6">
      <c r="A4" s="105">
        <v>100000000</v>
      </c>
      <c r="B4" s="106">
        <f>150/365</f>
        <v>0.41095890410958902</v>
      </c>
      <c r="C4" s="107">
        <v>7.7999999999999996E-3</v>
      </c>
      <c r="D4" s="106">
        <f>24*3600*365</f>
        <v>31536000</v>
      </c>
      <c r="E4" s="190">
        <f>A4 * ( (1+C4/D4)^(B4*D4) )</f>
        <v>100321062.24214059</v>
      </c>
      <c r="F4" s="99" t="s">
        <v>10</v>
      </c>
    </row>
    <row r="5" spans="1:6">
      <c r="A5" s="105"/>
      <c r="B5" s="106"/>
      <c r="C5" s="107"/>
      <c r="D5" s="106"/>
      <c r="E5" s="116" t="e">
        <f>A5 * ( (1+C5/D5)^(B5*D5) )</f>
        <v>#DIV/0!</v>
      </c>
      <c r="F5" s="99"/>
    </row>
    <row r="6" spans="1:6">
      <c r="A6" s="99"/>
      <c r="B6" s="99"/>
      <c r="C6" s="99"/>
      <c r="D6" s="99"/>
      <c r="E6" s="115" t="s">
        <v>214</v>
      </c>
      <c r="F6" s="99"/>
    </row>
    <row r="7" spans="1:6">
      <c r="A7" s="99"/>
      <c r="B7" s="99"/>
      <c r="C7" s="99"/>
      <c r="D7" s="99"/>
      <c r="E7" s="99"/>
      <c r="F7" s="99"/>
    </row>
    <row r="8" spans="1:6">
      <c r="A8" s="99"/>
      <c r="B8" s="99"/>
      <c r="C8" s="99"/>
      <c r="D8" s="99"/>
      <c r="E8" s="99"/>
      <c r="F8" s="99"/>
    </row>
    <row r="9" spans="1:6">
      <c r="A9" s="99"/>
      <c r="B9" s="99"/>
      <c r="C9" s="99"/>
      <c r="D9" s="99"/>
      <c r="E9" s="99"/>
      <c r="F9" s="99"/>
    </row>
    <row r="10" spans="1:6" ht="18.75">
      <c r="A10" s="134" t="s">
        <v>225</v>
      </c>
      <c r="B10" s="99"/>
      <c r="C10" s="99"/>
      <c r="D10" s="99"/>
      <c r="E10" s="99"/>
      <c r="F10" s="99"/>
    </row>
    <row r="11" spans="1:6">
      <c r="A11" s="101" t="s">
        <v>215</v>
      </c>
      <c r="B11" s="101" t="s">
        <v>213</v>
      </c>
      <c r="C11" s="101" t="s">
        <v>209</v>
      </c>
      <c r="D11" s="102" t="s">
        <v>212</v>
      </c>
      <c r="E11" s="99"/>
      <c r="F11" s="99"/>
    </row>
    <row r="12" spans="1:6">
      <c r="A12" s="105">
        <v>100000000</v>
      </c>
      <c r="B12" s="106">
        <f>150/365</f>
        <v>0.41095890410958902</v>
      </c>
      <c r="C12" s="107">
        <v>7.7999999999999996E-3</v>
      </c>
      <c r="D12" s="190">
        <f>A12 * EXP(B12*C12)</f>
        <v>100321062.24951516</v>
      </c>
      <c r="E12" s="99" t="s">
        <v>16</v>
      </c>
      <c r="F12" s="99"/>
    </row>
    <row r="13" spans="1:6">
      <c r="A13" s="105"/>
      <c r="B13" s="106"/>
      <c r="C13" s="107"/>
      <c r="D13" s="116">
        <f>A13 * EXP(B13*C13)</f>
        <v>0</v>
      </c>
      <c r="E13" s="99"/>
      <c r="F13" s="99"/>
    </row>
    <row r="14" spans="1:6">
      <c r="A14" s="99"/>
      <c r="B14" s="99"/>
      <c r="C14" s="99"/>
      <c r="D14" s="117" t="s">
        <v>216</v>
      </c>
      <c r="E14" s="99"/>
      <c r="F14" s="99"/>
    </row>
    <row r="18" spans="1:10" ht="17.25">
      <c r="A18" s="10" t="s">
        <v>231</v>
      </c>
      <c r="B18" s="99"/>
      <c r="C18" s="99"/>
      <c r="D18" s="99"/>
      <c r="E18" s="99"/>
      <c r="F18" s="99"/>
      <c r="G18" s="10" t="s">
        <v>47</v>
      </c>
      <c r="H18" s="99"/>
      <c r="I18" s="99"/>
      <c r="J18" s="99"/>
    </row>
    <row r="19" spans="1:10">
      <c r="A19" s="100" t="s">
        <v>232</v>
      </c>
      <c r="B19" s="99"/>
      <c r="C19" s="99"/>
      <c r="D19" s="99"/>
      <c r="E19" s="99"/>
      <c r="F19" s="99"/>
      <c r="G19" s="99"/>
      <c r="H19" s="99"/>
      <c r="I19" s="99"/>
      <c r="J19" s="99"/>
    </row>
    <row r="20" spans="1:10">
      <c r="A20" s="145" t="s">
        <v>27</v>
      </c>
      <c r="B20" s="9" t="s">
        <v>4</v>
      </c>
      <c r="C20" s="25" t="s">
        <v>30</v>
      </c>
      <c r="D20" s="13" t="s">
        <v>47</v>
      </c>
      <c r="E20" s="99"/>
      <c r="F20" s="99"/>
      <c r="G20" t="s">
        <v>48</v>
      </c>
    </row>
    <row r="21" spans="1:10">
      <c r="A21" s="193">
        <v>98.97</v>
      </c>
      <c r="B21" s="194">
        <v>1.5</v>
      </c>
      <c r="C21" s="194">
        <v>2</v>
      </c>
      <c r="D21" s="195">
        <f t="shared" ref="D21:D32" si="0">( (100/A21) ^ ( 1/(C21*B21) )  - 1 ) * C21</f>
        <v>6.9141987819838491E-3</v>
      </c>
      <c r="E21" s="99"/>
      <c r="F21" s="99"/>
      <c r="G21" s="1" t="s">
        <v>50</v>
      </c>
      <c r="H21" s="2"/>
      <c r="I21" s="3"/>
      <c r="J21" s="99"/>
    </row>
    <row r="22" spans="1:10">
      <c r="A22" s="198">
        <v>98.97</v>
      </c>
      <c r="B22" s="146">
        <v>1.5</v>
      </c>
      <c r="C22" s="146">
        <v>4</v>
      </c>
      <c r="D22" s="199">
        <f t="shared" si="0"/>
        <v>6.9082333210319646E-3</v>
      </c>
      <c r="E22" s="99"/>
      <c r="F22" s="99"/>
      <c r="G22" s="4" t="s">
        <v>295</v>
      </c>
      <c r="H22" s="5"/>
      <c r="I22" s="6"/>
    </row>
    <row r="23" spans="1:10">
      <c r="A23" s="34">
        <v>98.97</v>
      </c>
      <c r="B23" s="8">
        <v>1.5</v>
      </c>
      <c r="C23" s="8">
        <v>365</v>
      </c>
      <c r="D23" s="192">
        <f t="shared" si="0"/>
        <v>6.9023399822421005E-3</v>
      </c>
      <c r="E23" s="99"/>
      <c r="F23" s="99"/>
      <c r="G23" s="99"/>
      <c r="H23" s="99"/>
      <c r="I23" s="99"/>
      <c r="J23" s="99"/>
    </row>
    <row r="24" spans="1:10">
      <c r="A24" s="34">
        <v>98.97</v>
      </c>
      <c r="B24" s="8">
        <v>1.5</v>
      </c>
      <c r="C24" s="8">
        <f>24*3600*365</f>
        <v>31536000</v>
      </c>
      <c r="D24" s="192">
        <f t="shared" si="0"/>
        <v>6.9022713624633525E-3</v>
      </c>
      <c r="E24" s="99"/>
      <c r="F24" s="99"/>
      <c r="G24" s="1" t="s">
        <v>50</v>
      </c>
      <c r="H24" s="2"/>
      <c r="I24" s="3"/>
      <c r="J24" s="99"/>
    </row>
    <row r="25" spans="1:10">
      <c r="A25" s="193">
        <v>98.43</v>
      </c>
      <c r="B25" s="194">
        <v>2</v>
      </c>
      <c r="C25" s="194">
        <v>2</v>
      </c>
      <c r="D25" s="195">
        <f t="shared" si="0"/>
        <v>7.9279468577220236E-3</v>
      </c>
      <c r="E25" s="99"/>
      <c r="F25" s="99"/>
      <c r="G25" s="4" t="s">
        <v>295</v>
      </c>
      <c r="H25" s="5"/>
      <c r="I25" s="6"/>
    </row>
    <row r="26" spans="1:10">
      <c r="A26" s="198">
        <v>98.43</v>
      </c>
      <c r="B26" s="146">
        <v>2</v>
      </c>
      <c r="C26" s="146">
        <v>4</v>
      </c>
      <c r="D26" s="199">
        <f t="shared" si="0"/>
        <v>7.92010584814129E-3</v>
      </c>
      <c r="E26" s="99"/>
      <c r="F26" s="99"/>
      <c r="G26" s="99"/>
      <c r="H26" s="99"/>
      <c r="I26" s="99"/>
      <c r="J26" s="99"/>
    </row>
    <row r="27" spans="1:10">
      <c r="A27" s="34">
        <v>98.43</v>
      </c>
      <c r="B27" s="8">
        <v>2</v>
      </c>
      <c r="C27" s="8">
        <v>365</v>
      </c>
      <c r="D27" s="192">
        <f t="shared" si="0"/>
        <v>7.9123609331721578E-3</v>
      </c>
      <c r="E27" s="99"/>
      <c r="F27" s="99"/>
      <c r="G27" s="1" t="s">
        <v>50</v>
      </c>
      <c r="H27" s="2"/>
      <c r="I27" s="3"/>
      <c r="J27" s="99"/>
    </row>
    <row r="28" spans="1:10">
      <c r="A28" s="34">
        <v>98.43</v>
      </c>
      <c r="B28" s="8">
        <v>2</v>
      </c>
      <c r="C28" s="8">
        <f>24*3600*365</f>
        <v>31536000</v>
      </c>
      <c r="D28" s="192">
        <f t="shared" si="0"/>
        <v>7.9122763381178629E-3</v>
      </c>
      <c r="E28" s="99"/>
      <c r="F28" s="99"/>
      <c r="G28" s="4" t="s">
        <v>295</v>
      </c>
      <c r="H28" s="5"/>
      <c r="I28" s="6"/>
    </row>
    <row r="29" spans="1:10">
      <c r="A29" s="34">
        <v>97.95</v>
      </c>
      <c r="B29" s="8">
        <v>2.25</v>
      </c>
      <c r="C29" s="8">
        <v>2</v>
      </c>
      <c r="D29" s="191">
        <f t="shared" si="0"/>
        <v>9.227015480932188E-3</v>
      </c>
      <c r="E29" s="99"/>
      <c r="F29" s="99"/>
      <c r="G29" s="99"/>
      <c r="H29" s="99"/>
      <c r="I29" s="99"/>
      <c r="J29" s="99"/>
    </row>
    <row r="30" spans="1:10">
      <c r="A30" s="198">
        <v>97.95</v>
      </c>
      <c r="B30" s="146">
        <v>2.25</v>
      </c>
      <c r="C30" s="146">
        <v>4</v>
      </c>
      <c r="D30" s="199">
        <f t="shared" si="0"/>
        <v>9.2163977325361301E-3</v>
      </c>
      <c r="E30" s="143"/>
      <c r="F30" s="99"/>
      <c r="G30" s="99" t="s">
        <v>233</v>
      </c>
      <c r="H30" s="99"/>
      <c r="I30" s="99"/>
      <c r="J30" s="99"/>
    </row>
    <row r="31" spans="1:10">
      <c r="A31" s="34">
        <v>97.95</v>
      </c>
      <c r="B31" s="8">
        <v>2.25</v>
      </c>
      <c r="C31" s="8">
        <v>365</v>
      </c>
      <c r="D31" s="192">
        <f t="shared" si="0"/>
        <v>9.2059123578758228E-3</v>
      </c>
      <c r="E31" s="124"/>
      <c r="F31" s="92"/>
      <c r="G31" s="1" t="s">
        <v>54</v>
      </c>
      <c r="H31" s="136"/>
      <c r="I31" s="136"/>
      <c r="J31" s="137"/>
    </row>
    <row r="32" spans="1:10">
      <c r="A32" s="34">
        <v>97.95</v>
      </c>
      <c r="B32" s="8">
        <v>2.25</v>
      </c>
      <c r="C32" s="8">
        <f>24*3600*365</f>
        <v>31536000</v>
      </c>
      <c r="D32" s="192">
        <f t="shared" si="0"/>
        <v>9.2057944307555317E-3</v>
      </c>
      <c r="E32" s="99"/>
      <c r="F32" s="99"/>
      <c r="G32" s="138"/>
      <c r="H32" s="139"/>
      <c r="I32" s="139"/>
      <c r="J32" s="140"/>
    </row>
    <row r="33" spans="1:10">
      <c r="A33" s="99"/>
      <c r="B33" s="99"/>
      <c r="C33" s="99"/>
      <c r="D33" s="99"/>
      <c r="E33" s="99"/>
      <c r="F33" s="99"/>
      <c r="G33" s="99"/>
      <c r="H33" s="99"/>
      <c r="I33" s="99"/>
      <c r="J33" s="99"/>
    </row>
    <row r="34" spans="1:10">
      <c r="A34" s="99"/>
      <c r="B34" s="99"/>
      <c r="C34" s="99"/>
      <c r="D34" s="142" t="s">
        <v>234</v>
      </c>
      <c r="E34" s="99"/>
      <c r="F34" s="99"/>
      <c r="G34" s="99"/>
      <c r="H34" s="99"/>
      <c r="I34" s="99"/>
      <c r="J34" s="99"/>
    </row>
    <row r="35" spans="1:10">
      <c r="A35" s="99"/>
      <c r="B35" s="99"/>
      <c r="C35" s="99"/>
      <c r="D35" s="144" t="s">
        <v>52</v>
      </c>
      <c r="E35" s="99"/>
      <c r="F35" s="99"/>
      <c r="G35" s="99"/>
      <c r="H35" s="99"/>
      <c r="I35" s="99"/>
      <c r="J35" s="99"/>
    </row>
    <row r="38" spans="1:10" ht="17.25">
      <c r="A38" s="10" t="s">
        <v>55</v>
      </c>
      <c r="B38" s="99"/>
      <c r="C38" s="99"/>
      <c r="D38" s="99"/>
      <c r="E38" s="99"/>
      <c r="F38" s="99"/>
      <c r="G38" s="99"/>
      <c r="H38" s="99"/>
    </row>
    <row r="39" spans="1:10">
      <c r="A39" s="100" t="s">
        <v>244</v>
      </c>
      <c r="B39" s="99"/>
      <c r="C39" s="99"/>
      <c r="D39" s="99"/>
      <c r="E39" s="99"/>
      <c r="F39" s="99"/>
      <c r="G39" s="99"/>
      <c r="H39" s="99"/>
    </row>
    <row r="40" spans="1:10">
      <c r="A40" s="145" t="s">
        <v>27</v>
      </c>
      <c r="B40" s="9" t="s">
        <v>4</v>
      </c>
      <c r="C40" s="13" t="s">
        <v>47</v>
      </c>
      <c r="E40" s="99"/>
      <c r="F40" s="99"/>
      <c r="G40" s="99"/>
      <c r="H40" s="99"/>
    </row>
    <row r="41" spans="1:10" ht="17.25">
      <c r="A41" s="34">
        <v>98.97</v>
      </c>
      <c r="B41" s="8">
        <v>1.5</v>
      </c>
      <c r="C41" s="35">
        <f>(1/B41)*LN(100/A41)</f>
        <v>6.9022747196611448E-3</v>
      </c>
      <c r="D41" s="87" t="s">
        <v>16</v>
      </c>
      <c r="E41" s="10" t="s">
        <v>55</v>
      </c>
    </row>
    <row r="42" spans="1:10">
      <c r="A42" s="34">
        <v>98.43</v>
      </c>
      <c r="B42" s="8">
        <v>2</v>
      </c>
      <c r="C42" s="35">
        <f>(1/B42)*LN(100/A42)</f>
        <v>7.9122751734856406E-3</v>
      </c>
      <c r="D42" s="92" t="s">
        <v>16</v>
      </c>
      <c r="E42" s="1" t="s">
        <v>56</v>
      </c>
      <c r="F42" s="2"/>
      <c r="G42" s="3"/>
      <c r="H42" s="99"/>
    </row>
    <row r="43" spans="1:10">
      <c r="A43" s="34">
        <v>97.95</v>
      </c>
      <c r="B43" s="8">
        <v>2.25</v>
      </c>
      <c r="C43" s="141">
        <f>(1/B43)*LN(100/A43)</f>
        <v>9.2057962655740112E-3</v>
      </c>
      <c r="D43" s="92" t="s">
        <v>16</v>
      </c>
      <c r="E43" s="4" t="s">
        <v>246</v>
      </c>
      <c r="F43" s="5"/>
      <c r="G43" s="6"/>
    </row>
    <row r="44" spans="1:10">
      <c r="A44" s="34"/>
      <c r="B44" s="8"/>
      <c r="C44" s="35" t="e">
        <f>(1/B44)*LN(100/A44)</f>
        <v>#DIV/0!</v>
      </c>
      <c r="E44" t="s">
        <v>60</v>
      </c>
    </row>
    <row r="45" spans="1:10">
      <c r="A45" s="99"/>
      <c r="B45" s="99"/>
      <c r="C45" s="99"/>
      <c r="D45" s="99"/>
      <c r="E45" t="s">
        <v>61</v>
      </c>
    </row>
    <row r="49" spans="1:14" ht="17.25">
      <c r="A49" s="10" t="s">
        <v>66</v>
      </c>
      <c r="D49" s="99"/>
      <c r="E49" s="99"/>
      <c r="F49" s="99"/>
      <c r="G49" s="99"/>
      <c r="H49" s="10" t="s">
        <v>66</v>
      </c>
      <c r="I49" s="99"/>
      <c r="J49" s="99"/>
    </row>
    <row r="50" spans="1:14">
      <c r="A50" s="101" t="s">
        <v>255</v>
      </c>
      <c r="B50" s="101" t="s">
        <v>67</v>
      </c>
      <c r="C50" s="101" t="s">
        <v>256</v>
      </c>
      <c r="D50" s="101" t="s">
        <v>257</v>
      </c>
      <c r="E50" s="155" t="s">
        <v>258</v>
      </c>
      <c r="F50" s="154" t="s">
        <v>254</v>
      </c>
      <c r="G50" s="99"/>
      <c r="H50" s="1" t="s">
        <v>79</v>
      </c>
      <c r="I50" s="2"/>
      <c r="J50" s="3"/>
    </row>
    <row r="51" spans="1:14">
      <c r="A51" s="106">
        <v>1.5</v>
      </c>
      <c r="B51" s="197">
        <v>6.9141987819838491E-3</v>
      </c>
      <c r="C51" s="106">
        <v>2</v>
      </c>
      <c r="D51" s="197">
        <v>7.9279468577220236E-3</v>
      </c>
      <c r="E51" s="106">
        <v>2</v>
      </c>
      <c r="F51" s="196">
        <f>((((1+((D51)/E51))^(E51*C51))/((1+((B51)/E51))^(E51*A51)))^(1/((C51-A51)*E51))-1)*E51</f>
        <v>1.0972264553489097E-2</v>
      </c>
      <c r="G51" s="150" t="s">
        <v>8</v>
      </c>
      <c r="H51" s="200" t="s">
        <v>297</v>
      </c>
      <c r="I51" s="201"/>
      <c r="J51" s="201"/>
      <c r="K51" s="203"/>
      <c r="L51" s="204"/>
      <c r="M51" s="204"/>
      <c r="N51" s="202"/>
    </row>
    <row r="52" spans="1:14">
      <c r="A52" s="106">
        <v>1.5</v>
      </c>
      <c r="B52" s="199">
        <v>6.9082333210319646E-3</v>
      </c>
      <c r="C52" s="106">
        <v>2</v>
      </c>
      <c r="D52" s="199">
        <v>7.92010584814129E-3</v>
      </c>
      <c r="E52" s="106">
        <v>4</v>
      </c>
      <c r="F52" s="196">
        <f>((((1+((D52)/E52))^(E52*C52))/((1+((B52)/E52))^(E52*A52)))^(1/((C52-A52)*E52))-1)*E52</f>
        <v>1.0957256868726617E-2</v>
      </c>
      <c r="G52" s="150" t="s">
        <v>12</v>
      </c>
      <c r="H52" s="99"/>
      <c r="I52" s="99"/>
      <c r="J52" s="99"/>
    </row>
    <row r="53" spans="1:14">
      <c r="A53" s="106">
        <v>2</v>
      </c>
      <c r="B53" s="199">
        <v>7.92010584814129E-3</v>
      </c>
      <c r="C53" s="106">
        <v>2.25</v>
      </c>
      <c r="D53" s="199">
        <v>9.2163977325361301E-3</v>
      </c>
      <c r="E53" s="106">
        <v>4</v>
      </c>
      <c r="F53" s="196">
        <f>((((1+((D53)/E53))^(E53*C53))/((1+((B53)/E53))^(E53*A53)))^(1/((C53-A53)*E53))-1)*E53</f>
        <v>1.9601837672281519E-2</v>
      </c>
    </row>
    <row r="56" spans="1:14" ht="17.25">
      <c r="A56" s="10" t="s">
        <v>74</v>
      </c>
      <c r="D56" s="99"/>
      <c r="E56" s="99"/>
      <c r="F56" s="99"/>
      <c r="G56" s="99"/>
      <c r="H56" s="10" t="s">
        <v>74</v>
      </c>
      <c r="I56" s="99"/>
      <c r="J56" s="99"/>
    </row>
    <row r="57" spans="1:14">
      <c r="A57" s="101" t="s">
        <v>255</v>
      </c>
      <c r="B57" s="101" t="s">
        <v>67</v>
      </c>
      <c r="C57" s="101" t="s">
        <v>256</v>
      </c>
      <c r="D57" s="101" t="s">
        <v>257</v>
      </c>
      <c r="E57" s="155" t="s">
        <v>258</v>
      </c>
      <c r="F57" s="154" t="s">
        <v>254</v>
      </c>
      <c r="G57" s="99"/>
      <c r="H57" s="1" t="s">
        <v>75</v>
      </c>
      <c r="I57" s="2"/>
      <c r="J57" s="3"/>
    </row>
    <row r="58" spans="1:14">
      <c r="A58" s="106">
        <v>2</v>
      </c>
      <c r="B58" s="199">
        <v>7.92010584814129E-3</v>
      </c>
      <c r="C58" s="106">
        <v>2.25</v>
      </c>
      <c r="D58" s="199">
        <v>9.2163977325361301E-3</v>
      </c>
      <c r="E58" s="106" t="s">
        <v>260</v>
      </c>
      <c r="F58" s="153">
        <f>( (C58*D58) - (A58*B58) ) / ( C58-A58)</f>
        <v>1.9586732807694851E-2</v>
      </c>
      <c r="G58" s="99" t="s">
        <v>16</v>
      </c>
      <c r="H58" s="4" t="s">
        <v>76</v>
      </c>
      <c r="I58" s="5"/>
      <c r="J58" s="6"/>
    </row>
    <row r="65" spans="1:9" ht="17.25">
      <c r="A65" s="10" t="s">
        <v>252</v>
      </c>
      <c r="B65" s="99"/>
      <c r="C65" s="99"/>
      <c r="D65" s="99"/>
      <c r="E65" s="99"/>
    </row>
    <row r="66" spans="1:9">
      <c r="A66" s="100" t="s">
        <v>241</v>
      </c>
      <c r="B66" s="99"/>
      <c r="C66" s="99"/>
      <c r="D66" s="99"/>
      <c r="E66" s="99"/>
    </row>
    <row r="67" spans="1:9" ht="17.25">
      <c r="A67" s="13" t="s">
        <v>27</v>
      </c>
      <c r="B67" s="9" t="s">
        <v>4</v>
      </c>
      <c r="C67" s="25" t="s">
        <v>30</v>
      </c>
      <c r="D67" s="145" t="s">
        <v>47</v>
      </c>
      <c r="E67" s="99"/>
      <c r="G67" s="10" t="s">
        <v>47</v>
      </c>
      <c r="H67" s="99"/>
      <c r="I67" s="99"/>
    </row>
    <row r="68" spans="1:9">
      <c r="A68" s="34">
        <f t="shared" ref="A68" si="1">100 / ( ( 1 + D68/C68 )^(B68*C68) )</f>
        <v>99.626400996264024</v>
      </c>
      <c r="B68" s="8">
        <v>0.5</v>
      </c>
      <c r="C68" s="8">
        <v>2</v>
      </c>
      <c r="D68" s="141">
        <v>7.4999999999999997E-3</v>
      </c>
      <c r="E68" s="99" t="s">
        <v>236</v>
      </c>
      <c r="G68" s="99"/>
      <c r="H68" s="99"/>
      <c r="I68" s="99"/>
    </row>
    <row r="69" spans="1:9">
      <c r="A69" s="34">
        <f t="shared" ref="A69" si="2">100 / ( ( 1 + D69/C69 )^(B69*C69) )</f>
        <v>99.125774112820366</v>
      </c>
      <c r="B69" s="8">
        <v>1</v>
      </c>
      <c r="C69" s="8">
        <v>2</v>
      </c>
      <c r="D69" s="141">
        <v>8.8000000000000005E-3</v>
      </c>
      <c r="E69" s="99" t="s">
        <v>236</v>
      </c>
      <c r="G69" t="s">
        <v>48</v>
      </c>
    </row>
    <row r="70" spans="1:9">
      <c r="A70" s="34">
        <f t="shared" ref="A70" si="3">100 / ( ( 1 + D70/C70 )^(B70*C70) )</f>
        <v>98.485474356583538</v>
      </c>
      <c r="B70" s="8">
        <v>1.5</v>
      </c>
      <c r="C70" s="8">
        <v>2</v>
      </c>
      <c r="D70" s="141">
        <v>1.0200000000000001E-2</v>
      </c>
      <c r="E70" s="99" t="s">
        <v>236</v>
      </c>
      <c r="G70" s="1" t="s">
        <v>50</v>
      </c>
      <c r="H70" s="2"/>
      <c r="I70" s="3"/>
    </row>
    <row r="71" spans="1:9">
      <c r="A71" s="34">
        <f t="shared" ref="A71" si="4">100 / ( ( 1 + D71/C71 )^(B71*C71) )</f>
        <v>97.674403443391924</v>
      </c>
      <c r="B71" s="8">
        <v>2</v>
      </c>
      <c r="C71" s="8">
        <v>2</v>
      </c>
      <c r="D71" s="141">
        <v>1.18E-2</v>
      </c>
      <c r="E71" s="99" t="s">
        <v>236</v>
      </c>
      <c r="G71" s="4" t="s">
        <v>295</v>
      </c>
      <c r="H71" s="5"/>
      <c r="I71" s="6"/>
    </row>
    <row r="72" spans="1:9">
      <c r="A72" s="34"/>
      <c r="B72" s="8"/>
      <c r="C72" s="8"/>
      <c r="D72" s="141"/>
      <c r="E72" s="99"/>
    </row>
    <row r="73" spans="1:9">
      <c r="A73" s="99"/>
      <c r="B73" s="99"/>
      <c r="C73" s="99"/>
      <c r="D73" s="99"/>
      <c r="E73" s="99"/>
    </row>
    <row r="74" spans="1:9">
      <c r="A74" s="148" t="s">
        <v>242</v>
      </c>
      <c r="B74" s="99"/>
      <c r="C74" s="99"/>
      <c r="D74" s="142"/>
      <c r="E74" s="99"/>
    </row>
    <row r="75" spans="1:9">
      <c r="A75" s="149" t="s">
        <v>243</v>
      </c>
      <c r="B75" s="99"/>
      <c r="C75" s="99"/>
      <c r="D75" s="144"/>
      <c r="E75" s="99"/>
    </row>
    <row r="77" spans="1:9">
      <c r="A77" s="135" t="s">
        <v>108</v>
      </c>
      <c r="B77" s="99"/>
      <c r="C77" s="99"/>
    </row>
    <row r="78" spans="1:9">
      <c r="A78" s="163" t="s">
        <v>83</v>
      </c>
      <c r="B78" s="101" t="s">
        <v>27</v>
      </c>
      <c r="C78" s="168" t="s">
        <v>110</v>
      </c>
    </row>
    <row r="79" spans="1:9">
      <c r="A79" s="170">
        <v>0.5</v>
      </c>
      <c r="B79" s="177">
        <v>99.626400996264024</v>
      </c>
      <c r="C79" s="106">
        <f>B79/100</f>
        <v>0.9962640099626402</v>
      </c>
    </row>
    <row r="80" spans="1:9">
      <c r="A80" s="170">
        <v>1</v>
      </c>
      <c r="B80" s="177">
        <v>99.125774112820366</v>
      </c>
      <c r="C80" s="106">
        <f>B80/100</f>
        <v>0.99125774112820364</v>
      </c>
    </row>
    <row r="81" spans="1:8">
      <c r="A81" s="170">
        <v>1.5</v>
      </c>
      <c r="B81" s="177">
        <v>98.485474356583538</v>
      </c>
      <c r="C81" s="106">
        <f>B81/100</f>
        <v>0.98485474356583536</v>
      </c>
    </row>
    <row r="82" spans="1:8">
      <c r="A82" s="170">
        <v>2</v>
      </c>
      <c r="B82" s="177">
        <v>97.674403443391924</v>
      </c>
      <c r="C82" s="106">
        <f>B82/100</f>
        <v>0.97674403443391922</v>
      </c>
    </row>
    <row r="83" spans="1:8">
      <c r="A83" t="s">
        <v>270</v>
      </c>
    </row>
    <row r="86" spans="1:8">
      <c r="A86" s="99" t="s">
        <v>281</v>
      </c>
      <c r="B86" s="99"/>
      <c r="C86" s="171"/>
      <c r="D86" s="99"/>
      <c r="F86" s="53"/>
      <c r="G86" s="53"/>
      <c r="H86" s="53"/>
    </row>
    <row r="87" spans="1:8" ht="17.25">
      <c r="A87" s="101" t="s">
        <v>28</v>
      </c>
      <c r="B87" s="101" t="s">
        <v>280</v>
      </c>
      <c r="C87" s="166" t="s">
        <v>273</v>
      </c>
      <c r="D87" s="99"/>
      <c r="F87" s="10" t="s">
        <v>273</v>
      </c>
      <c r="G87" s="99"/>
      <c r="H87" s="99"/>
    </row>
    <row r="88" spans="1:8">
      <c r="A88" s="174">
        <v>1.2</v>
      </c>
      <c r="B88" s="106">
        <v>2</v>
      </c>
      <c r="C88" s="165">
        <f>(A88/B88) * SUM(C79:C82) + 100 * C82</f>
        <v>100.04387576084628</v>
      </c>
      <c r="D88" s="99" t="s">
        <v>8</v>
      </c>
      <c r="F88" s="173" t="s">
        <v>279</v>
      </c>
      <c r="G88" s="2"/>
      <c r="H88" s="3"/>
    </row>
    <row r="89" spans="1:8">
      <c r="A89" s="99"/>
      <c r="B89" s="99"/>
      <c r="C89" s="99"/>
      <c r="D89" s="99"/>
      <c r="F89" s="4"/>
      <c r="G89" s="5"/>
      <c r="H89" s="6"/>
    </row>
    <row r="97" spans="1:14" ht="17.25">
      <c r="A97" s="92" t="s">
        <v>219</v>
      </c>
      <c r="B97" s="92"/>
      <c r="C97" s="92"/>
      <c r="D97" s="92"/>
      <c r="E97" s="92"/>
      <c r="F97" s="92"/>
      <c r="G97" s="92"/>
      <c r="H97" s="92"/>
      <c r="I97" s="92"/>
      <c r="K97" s="10" t="s">
        <v>223</v>
      </c>
    </row>
    <row r="98" spans="1:14">
      <c r="A98" s="25" t="s">
        <v>27</v>
      </c>
      <c r="B98" s="25" t="s">
        <v>28</v>
      </c>
      <c r="C98" s="25" t="s">
        <v>4</v>
      </c>
      <c r="D98" s="93" t="s">
        <v>30</v>
      </c>
      <c r="E98" s="25" t="s">
        <v>221</v>
      </c>
      <c r="F98" s="92"/>
      <c r="G98" s="25" t="s">
        <v>31</v>
      </c>
      <c r="H98" s="94" t="s">
        <v>6</v>
      </c>
      <c r="I98" s="92"/>
      <c r="K98" s="1" t="s">
        <v>24</v>
      </c>
      <c r="L98" s="2"/>
      <c r="M98" s="2"/>
      <c r="N98" s="3"/>
    </row>
    <row r="99" spans="1:14">
      <c r="A99" s="165">
        <v>100.04387576084628</v>
      </c>
      <c r="B99" s="107">
        <v>1.2E-2</v>
      </c>
      <c r="C99" s="96">
        <v>2</v>
      </c>
      <c r="D99" s="130">
        <v>2</v>
      </c>
      <c r="E99" s="128">
        <f>B99/D99</f>
        <v>6.0000000000000001E-3</v>
      </c>
      <c r="F99" s="131" t="s">
        <v>217</v>
      </c>
      <c r="G99" s="119">
        <f>A99*(-1)</f>
        <v>-100.04387576084628</v>
      </c>
      <c r="H99" s="133">
        <f>IRR(G99:G103) * D99</f>
        <v>1.1777382088500765E-2</v>
      </c>
      <c r="I99" s="92"/>
      <c r="K99" s="21" t="s">
        <v>25</v>
      </c>
      <c r="L99" s="22"/>
      <c r="M99" s="22"/>
      <c r="N99" s="23"/>
    </row>
    <row r="100" spans="1:14">
      <c r="A100" s="92"/>
      <c r="B100" s="92"/>
      <c r="C100" s="92"/>
      <c r="D100" s="92"/>
      <c r="E100" s="129" t="s">
        <v>222</v>
      </c>
      <c r="F100" s="92"/>
      <c r="G100" s="119">
        <f>100*E99</f>
        <v>0.6</v>
      </c>
      <c r="H100" s="92"/>
      <c r="I100" s="92"/>
      <c r="K100" s="21"/>
      <c r="L100" s="22"/>
      <c r="M100" s="22"/>
      <c r="N100" s="23"/>
    </row>
    <row r="101" spans="1:14">
      <c r="A101" s="92"/>
      <c r="B101" s="92"/>
      <c r="C101" s="92"/>
      <c r="D101" s="92"/>
      <c r="E101" s="123" t="s">
        <v>35</v>
      </c>
      <c r="F101" s="92"/>
      <c r="G101" s="119">
        <f>100*E99</f>
        <v>0.6</v>
      </c>
      <c r="H101" s="92"/>
      <c r="I101" s="92"/>
      <c r="K101" s="21" t="s">
        <v>26</v>
      </c>
      <c r="L101" s="22"/>
      <c r="M101" s="22"/>
      <c r="N101" s="23"/>
    </row>
    <row r="102" spans="1:14">
      <c r="A102" s="92"/>
      <c r="B102" s="92"/>
      <c r="C102" s="92"/>
      <c r="D102" s="92"/>
      <c r="E102" s="99"/>
      <c r="F102" s="92"/>
      <c r="G102" s="119">
        <f>100*E99</f>
        <v>0.6</v>
      </c>
      <c r="H102" s="92"/>
      <c r="I102" s="92"/>
      <c r="K102" s="21" t="s">
        <v>25</v>
      </c>
      <c r="L102" s="22"/>
      <c r="M102" s="22"/>
      <c r="N102" s="23"/>
    </row>
    <row r="103" spans="1:14">
      <c r="A103" s="92"/>
      <c r="B103" s="92"/>
      <c r="C103" s="92"/>
      <c r="D103" s="92"/>
      <c r="E103" s="92"/>
      <c r="F103" s="92"/>
      <c r="G103" s="119">
        <f>100*E99 + 100</f>
        <v>100.6</v>
      </c>
      <c r="H103" s="92"/>
      <c r="I103" s="92"/>
      <c r="K103" s="4"/>
      <c r="L103" s="5"/>
      <c r="M103" s="5"/>
      <c r="N103" s="6"/>
    </row>
    <row r="104" spans="1:14">
      <c r="A104" s="92"/>
      <c r="B104" s="92"/>
      <c r="C104" s="92"/>
      <c r="D104" s="92"/>
      <c r="E104" s="92"/>
      <c r="F104" s="92"/>
      <c r="G104" s="132" t="s">
        <v>36</v>
      </c>
      <c r="H104" s="92"/>
      <c r="I104" s="92"/>
    </row>
    <row r="113" spans="1:12">
      <c r="A113" s="161" t="s">
        <v>282</v>
      </c>
      <c r="B113" s="99"/>
      <c r="C113" s="99"/>
      <c r="D113" s="99"/>
      <c r="E113" s="99"/>
      <c r="F113" s="179" t="s">
        <v>287</v>
      </c>
      <c r="G113" s="179"/>
      <c r="H113" s="179"/>
      <c r="I113" s="99"/>
      <c r="J113" s="99"/>
      <c r="K113" s="99"/>
      <c r="L113" s="99"/>
    </row>
    <row r="114" spans="1:12">
      <c r="A114" s="99" t="s">
        <v>286</v>
      </c>
      <c r="B114" s="99"/>
      <c r="C114" s="99"/>
      <c r="D114" s="99"/>
      <c r="E114" s="99"/>
      <c r="F114" s="179" t="s">
        <v>288</v>
      </c>
      <c r="G114" s="179"/>
      <c r="H114" s="179"/>
      <c r="I114" s="99"/>
      <c r="J114" s="99"/>
      <c r="K114" s="99"/>
      <c r="L114" s="99"/>
    </row>
    <row r="115" spans="1:12">
      <c r="A115" s="101" t="s">
        <v>138</v>
      </c>
      <c r="B115" s="101" t="s">
        <v>83</v>
      </c>
      <c r="C115" s="101" t="s">
        <v>139</v>
      </c>
      <c r="D115" s="101" t="s">
        <v>210</v>
      </c>
      <c r="E115" s="178" t="s">
        <v>283</v>
      </c>
      <c r="F115" s="168" t="s">
        <v>284</v>
      </c>
      <c r="G115" s="102" t="s">
        <v>240</v>
      </c>
      <c r="H115" s="99"/>
      <c r="I115" s="99" t="s">
        <v>291</v>
      </c>
      <c r="J115" s="99"/>
      <c r="K115" s="99"/>
      <c r="L115" s="99"/>
    </row>
    <row r="116" spans="1:12">
      <c r="A116" s="162" t="s">
        <v>108</v>
      </c>
      <c r="B116" s="176">
        <v>0.5</v>
      </c>
      <c r="C116" s="162"/>
      <c r="D116" s="162"/>
      <c r="E116" s="177">
        <v>99.6</v>
      </c>
      <c r="F116" s="162">
        <f>E116/100</f>
        <v>0.996</v>
      </c>
      <c r="G116" s="162">
        <f>100*F116</f>
        <v>99.6</v>
      </c>
      <c r="H116" s="99"/>
      <c r="I116" s="186" t="s">
        <v>299</v>
      </c>
      <c r="J116" s="136"/>
      <c r="K116" s="137"/>
      <c r="L116" s="99"/>
    </row>
    <row r="117" spans="1:12">
      <c r="A117" s="162" t="s">
        <v>141</v>
      </c>
      <c r="B117" s="176">
        <v>1</v>
      </c>
      <c r="C117" s="106">
        <v>0.8</v>
      </c>
      <c r="D117" s="162">
        <v>2</v>
      </c>
      <c r="E117" s="177">
        <v>99.784999999999997</v>
      </c>
      <c r="F117" s="180">
        <f>(E117-(C117/D117)*SUM($F$115:F116)) / (100+C117/D117)</f>
        <v>0.98990637450199204</v>
      </c>
      <c r="G117" s="162">
        <f>100*F117</f>
        <v>98.990637450199202</v>
      </c>
      <c r="H117" s="99"/>
      <c r="I117" s="187" t="s">
        <v>300</v>
      </c>
      <c r="J117" s="188"/>
      <c r="K117" s="189"/>
      <c r="L117" s="99"/>
    </row>
    <row r="118" spans="1:12">
      <c r="A118" s="162" t="s">
        <v>141</v>
      </c>
      <c r="B118" s="176">
        <v>1.5</v>
      </c>
      <c r="C118" s="106">
        <v>1.5</v>
      </c>
      <c r="D118" s="162">
        <v>2</v>
      </c>
      <c r="E118" s="177">
        <v>100.4</v>
      </c>
      <c r="F118" s="180">
        <f>(E118-(C118/D118)*SUM($F$115:F117)) / (100+C118/D118)</f>
        <v>0.98174263244787607</v>
      </c>
      <c r="G118" s="162">
        <f>100*F118</f>
        <v>98.17426324478761</v>
      </c>
      <c r="H118" s="99"/>
      <c r="I118" s="187" t="s">
        <v>298</v>
      </c>
      <c r="J118" s="188"/>
      <c r="K118" s="189"/>
      <c r="L118" s="99"/>
    </row>
    <row r="119" spans="1:12">
      <c r="A119" s="162" t="s">
        <v>141</v>
      </c>
      <c r="B119" s="176">
        <v>2</v>
      </c>
      <c r="C119" s="106">
        <v>1.2</v>
      </c>
      <c r="D119" s="162">
        <v>2</v>
      </c>
      <c r="E119" s="177">
        <v>99.8</v>
      </c>
      <c r="F119" s="180">
        <f>(E119-(C119/D119)*SUM($F$115:F118)) / (100+C119/D119)</f>
        <v>0.97434801785119374</v>
      </c>
      <c r="G119" s="162">
        <f>100*F119</f>
        <v>97.434801785119376</v>
      </c>
      <c r="H119" s="99"/>
      <c r="I119" s="138" t="s">
        <v>301</v>
      </c>
      <c r="J119" s="139"/>
      <c r="K119" s="140"/>
      <c r="L119" s="99"/>
    </row>
    <row r="120" spans="1:12">
      <c r="A120" s="99"/>
      <c r="B120" s="99"/>
      <c r="C120" s="99"/>
      <c r="D120" s="99"/>
      <c r="E120" s="99"/>
      <c r="F120" s="171" t="s">
        <v>285</v>
      </c>
      <c r="G120" s="99"/>
      <c r="H120" s="99"/>
      <c r="I120" s="99"/>
      <c r="J120" s="99"/>
      <c r="K120" s="99"/>
      <c r="L120" s="99"/>
    </row>
    <row r="121" spans="1:12">
      <c r="A121" s="101" t="s">
        <v>138</v>
      </c>
      <c r="B121" s="101" t="s">
        <v>83</v>
      </c>
      <c r="C121" s="102" t="s">
        <v>139</v>
      </c>
      <c r="D121" s="101" t="s">
        <v>210</v>
      </c>
      <c r="E121" s="178" t="s">
        <v>283</v>
      </c>
      <c r="F121" s="99"/>
      <c r="J121" s="205"/>
    </row>
    <row r="122" spans="1:12">
      <c r="A122" s="162" t="s">
        <v>141</v>
      </c>
      <c r="B122" s="176">
        <v>2</v>
      </c>
      <c r="C122" s="106">
        <f xml:space="preserve"> ( D122*E122*(1 - F119) ) / SUM(F116:F119)</f>
        <v>1.3014714109329306</v>
      </c>
      <c r="D122" s="162">
        <v>2</v>
      </c>
      <c r="E122" s="177">
        <v>100</v>
      </c>
      <c r="F122" s="99"/>
      <c r="J122" s="205"/>
    </row>
    <row r="123" spans="1:12">
      <c r="A123" s="99"/>
      <c r="B123" s="99" t="s">
        <v>292</v>
      </c>
      <c r="C123" s="99"/>
      <c r="D123" s="99"/>
      <c r="E123" s="99"/>
      <c r="F123" s="99"/>
    </row>
    <row r="124" spans="1:12">
      <c r="A124" s="99"/>
      <c r="B124" s="186" t="s">
        <v>293</v>
      </c>
      <c r="C124" s="136"/>
      <c r="D124" s="137"/>
      <c r="E124" s="99"/>
      <c r="F124" s="99"/>
    </row>
    <row r="125" spans="1:12">
      <c r="A125" s="99"/>
      <c r="B125" s="138"/>
      <c r="C125" s="139"/>
      <c r="D125" s="140"/>
      <c r="E125" s="99"/>
      <c r="F125" s="99"/>
    </row>
    <row r="134" spans="1:10" s="57" customFormat="1"/>
    <row r="135" spans="1:10" s="57" customFormat="1"/>
    <row r="136" spans="1:10" s="57" customFormat="1"/>
    <row r="138" spans="1:10">
      <c r="A138" t="s">
        <v>684</v>
      </c>
    </row>
    <row r="140" spans="1:10">
      <c r="A140" t="s">
        <v>598</v>
      </c>
    </row>
    <row r="141" spans="1:10" ht="18.75">
      <c r="A141" s="134" t="s">
        <v>224</v>
      </c>
      <c r="B141" s="99"/>
      <c r="C141" s="99"/>
      <c r="D141" s="99"/>
      <c r="E141" s="99"/>
      <c r="F141" s="99"/>
      <c r="G141" s="103" t="s">
        <v>0</v>
      </c>
      <c r="H141" s="104"/>
      <c r="I141" s="104"/>
      <c r="J141" s="99"/>
    </row>
    <row r="142" spans="1:10">
      <c r="A142" s="101" t="s">
        <v>215</v>
      </c>
      <c r="B142" s="101" t="s">
        <v>213</v>
      </c>
      <c r="C142" s="101" t="s">
        <v>209</v>
      </c>
      <c r="D142" s="101" t="s">
        <v>211</v>
      </c>
      <c r="E142" s="102" t="s">
        <v>212</v>
      </c>
      <c r="F142" s="99"/>
      <c r="G142" s="108" t="s">
        <v>1</v>
      </c>
      <c r="H142" s="109"/>
      <c r="I142" s="110"/>
      <c r="J142" s="99"/>
    </row>
    <row r="143" spans="1:10">
      <c r="A143" s="105">
        <v>1000000</v>
      </c>
      <c r="B143" s="106">
        <v>2</v>
      </c>
      <c r="C143" s="107">
        <v>1.0999999999999999E-2</v>
      </c>
      <c r="D143" s="106">
        <v>2</v>
      </c>
      <c r="E143" s="368">
        <f>A143 * ( (1+C143/D143)^(B143*D143) )</f>
        <v>1022182.1664150627</v>
      </c>
      <c r="F143" s="99" t="s">
        <v>8</v>
      </c>
      <c r="G143" s="111"/>
      <c r="H143" s="112"/>
      <c r="I143" s="113"/>
      <c r="J143" s="99"/>
    </row>
    <row r="144" spans="1:10">
      <c r="A144" s="105">
        <v>1000000</v>
      </c>
      <c r="B144" s="106">
        <f>2 + ( 3/12 )</f>
        <v>2.25</v>
      </c>
      <c r="C144" s="107">
        <v>8.0000000000000002E-3</v>
      </c>
      <c r="D144" s="106">
        <v>4</v>
      </c>
      <c r="E144" s="368">
        <f>A144 * ( (1+C144/D144)^(B144*D144) )</f>
        <v>1018144.6740200373</v>
      </c>
      <c r="F144" s="99" t="s">
        <v>12</v>
      </c>
      <c r="G144" s="99"/>
      <c r="H144" s="99"/>
      <c r="I144" s="99"/>
      <c r="J144" s="99"/>
    </row>
    <row r="145" spans="1:10">
      <c r="A145" s="105">
        <v>1000000</v>
      </c>
      <c r="B145" s="106">
        <f>3 + (2/12)</f>
        <v>3.1666666666666665</v>
      </c>
      <c r="C145" s="107">
        <v>8.9999999999999993E-3</v>
      </c>
      <c r="D145" s="106">
        <v>365</v>
      </c>
      <c r="E145" s="368">
        <f>A145 * ( (1+C145/D145)^(B145*D145) )</f>
        <v>1028909.6493126262</v>
      </c>
      <c r="F145" s="99" t="s">
        <v>13</v>
      </c>
      <c r="G145" s="114"/>
      <c r="H145" s="114"/>
      <c r="I145" s="114"/>
      <c r="J145" s="99"/>
    </row>
    <row r="146" spans="1:10">
      <c r="A146" s="105"/>
      <c r="B146" s="106"/>
      <c r="C146" s="107"/>
      <c r="D146" s="106"/>
      <c r="E146" s="116" t="e">
        <f>A146 * ( (1+C146/D146)^(B146*D146) )</f>
        <v>#DIV/0!</v>
      </c>
      <c r="F146" s="99"/>
      <c r="G146" s="114"/>
      <c r="H146" s="114"/>
      <c r="I146" s="114"/>
      <c r="J146" s="99"/>
    </row>
    <row r="147" spans="1:10">
      <c r="A147" s="99"/>
      <c r="B147" s="99"/>
      <c r="C147" s="99"/>
      <c r="D147" s="99"/>
      <c r="E147" s="115" t="s">
        <v>214</v>
      </c>
      <c r="F147" s="99"/>
      <c r="G147" s="99"/>
      <c r="H147" s="99"/>
      <c r="I147" s="99"/>
      <c r="J147" s="99"/>
    </row>
    <row r="151" spans="1:10">
      <c r="A151" t="s">
        <v>608</v>
      </c>
    </row>
    <row r="152" spans="1:10" ht="18.75">
      <c r="A152" s="134" t="s">
        <v>224</v>
      </c>
      <c r="B152" s="99"/>
      <c r="C152" s="99"/>
      <c r="D152" s="99"/>
      <c r="E152" s="99"/>
      <c r="F152" s="99"/>
      <c r="G152" s="103" t="s">
        <v>0</v>
      </c>
      <c r="H152" s="104"/>
      <c r="I152" s="104"/>
      <c r="J152" s="99"/>
    </row>
    <row r="153" spans="1:10">
      <c r="A153" s="101" t="s">
        <v>215</v>
      </c>
      <c r="B153" s="101" t="s">
        <v>213</v>
      </c>
      <c r="C153" s="101" t="s">
        <v>209</v>
      </c>
      <c r="D153" s="101" t="s">
        <v>211</v>
      </c>
      <c r="E153" s="102" t="s">
        <v>212</v>
      </c>
      <c r="F153" s="99"/>
      <c r="G153" s="108" t="s">
        <v>1</v>
      </c>
      <c r="H153" s="109"/>
      <c r="I153" s="110"/>
      <c r="J153" s="99"/>
    </row>
    <row r="154" spans="1:10">
      <c r="A154" s="105">
        <v>100000000</v>
      </c>
      <c r="B154" s="106">
        <f>200/365</f>
        <v>0.54794520547945202</v>
      </c>
      <c r="C154" s="107">
        <v>8.0000000000000002E-3</v>
      </c>
      <c r="D154" s="106">
        <v>365</v>
      </c>
      <c r="E154" s="368">
        <f>A154 * ( (1+C154/D154)^(B154*D154) )</f>
        <v>100439313.5255031</v>
      </c>
      <c r="F154" s="99" t="s">
        <v>13</v>
      </c>
      <c r="G154" s="111"/>
      <c r="H154" s="112"/>
      <c r="I154" s="113"/>
      <c r="J154" s="99"/>
    </row>
    <row r="155" spans="1:10">
      <c r="A155" s="105">
        <v>100000000</v>
      </c>
      <c r="B155" s="106">
        <f>200/365</f>
        <v>0.54794520547945202</v>
      </c>
      <c r="C155" s="107">
        <v>8.0000000000000002E-3</v>
      </c>
      <c r="D155" s="106">
        <f>3600 * 24 * 365</f>
        <v>31536000</v>
      </c>
      <c r="E155" s="368">
        <f>A155 * ( (1+C155/D155)^(B155*D155) )</f>
        <v>100439318.47817644</v>
      </c>
      <c r="F155" s="99" t="s">
        <v>10</v>
      </c>
      <c r="G155" s="99"/>
      <c r="H155" s="99"/>
      <c r="I155" s="99"/>
      <c r="J155" s="99"/>
    </row>
    <row r="156" spans="1:10">
      <c r="A156" s="105"/>
      <c r="B156" s="106"/>
      <c r="C156" s="107"/>
      <c r="D156" s="106"/>
      <c r="E156" s="368"/>
      <c r="F156" s="99"/>
      <c r="G156" s="114"/>
      <c r="H156" s="114"/>
      <c r="I156" s="114"/>
      <c r="J156" s="99"/>
    </row>
    <row r="158" spans="1:10" ht="18.75">
      <c r="A158" s="134" t="s">
        <v>225</v>
      </c>
      <c r="B158" s="99"/>
      <c r="C158" s="99"/>
      <c r="D158" s="99"/>
      <c r="E158" s="99"/>
      <c r="F158" s="99"/>
      <c r="G158" s="10" t="s">
        <v>16</v>
      </c>
    </row>
    <row r="159" spans="1:10">
      <c r="A159" s="101" t="s">
        <v>215</v>
      </c>
      <c r="B159" s="101" t="s">
        <v>213</v>
      </c>
      <c r="C159" s="101" t="s">
        <v>209</v>
      </c>
      <c r="D159" s="102" t="s">
        <v>212</v>
      </c>
      <c r="E159" s="99"/>
      <c r="F159" s="99"/>
      <c r="G159" s="1" t="s">
        <v>17</v>
      </c>
      <c r="H159" s="2"/>
      <c r="I159" s="3"/>
    </row>
    <row r="160" spans="1:10">
      <c r="A160" s="105">
        <v>100000000</v>
      </c>
      <c r="B160" s="106">
        <f>200/365</f>
        <v>0.54794520547945202</v>
      </c>
      <c r="C160" s="107">
        <v>8.0000000000000002E-3</v>
      </c>
      <c r="D160" s="368">
        <f>A160 * EXP(B160*C160)</f>
        <v>100439318.35043804</v>
      </c>
      <c r="E160" s="99" t="s">
        <v>16</v>
      </c>
      <c r="F160" s="99"/>
      <c r="G160" s="4" t="s">
        <v>18</v>
      </c>
      <c r="H160" s="5"/>
      <c r="I160" s="6"/>
    </row>
    <row r="161" spans="1:10">
      <c r="A161" s="105"/>
      <c r="B161" s="106"/>
      <c r="C161" s="107"/>
      <c r="D161" s="116">
        <f>A161 * EXP(B161*C161)</f>
        <v>0</v>
      </c>
      <c r="E161" s="99"/>
      <c r="F161" s="99"/>
      <c r="G161" s="99"/>
      <c r="H161" s="99"/>
      <c r="I161" s="99"/>
    </row>
    <row r="162" spans="1:10">
      <c r="A162" s="99"/>
      <c r="B162" s="99"/>
      <c r="C162" s="99"/>
      <c r="D162" s="117" t="s">
        <v>216</v>
      </c>
      <c r="E162" s="99"/>
      <c r="F162" s="99"/>
      <c r="G162" s="99"/>
      <c r="H162" s="99"/>
      <c r="I162" s="99"/>
    </row>
    <row r="165" spans="1:10">
      <c r="A165" t="s">
        <v>685</v>
      </c>
    </row>
    <row r="167" spans="1:10">
      <c r="A167" t="s">
        <v>688</v>
      </c>
    </row>
    <row r="168" spans="1:10" ht="18.75">
      <c r="A168" s="134" t="s">
        <v>224</v>
      </c>
      <c r="B168" s="99"/>
      <c r="C168" s="99"/>
      <c r="D168" s="99"/>
      <c r="E168" s="99"/>
      <c r="F168" s="99"/>
      <c r="H168" s="103" t="s">
        <v>0</v>
      </c>
      <c r="I168" s="104"/>
      <c r="J168" s="104"/>
    </row>
    <row r="169" spans="1:10">
      <c r="A169" s="101" t="s">
        <v>215</v>
      </c>
      <c r="B169" s="101" t="s">
        <v>213</v>
      </c>
      <c r="C169" s="101" t="s">
        <v>209</v>
      </c>
      <c r="D169" s="101" t="s">
        <v>211</v>
      </c>
      <c r="E169" s="102" t="s">
        <v>212</v>
      </c>
      <c r="F169" s="102" t="s">
        <v>662</v>
      </c>
      <c r="H169" s="108" t="s">
        <v>1</v>
      </c>
      <c r="I169" s="109"/>
      <c r="J169" s="110"/>
    </row>
    <row r="170" spans="1:10">
      <c r="A170" s="105">
        <v>1</v>
      </c>
      <c r="B170" s="106">
        <v>1.5</v>
      </c>
      <c r="C170" s="107">
        <v>8.0000000000000002E-3</v>
      </c>
      <c r="D170" s="106">
        <v>4</v>
      </c>
      <c r="E170" s="371">
        <f>A170 * ( (1+C170/D170)^(B170*D170) )</f>
        <v>1.0120601602401917</v>
      </c>
      <c r="F170" s="369">
        <f>A170/E170</f>
        <v>0.98808355400796577</v>
      </c>
      <c r="G170" s="372"/>
      <c r="H170" s="111"/>
      <c r="I170" s="112"/>
      <c r="J170" s="113"/>
    </row>
    <row r="171" spans="1:10">
      <c r="A171" s="105">
        <v>1</v>
      </c>
      <c r="B171" s="106">
        <v>2</v>
      </c>
      <c r="C171" s="107">
        <v>9.1999999999999998E-3</v>
      </c>
      <c r="D171" s="106">
        <v>12</v>
      </c>
      <c r="E171" s="371">
        <f>A171 * ( (1+C171/D171)^(B171*D171) )</f>
        <v>1.0185631424234201</v>
      </c>
      <c r="F171" s="369">
        <f>A171/E171</f>
        <v>0.98177516773358431</v>
      </c>
      <c r="G171" s="372"/>
      <c r="H171" s="99"/>
      <c r="I171" s="99"/>
      <c r="J171" s="99"/>
    </row>
    <row r="172" spans="1:10">
      <c r="A172" s="105"/>
      <c r="B172" s="106"/>
      <c r="C172" s="107"/>
      <c r="D172" s="106"/>
      <c r="E172" s="368"/>
      <c r="F172" s="368"/>
      <c r="G172" s="114"/>
      <c r="H172" s="114"/>
      <c r="I172" s="114"/>
      <c r="J172" s="99"/>
    </row>
    <row r="173" spans="1:10" ht="17.25">
      <c r="H173" s="103" t="s">
        <v>689</v>
      </c>
    </row>
    <row r="174" spans="1:10" ht="18.75">
      <c r="A174" s="134" t="s">
        <v>225</v>
      </c>
      <c r="B174" s="99"/>
      <c r="C174" s="99"/>
      <c r="D174" s="99"/>
      <c r="E174" s="99"/>
      <c r="H174" s="108" t="s">
        <v>690</v>
      </c>
      <c r="I174" s="109"/>
      <c r="J174" s="110"/>
    </row>
    <row r="175" spans="1:10">
      <c r="A175" s="101" t="s">
        <v>215</v>
      </c>
      <c r="B175" s="101" t="s">
        <v>213</v>
      </c>
      <c r="C175" s="101" t="s">
        <v>209</v>
      </c>
      <c r="D175" s="102" t="s">
        <v>212</v>
      </c>
      <c r="E175" s="102" t="s">
        <v>662</v>
      </c>
      <c r="H175" s="111"/>
      <c r="I175" s="112"/>
      <c r="J175" s="113"/>
    </row>
    <row r="176" spans="1:10">
      <c r="A176" s="105">
        <v>1</v>
      </c>
      <c r="B176" s="106">
        <v>2.5</v>
      </c>
      <c r="C176" s="107">
        <v>1.06E-2</v>
      </c>
      <c r="D176" s="370">
        <f>A176 * EXP(B176*C176)</f>
        <v>1.0268542472616822</v>
      </c>
      <c r="E176" s="369">
        <f>A176/D176</f>
        <v>0.97384804383553503</v>
      </c>
      <c r="F176" s="372"/>
    </row>
    <row r="181" spans="1:11">
      <c r="A181" t="s">
        <v>691</v>
      </c>
    </row>
    <row r="183" spans="1:11" ht="17.25">
      <c r="A183" s="10" t="s">
        <v>231</v>
      </c>
      <c r="B183" s="99"/>
      <c r="C183" s="99"/>
      <c r="D183" s="99"/>
      <c r="E183" s="99"/>
      <c r="F183" s="99"/>
      <c r="G183" s="10" t="s">
        <v>47</v>
      </c>
      <c r="H183" s="99"/>
      <c r="I183" s="99"/>
      <c r="J183" s="99"/>
      <c r="K183" s="99"/>
    </row>
    <row r="184" spans="1:11">
      <c r="A184" s="100" t="s">
        <v>232</v>
      </c>
      <c r="B184" s="99"/>
      <c r="C184" s="99"/>
      <c r="D184" s="99"/>
      <c r="E184" s="99"/>
      <c r="F184" s="99"/>
      <c r="G184" s="99"/>
      <c r="H184" s="99"/>
      <c r="I184" s="99"/>
      <c r="J184" s="99"/>
      <c r="K184" s="99"/>
    </row>
    <row r="185" spans="1:11">
      <c r="A185" s="145" t="s">
        <v>27</v>
      </c>
      <c r="B185" s="9" t="s">
        <v>4</v>
      </c>
      <c r="C185" s="25" t="s">
        <v>30</v>
      </c>
      <c r="D185" s="13" t="s">
        <v>47</v>
      </c>
      <c r="E185" s="99"/>
      <c r="F185" s="99"/>
      <c r="G185" t="s">
        <v>48</v>
      </c>
      <c r="K185" s="99"/>
    </row>
    <row r="186" spans="1:11">
      <c r="A186" s="34">
        <v>99.08</v>
      </c>
      <c r="B186" s="8">
        <v>2</v>
      </c>
      <c r="C186" s="8">
        <v>2</v>
      </c>
      <c r="D186" s="26">
        <f>( (100/A186) ^ ( 1/(C186*B186) )  - 1 ) * C186</f>
        <v>4.6266338799796358E-3</v>
      </c>
      <c r="E186" s="99" t="s">
        <v>236</v>
      </c>
      <c r="F186" s="99"/>
      <c r="G186" s="1" t="s">
        <v>50</v>
      </c>
      <c r="H186" s="2"/>
      <c r="I186" s="3"/>
      <c r="J186" s="99"/>
      <c r="K186" s="99"/>
    </row>
    <row r="187" spans="1:11">
      <c r="A187" s="34">
        <v>98.76</v>
      </c>
      <c r="B187" s="8">
        <v>2.5</v>
      </c>
      <c r="C187" s="8">
        <v>4</v>
      </c>
      <c r="D187" s="373">
        <f t="shared" ref="D187:D191" si="5">( (100/A187) ^ ( 1/(C187*B187) )  - 1 ) * C187</f>
        <v>4.9941236707820025E-3</v>
      </c>
      <c r="E187" s="99" t="s">
        <v>237</v>
      </c>
      <c r="F187" s="99"/>
      <c r="G187" s="4" t="s">
        <v>295</v>
      </c>
      <c r="H187" s="5"/>
      <c r="I187" s="6"/>
      <c r="J187" t="s">
        <v>296</v>
      </c>
      <c r="K187" s="99"/>
    </row>
    <row r="188" spans="1:11">
      <c r="A188" s="34"/>
      <c r="B188" s="8"/>
      <c r="C188" s="8"/>
      <c r="D188" s="141" t="e">
        <f t="shared" si="5"/>
        <v>#DIV/0!</v>
      </c>
      <c r="E188" s="99" t="s">
        <v>237</v>
      </c>
      <c r="F188" s="99"/>
      <c r="G188" s="99"/>
      <c r="H188" s="99"/>
      <c r="I188" s="99"/>
      <c r="J188" s="99"/>
      <c r="K188" s="99"/>
    </row>
    <row r="189" spans="1:11">
      <c r="A189" s="34"/>
      <c r="B189" s="8"/>
      <c r="C189" s="8"/>
      <c r="D189" s="141" t="e">
        <f t="shared" si="5"/>
        <v>#DIV/0!</v>
      </c>
      <c r="E189" s="143"/>
      <c r="F189" s="99"/>
      <c r="G189" s="99" t="s">
        <v>233</v>
      </c>
      <c r="H189" s="99"/>
      <c r="I189" s="99"/>
      <c r="J189" s="99"/>
      <c r="K189" s="99"/>
    </row>
    <row r="190" spans="1:11">
      <c r="A190" s="34"/>
      <c r="B190" s="8"/>
      <c r="C190" s="8"/>
      <c r="D190" s="141" t="e">
        <f t="shared" si="5"/>
        <v>#DIV/0!</v>
      </c>
      <c r="E190" s="124"/>
      <c r="F190" s="92"/>
      <c r="G190" s="1" t="s">
        <v>54</v>
      </c>
      <c r="H190" s="136"/>
      <c r="I190" s="136"/>
      <c r="J190" s="137"/>
      <c r="K190" s="99"/>
    </row>
    <row r="191" spans="1:11">
      <c r="A191" s="34"/>
      <c r="B191" s="8"/>
      <c r="C191" s="8"/>
      <c r="D191" s="141" t="e">
        <f t="shared" si="5"/>
        <v>#DIV/0!</v>
      </c>
      <c r="E191" s="99"/>
      <c r="F191" s="99"/>
      <c r="G191" s="138"/>
      <c r="H191" s="139"/>
      <c r="I191" s="139"/>
      <c r="J191" s="140"/>
      <c r="K191" s="99"/>
    </row>
    <row r="192" spans="1:11">
      <c r="A192" s="99"/>
      <c r="B192" s="99"/>
      <c r="C192" s="99"/>
      <c r="D192" s="99"/>
      <c r="E192" s="99"/>
      <c r="F192" s="99"/>
      <c r="G192" s="99"/>
      <c r="H192" s="99"/>
      <c r="I192" s="99"/>
      <c r="J192" s="99"/>
      <c r="K192" s="99"/>
    </row>
    <row r="193" spans="1:11">
      <c r="A193" s="99"/>
      <c r="B193" s="99"/>
      <c r="C193" s="99"/>
      <c r="D193" s="142" t="s">
        <v>234</v>
      </c>
      <c r="E193" s="99"/>
      <c r="F193" s="99"/>
      <c r="G193" s="99"/>
      <c r="H193" s="99"/>
      <c r="I193" s="99"/>
      <c r="J193" s="99"/>
      <c r="K193" s="99"/>
    </row>
    <row r="194" spans="1:11">
      <c r="A194" s="99"/>
      <c r="B194" s="99"/>
      <c r="C194" s="99"/>
      <c r="D194" s="144" t="s">
        <v>52</v>
      </c>
      <c r="E194" s="99"/>
      <c r="F194" s="99"/>
      <c r="G194" s="99"/>
      <c r="H194" s="99"/>
      <c r="I194" s="99"/>
      <c r="J194" s="99"/>
      <c r="K194" s="99"/>
    </row>
    <row r="195" spans="1:11" ht="17.25">
      <c r="A195" s="10" t="s">
        <v>55</v>
      </c>
      <c r="B195" s="99"/>
      <c r="C195" s="99"/>
      <c r="D195" s="99"/>
      <c r="E195" s="99"/>
      <c r="F195" s="99"/>
      <c r="G195" s="99"/>
      <c r="H195" s="99"/>
      <c r="I195" s="99"/>
      <c r="J195" s="99"/>
      <c r="K195" s="99"/>
    </row>
    <row r="196" spans="1:11">
      <c r="A196" s="100" t="s">
        <v>244</v>
      </c>
      <c r="B196" s="99"/>
      <c r="C196" s="99"/>
      <c r="D196" s="99"/>
      <c r="E196" s="99"/>
      <c r="F196" s="99"/>
      <c r="G196" s="99"/>
    </row>
    <row r="197" spans="1:11">
      <c r="A197" s="145" t="s">
        <v>27</v>
      </c>
      <c r="B197" s="9" t="s">
        <v>4</v>
      </c>
      <c r="C197" s="13" t="s">
        <v>47</v>
      </c>
      <c r="E197" s="99"/>
      <c r="F197" s="99"/>
      <c r="G197" s="99"/>
    </row>
    <row r="198" spans="1:11" ht="17.25">
      <c r="A198" s="34">
        <v>98.52</v>
      </c>
      <c r="B198" s="8">
        <v>2.75</v>
      </c>
      <c r="C198" s="26">
        <f>(1/B198)*LN(100/A198)</f>
        <v>5.4220409948197382E-3</v>
      </c>
      <c r="D198" s="87" t="s">
        <v>16</v>
      </c>
      <c r="E198" s="10" t="s">
        <v>55</v>
      </c>
    </row>
    <row r="199" spans="1:11">
      <c r="A199" s="34">
        <v>98.76</v>
      </c>
      <c r="B199" s="8">
        <v>2.5</v>
      </c>
      <c r="C199" s="35">
        <f>(1/B199)*LN(100/A199)</f>
        <v>4.9910086044450174E-3</v>
      </c>
      <c r="D199" s="92" t="s">
        <v>16</v>
      </c>
      <c r="E199" s="1" t="s">
        <v>56</v>
      </c>
      <c r="F199" s="2"/>
      <c r="G199" s="3"/>
    </row>
    <row r="200" spans="1:11">
      <c r="A200" s="34"/>
      <c r="B200" s="8"/>
      <c r="C200" s="141" t="e">
        <f>(1/B200)*LN(100/A200)</f>
        <v>#DIV/0!</v>
      </c>
      <c r="D200" s="92" t="s">
        <v>16</v>
      </c>
      <c r="E200" s="4" t="s">
        <v>246</v>
      </c>
      <c r="F200" s="5"/>
      <c r="G200" s="6"/>
    </row>
    <row r="201" spans="1:11">
      <c r="A201" s="34"/>
      <c r="B201" s="8"/>
      <c r="C201" s="35" t="e">
        <f>(1/B201)*LN(100/A201)</f>
        <v>#DIV/0!</v>
      </c>
      <c r="E201" t="s">
        <v>60</v>
      </c>
    </row>
    <row r="202" spans="1:11">
      <c r="A202" s="99"/>
      <c r="B202" s="99"/>
      <c r="C202" s="99"/>
      <c r="D202" s="99"/>
      <c r="E202" t="s">
        <v>61</v>
      </c>
    </row>
    <row r="203" spans="1:11">
      <c r="A203" s="99"/>
      <c r="B203" s="99"/>
      <c r="C203" s="142" t="s">
        <v>247</v>
      </c>
      <c r="D203" s="99"/>
      <c r="E203" s="99"/>
      <c r="F203" s="99"/>
      <c r="G203" s="99"/>
    </row>
    <row r="204" spans="1:11">
      <c r="A204" s="99"/>
      <c r="B204" s="99"/>
      <c r="C204" s="99" t="s">
        <v>248</v>
      </c>
      <c r="D204" s="99"/>
      <c r="E204" s="99"/>
      <c r="F204" s="99"/>
      <c r="G204" s="99"/>
    </row>
    <row r="205" spans="1:11">
      <c r="A205" s="99"/>
      <c r="B205" s="99"/>
      <c r="C205" s="99"/>
      <c r="D205" s="99"/>
      <c r="E205" s="99" t="s">
        <v>245</v>
      </c>
      <c r="F205" s="99"/>
      <c r="G205" s="99"/>
    </row>
    <row r="206" spans="1:11">
      <c r="A206" s="99"/>
      <c r="B206" s="99"/>
      <c r="C206" s="99"/>
      <c r="D206" s="99"/>
      <c r="E206" s="1" t="s">
        <v>59</v>
      </c>
      <c r="F206" s="136"/>
      <c r="G206" s="137"/>
    </row>
    <row r="207" spans="1:11" ht="17.25">
      <c r="A207" s="10"/>
      <c r="B207" s="99"/>
      <c r="C207" s="99"/>
      <c r="D207" s="99"/>
      <c r="E207" s="138"/>
      <c r="F207" s="139"/>
      <c r="G207" s="140"/>
    </row>
    <row r="212" spans="1:15">
      <c r="A212" t="s">
        <v>692</v>
      </c>
    </row>
    <row r="213" spans="1:15">
      <c r="A213" s="145" t="s">
        <v>27</v>
      </c>
      <c r="B213" s="9" t="s">
        <v>4</v>
      </c>
      <c r="C213" s="25" t="s">
        <v>30</v>
      </c>
      <c r="D213" s="13" t="s">
        <v>47</v>
      </c>
      <c r="E213" s="99"/>
      <c r="F213" s="99"/>
      <c r="G213" t="s">
        <v>48</v>
      </c>
      <c r="K213" s="99"/>
    </row>
    <row r="214" spans="1:15">
      <c r="A214" s="34">
        <v>99.08</v>
      </c>
      <c r="B214" s="8">
        <v>2</v>
      </c>
      <c r="C214" s="8">
        <v>2</v>
      </c>
      <c r="D214" s="26">
        <f>( (100/A214) ^ ( 1/(C214*B214) )  - 1 ) * C214</f>
        <v>4.6266338799796358E-3</v>
      </c>
      <c r="E214" s="99" t="s">
        <v>236</v>
      </c>
      <c r="F214" s="99"/>
      <c r="G214" s="1" t="s">
        <v>50</v>
      </c>
      <c r="H214" s="2"/>
      <c r="I214" s="3"/>
      <c r="J214" s="99"/>
      <c r="K214" s="99"/>
    </row>
    <row r="215" spans="1:15">
      <c r="A215" s="34">
        <v>98.76</v>
      </c>
      <c r="B215" s="8">
        <v>2.5</v>
      </c>
      <c r="C215" s="8">
        <v>2</v>
      </c>
      <c r="D215" s="26">
        <f t="shared" ref="D215:D219" si="6">( (100/A215) ^ ( 1/(C215*B215) )  - 1 ) * C215</f>
        <v>4.997241329686819E-3</v>
      </c>
      <c r="E215" s="99" t="s">
        <v>236</v>
      </c>
      <c r="F215" s="99"/>
      <c r="G215" s="4" t="s">
        <v>295</v>
      </c>
      <c r="H215" s="5"/>
      <c r="I215" s="6"/>
      <c r="J215" t="s">
        <v>296</v>
      </c>
      <c r="K215" s="99"/>
    </row>
    <row r="216" spans="1:15">
      <c r="A216" s="34">
        <v>98.76</v>
      </c>
      <c r="B216" s="8">
        <v>2.5</v>
      </c>
      <c r="C216" s="8">
        <v>4</v>
      </c>
      <c r="D216" s="35">
        <f t="shared" si="6"/>
        <v>4.9941236707820025E-3</v>
      </c>
      <c r="E216" s="99" t="s">
        <v>237</v>
      </c>
      <c r="F216" s="99"/>
      <c r="G216" s="99"/>
      <c r="H216" s="99"/>
      <c r="I216" s="99"/>
      <c r="J216" s="99"/>
      <c r="K216" s="99"/>
    </row>
    <row r="217" spans="1:15">
      <c r="A217" s="34">
        <v>98.52</v>
      </c>
      <c r="B217" s="8">
        <v>2.75</v>
      </c>
      <c r="C217" s="8">
        <v>4</v>
      </c>
      <c r="D217" s="141">
        <f t="shared" si="6"/>
        <v>5.4257174718683743E-3</v>
      </c>
      <c r="E217" s="99" t="s">
        <v>237</v>
      </c>
      <c r="F217" s="99"/>
      <c r="G217" s="99" t="s">
        <v>233</v>
      </c>
      <c r="H217" s="99"/>
      <c r="I217" s="99"/>
      <c r="J217" s="99"/>
      <c r="K217" s="99"/>
    </row>
    <row r="218" spans="1:15">
      <c r="A218" s="34"/>
      <c r="B218" s="8"/>
      <c r="C218" s="8"/>
      <c r="D218" s="141" t="e">
        <f t="shared" si="6"/>
        <v>#DIV/0!</v>
      </c>
      <c r="E218" s="124"/>
      <c r="F218" s="92"/>
      <c r="G218" s="1" t="s">
        <v>54</v>
      </c>
      <c r="H218" s="136"/>
      <c r="I218" s="136"/>
      <c r="J218" s="137"/>
      <c r="K218" s="99"/>
    </row>
    <row r="219" spans="1:15">
      <c r="A219" s="34"/>
      <c r="B219" s="8"/>
      <c r="C219" s="8"/>
      <c r="D219" s="141" t="e">
        <f t="shared" si="6"/>
        <v>#DIV/0!</v>
      </c>
      <c r="E219" s="99"/>
      <c r="F219" s="99"/>
      <c r="G219" s="138"/>
      <c r="H219" s="139"/>
      <c r="I219" s="139"/>
      <c r="J219" s="140"/>
      <c r="K219" s="99"/>
    </row>
    <row r="221" spans="1:15" ht="17.25">
      <c r="A221" s="10" t="s">
        <v>66</v>
      </c>
      <c r="D221" s="99"/>
      <c r="E221" s="99"/>
      <c r="F221" s="99"/>
      <c r="G221" s="99"/>
      <c r="H221" s="10" t="s">
        <v>66</v>
      </c>
      <c r="I221" s="99"/>
      <c r="J221" s="99"/>
      <c r="K221" s="99"/>
      <c r="L221" s="99"/>
      <c r="M221" s="99"/>
      <c r="N221" s="99"/>
      <c r="O221" s="99"/>
    </row>
    <row r="222" spans="1:15">
      <c r="A222" s="101" t="s">
        <v>255</v>
      </c>
      <c r="B222" s="101" t="s">
        <v>67</v>
      </c>
      <c r="C222" s="101" t="s">
        <v>256</v>
      </c>
      <c r="D222" s="101" t="s">
        <v>257</v>
      </c>
      <c r="E222" s="155" t="s">
        <v>258</v>
      </c>
      <c r="F222" s="154" t="s">
        <v>254</v>
      </c>
      <c r="G222" s="99"/>
      <c r="H222" s="1" t="s">
        <v>79</v>
      </c>
      <c r="I222" s="2"/>
      <c r="J222" s="3"/>
      <c r="K222" s="99"/>
      <c r="L222" s="99"/>
      <c r="M222" s="99"/>
      <c r="N222" s="99"/>
      <c r="O222" s="99"/>
    </row>
    <row r="223" spans="1:15">
      <c r="A223" s="106">
        <v>2</v>
      </c>
      <c r="B223" s="153">
        <f>D214</f>
        <v>4.6266338799796358E-3</v>
      </c>
      <c r="C223" s="106">
        <v>2.5</v>
      </c>
      <c r="D223" s="153">
        <f>D215</f>
        <v>4.997241329686819E-3</v>
      </c>
      <c r="E223" s="106">
        <v>2</v>
      </c>
      <c r="F223" s="153">
        <f>((((1+((D223)/E223))^(E223*C223))/((1+((B223)/E223))^(E223*A223)))^(1/((C223-A223)*E223))-1)*E223</f>
        <v>6.4803564196038721E-3</v>
      </c>
      <c r="G223" s="150" t="s">
        <v>8</v>
      </c>
      <c r="H223" s="200" t="s">
        <v>297</v>
      </c>
      <c r="I223" s="201"/>
      <c r="J223" s="201"/>
      <c r="K223" s="203"/>
      <c r="L223" s="204"/>
      <c r="M223" s="204"/>
      <c r="N223" s="202"/>
      <c r="O223" s="99"/>
    </row>
    <row r="224" spans="1:15">
      <c r="A224" s="106">
        <v>2.5</v>
      </c>
      <c r="B224" s="376">
        <f>D216</f>
        <v>4.9941236707820025E-3</v>
      </c>
      <c r="C224" s="106">
        <v>2.75</v>
      </c>
      <c r="D224" s="375">
        <f>D217</f>
        <v>5.4257174718683743E-3</v>
      </c>
      <c r="E224" s="106">
        <v>4</v>
      </c>
      <c r="F224" s="156">
        <f>((((1+((D224)/E224))^(E224*C224))/((1+((B224)/E224))^(E224*A224)))^(1/((C224-A224)*E224))-1)*E224</f>
        <v>9.7442143727155539E-3</v>
      </c>
      <c r="G224" s="150" t="s">
        <v>8</v>
      </c>
      <c r="H224" s="99"/>
      <c r="I224" s="99"/>
      <c r="J224" s="99"/>
      <c r="K224" s="99"/>
      <c r="L224" s="99"/>
      <c r="M224" s="99"/>
      <c r="N224" s="99"/>
      <c r="O224" s="99"/>
    </row>
    <row r="225" spans="1:15">
      <c r="A225" s="99"/>
      <c r="B225" s="99"/>
      <c r="C225" s="99"/>
      <c r="D225" s="99"/>
      <c r="E225" s="99"/>
      <c r="F225" s="99"/>
      <c r="G225" s="99"/>
      <c r="H225" s="99"/>
      <c r="I225" s="99"/>
      <c r="J225" s="99"/>
      <c r="K225" s="99"/>
      <c r="L225" s="99"/>
      <c r="M225" s="99"/>
      <c r="N225" s="99"/>
      <c r="O225" s="99"/>
    </row>
    <row r="226" spans="1:15">
      <c r="A226" s="99"/>
      <c r="B226" s="99"/>
      <c r="C226" s="99"/>
      <c r="D226" s="99"/>
      <c r="E226" s="99"/>
      <c r="F226" s="157" t="s">
        <v>259</v>
      </c>
      <c r="G226" s="99"/>
      <c r="H226" s="99"/>
      <c r="I226" s="99"/>
      <c r="J226" s="99"/>
      <c r="K226" s="99"/>
      <c r="L226" s="99"/>
      <c r="M226" s="99"/>
      <c r="N226" s="99"/>
      <c r="O226" s="99"/>
    </row>
    <row r="227" spans="1:15">
      <c r="A227" s="99"/>
      <c r="B227" s="99"/>
      <c r="C227" s="99"/>
      <c r="D227" s="99"/>
      <c r="E227" s="99"/>
      <c r="F227" s="99"/>
      <c r="G227" s="99"/>
      <c r="H227" s="99"/>
      <c r="I227" s="99"/>
      <c r="J227" s="99"/>
      <c r="K227" s="99"/>
      <c r="L227" s="99"/>
      <c r="M227" s="99"/>
      <c r="N227" s="99"/>
      <c r="O227" s="99"/>
    </row>
    <row r="228" spans="1:15">
      <c r="A228" s="99"/>
      <c r="B228" s="99"/>
      <c r="C228" s="99"/>
      <c r="D228" s="99"/>
      <c r="E228" s="99"/>
      <c r="F228" s="99"/>
      <c r="G228" s="99"/>
      <c r="H228" s="99"/>
      <c r="I228" s="99"/>
      <c r="J228" s="99"/>
      <c r="K228" s="99"/>
      <c r="L228" s="99"/>
      <c r="M228" s="99"/>
      <c r="N228" s="99"/>
      <c r="O228" s="99"/>
    </row>
    <row r="229" spans="1:15" ht="17.25">
      <c r="A229" s="10" t="s">
        <v>74</v>
      </c>
      <c r="D229" s="99"/>
      <c r="E229" s="99"/>
      <c r="F229" s="99"/>
      <c r="G229" s="99"/>
      <c r="H229" s="10" t="s">
        <v>74</v>
      </c>
      <c r="I229" s="99"/>
      <c r="J229" s="99"/>
      <c r="K229" s="99"/>
      <c r="L229" s="99"/>
      <c r="M229" s="99"/>
      <c r="N229" s="99"/>
      <c r="O229" s="99"/>
    </row>
    <row r="230" spans="1:15">
      <c r="A230" s="101" t="s">
        <v>255</v>
      </c>
      <c r="B230" s="101" t="s">
        <v>67</v>
      </c>
      <c r="C230" s="101" t="s">
        <v>256</v>
      </c>
      <c r="D230" s="101" t="s">
        <v>257</v>
      </c>
      <c r="E230" s="155" t="s">
        <v>258</v>
      </c>
      <c r="F230" s="154" t="s">
        <v>254</v>
      </c>
      <c r="G230" s="99"/>
      <c r="H230" s="1" t="s">
        <v>75</v>
      </c>
      <c r="I230" s="2"/>
      <c r="J230" s="3"/>
      <c r="K230" s="99"/>
      <c r="L230" s="99"/>
      <c r="M230" s="99"/>
      <c r="N230" s="99"/>
      <c r="O230" s="99"/>
    </row>
    <row r="231" spans="1:15">
      <c r="A231" s="106">
        <v>2.5</v>
      </c>
      <c r="B231" s="376">
        <f>C199</f>
        <v>4.9910086044450174E-3</v>
      </c>
      <c r="C231" s="106">
        <v>2.75</v>
      </c>
      <c r="D231" s="374">
        <f>C198</f>
        <v>5.4220409948197382E-3</v>
      </c>
      <c r="E231" s="106" t="s">
        <v>260</v>
      </c>
      <c r="F231" s="153">
        <f>( (C231*D231) - (A231*B231) ) / ( C231-A231)</f>
        <v>9.7323648985669503E-3</v>
      </c>
      <c r="G231" s="99" t="s">
        <v>16</v>
      </c>
      <c r="H231" s="4" t="s">
        <v>76</v>
      </c>
      <c r="I231" s="5"/>
      <c r="J231" s="6"/>
      <c r="K231" s="99"/>
      <c r="L231" s="99"/>
      <c r="M231" s="99"/>
      <c r="N231" s="99"/>
      <c r="O231" s="99"/>
    </row>
    <row r="232" spans="1:15">
      <c r="A232" s="106"/>
      <c r="B232" s="107"/>
      <c r="C232" s="106"/>
      <c r="D232" s="152"/>
      <c r="E232" s="106" t="s">
        <v>260</v>
      </c>
      <c r="F232" s="156" t="e">
        <f>( (C232*D232) - (A232*B232) ) / ( C232-A232)</f>
        <v>#DIV/0!</v>
      </c>
      <c r="G232" s="99"/>
      <c r="H232" s="99"/>
      <c r="I232" s="99"/>
      <c r="J232" s="99"/>
      <c r="K232" s="99"/>
      <c r="L232" s="99"/>
      <c r="M232" s="99"/>
      <c r="N232" s="99"/>
      <c r="O232" s="99"/>
    </row>
    <row r="233" spans="1:15">
      <c r="A233" s="99"/>
      <c r="B233" s="99"/>
      <c r="C233" s="99"/>
      <c r="D233" s="99"/>
      <c r="E233" s="99"/>
      <c r="F233" s="99"/>
      <c r="G233" s="99"/>
      <c r="H233" s="99"/>
      <c r="I233" s="99"/>
      <c r="J233" s="99"/>
      <c r="K233" s="99"/>
      <c r="L233" s="99"/>
      <c r="M233" s="99"/>
      <c r="N233" s="99"/>
      <c r="O233" s="99"/>
    </row>
    <row r="234" spans="1:15">
      <c r="A234" s="99"/>
      <c r="B234" s="99"/>
      <c r="C234" s="99"/>
      <c r="D234" s="99"/>
      <c r="E234" s="99"/>
      <c r="F234" s="157" t="s">
        <v>261</v>
      </c>
      <c r="G234" s="99"/>
      <c r="H234" s="99"/>
      <c r="I234" s="99"/>
      <c r="J234" s="99"/>
      <c r="K234" s="99"/>
      <c r="L234" s="99"/>
      <c r="M234" s="99"/>
      <c r="N234" s="99"/>
      <c r="O234" s="99"/>
    </row>
    <row r="235" spans="1:15">
      <c r="A235" s="99"/>
      <c r="B235" s="99"/>
      <c r="C235" s="99"/>
      <c r="D235" s="99"/>
      <c r="E235" s="99"/>
      <c r="F235" s="99"/>
      <c r="G235" s="99"/>
      <c r="H235" s="99"/>
      <c r="I235" s="99"/>
      <c r="J235" s="99"/>
      <c r="K235" s="99"/>
      <c r="L235" s="99"/>
      <c r="M235" s="99"/>
      <c r="N235" s="99"/>
      <c r="O235" s="99"/>
    </row>
    <row r="236" spans="1:15">
      <c r="A236" s="99"/>
      <c r="B236" s="99"/>
      <c r="C236" s="99"/>
      <c r="D236" s="99"/>
      <c r="E236" s="99"/>
      <c r="F236" s="99"/>
      <c r="G236" s="99"/>
      <c r="H236" s="99"/>
      <c r="I236" s="99"/>
      <c r="J236" s="99"/>
      <c r="K236" s="99"/>
      <c r="L236" s="99"/>
      <c r="M236" s="99"/>
      <c r="N236" s="99"/>
      <c r="O236" s="99"/>
    </row>
    <row r="237" spans="1:15">
      <c r="A237" s="99"/>
      <c r="B237" s="99"/>
      <c r="C237" s="99"/>
      <c r="D237" s="99"/>
      <c r="E237" s="99"/>
      <c r="F237" s="99"/>
      <c r="G237" s="99"/>
      <c r="H237" s="99"/>
      <c r="I237" s="99"/>
      <c r="J237" s="99"/>
      <c r="K237" s="99"/>
      <c r="L237" s="99"/>
      <c r="M237" s="99"/>
      <c r="N237" s="99"/>
      <c r="O237" s="99"/>
    </row>
    <row r="239" spans="1:15">
      <c r="A239" t="s">
        <v>693</v>
      </c>
    </row>
    <row r="240" spans="1:15" ht="17.25">
      <c r="A240" s="10" t="s">
        <v>252</v>
      </c>
      <c r="B240" s="99"/>
      <c r="C240" s="99"/>
      <c r="D240" s="99"/>
      <c r="E240" s="99"/>
      <c r="F240" s="99"/>
    </row>
    <row r="241" spans="1:6">
      <c r="A241" s="100" t="s">
        <v>241</v>
      </c>
      <c r="B241" s="99"/>
      <c r="C241" s="99"/>
      <c r="D241" s="99"/>
      <c r="E241" s="99"/>
      <c r="F241" s="99"/>
    </row>
    <row r="242" spans="1:6">
      <c r="A242" s="13" t="s">
        <v>27</v>
      </c>
      <c r="B242" s="9" t="s">
        <v>4</v>
      </c>
      <c r="C242" s="25" t="s">
        <v>30</v>
      </c>
      <c r="D242" s="145" t="s">
        <v>47</v>
      </c>
      <c r="E242" s="99"/>
      <c r="F242" s="99"/>
    </row>
    <row r="243" spans="1:6">
      <c r="A243" s="34">
        <f>100 / ( ( 1 + D243/C243 )^(B243*C243) )</f>
        <v>99.382871129604879</v>
      </c>
      <c r="B243" s="8">
        <v>1</v>
      </c>
      <c r="C243" s="8">
        <v>2</v>
      </c>
      <c r="D243" s="35">
        <v>6.1999999999999998E-3</v>
      </c>
      <c r="E243" s="99" t="s">
        <v>235</v>
      </c>
      <c r="F243" s="99"/>
    </row>
    <row r="244" spans="1:6">
      <c r="A244" s="34"/>
      <c r="B244" s="8"/>
      <c r="C244" s="8"/>
      <c r="D244" s="141"/>
      <c r="E244" s="99" t="s">
        <v>236</v>
      </c>
      <c r="F244" s="99"/>
    </row>
    <row r="245" spans="1:6">
      <c r="A245" s="34"/>
      <c r="B245" s="8"/>
      <c r="C245" s="8"/>
      <c r="D245" s="141"/>
      <c r="E245" s="99" t="s">
        <v>237</v>
      </c>
      <c r="F245" s="99"/>
    </row>
    <row r="246" spans="1:6">
      <c r="A246" s="34"/>
      <c r="B246" s="8"/>
      <c r="C246" s="8"/>
      <c r="D246" s="141"/>
      <c r="E246" s="143" t="s">
        <v>238</v>
      </c>
      <c r="F246" s="99"/>
    </row>
    <row r="247" spans="1:6">
      <c r="A247" s="147"/>
      <c r="B247" s="8"/>
      <c r="C247" s="8"/>
      <c r="D247" s="141"/>
      <c r="E247" s="124" t="s">
        <v>239</v>
      </c>
      <c r="F247" s="92"/>
    </row>
    <row r="248" spans="1:6">
      <c r="A248" s="34"/>
      <c r="B248" s="8"/>
      <c r="C248" s="8"/>
      <c r="D248" s="141"/>
      <c r="E248" s="99"/>
      <c r="F248" s="99"/>
    </row>
    <row r="249" spans="1:6">
      <c r="A249" s="99"/>
      <c r="B249" s="99"/>
      <c r="C249" s="99"/>
      <c r="D249" s="99"/>
      <c r="E249" s="99"/>
      <c r="F249" s="99"/>
    </row>
    <row r="250" spans="1:6">
      <c r="A250" s="148" t="s">
        <v>242</v>
      </c>
      <c r="B250" s="99"/>
      <c r="C250" s="99"/>
      <c r="D250" s="142"/>
      <c r="E250" s="99"/>
      <c r="F250" s="99"/>
    </row>
    <row r="251" spans="1:6">
      <c r="A251" s="149" t="s">
        <v>243</v>
      </c>
      <c r="B251" s="99"/>
      <c r="C251" s="99"/>
      <c r="D251" s="144"/>
      <c r="E251" s="99"/>
      <c r="F251" s="99"/>
    </row>
    <row r="252" spans="1:6">
      <c r="A252" s="99"/>
      <c r="B252" s="99"/>
      <c r="C252" s="99"/>
      <c r="D252" s="99"/>
      <c r="E252" s="99"/>
      <c r="F252" s="99"/>
    </row>
    <row r="253" spans="1:6" ht="17.25">
      <c r="A253" s="10" t="s">
        <v>231</v>
      </c>
      <c r="B253" s="99"/>
      <c r="C253" s="99"/>
      <c r="D253" s="99"/>
      <c r="E253" s="99"/>
    </row>
    <row r="254" spans="1:6">
      <c r="A254" s="100" t="s">
        <v>232</v>
      </c>
      <c r="B254" s="99"/>
      <c r="C254" s="99"/>
      <c r="D254" s="99"/>
      <c r="E254" s="99"/>
    </row>
    <row r="255" spans="1:6">
      <c r="A255" s="145" t="s">
        <v>27</v>
      </c>
      <c r="B255" s="9" t="s">
        <v>4</v>
      </c>
      <c r="C255" s="25" t="s">
        <v>30</v>
      </c>
      <c r="D255" s="13" t="s">
        <v>47</v>
      </c>
      <c r="E255" s="99"/>
    </row>
    <row r="256" spans="1:6">
      <c r="A256" s="34">
        <v>98.91</v>
      </c>
      <c r="B256" s="8">
        <v>1.5</v>
      </c>
      <c r="C256" s="8">
        <v>2</v>
      </c>
      <c r="D256" s="26">
        <f>( (100/A256) ^ ( 1/(C256*B256) )  - 1 ) * C256</f>
        <v>7.319922880530072E-3</v>
      </c>
      <c r="E256" s="99" t="s">
        <v>236</v>
      </c>
    </row>
    <row r="257" spans="1:5">
      <c r="A257" s="34"/>
      <c r="B257" s="8"/>
      <c r="C257" s="8"/>
      <c r="D257" s="373" t="e">
        <f t="shared" ref="D257" si="7">( (100/A257) ^ ( 1/(C257*B257) )  - 1 ) * C257</f>
        <v>#DIV/0!</v>
      </c>
      <c r="E257" s="99" t="s">
        <v>237</v>
      </c>
    </row>
    <row r="260" spans="1:5" ht="17.25">
      <c r="A260" s="10" t="s">
        <v>46</v>
      </c>
      <c r="D260" s="99"/>
      <c r="E260" s="99"/>
    </row>
    <row r="261" spans="1:5">
      <c r="A261" s="33" t="s">
        <v>37</v>
      </c>
      <c r="B261" s="33" t="s">
        <v>38</v>
      </c>
      <c r="C261" s="33" t="s">
        <v>39</v>
      </c>
      <c r="D261" s="99"/>
      <c r="E261" s="99"/>
    </row>
    <row r="262" spans="1:5">
      <c r="A262" s="8" t="s">
        <v>42</v>
      </c>
      <c r="B262" s="8" t="s">
        <v>41</v>
      </c>
      <c r="C262" s="8" t="s">
        <v>40</v>
      </c>
      <c r="D262" s="99"/>
      <c r="E262" s="99"/>
    </row>
    <row r="263" spans="1:5">
      <c r="A263" s="8" t="s">
        <v>45</v>
      </c>
      <c r="B263" s="8" t="s">
        <v>44</v>
      </c>
      <c r="C263" s="8" t="s">
        <v>43</v>
      </c>
      <c r="D263" s="99"/>
      <c r="E263" s="99"/>
    </row>
    <row r="264" spans="1:5">
      <c r="A264" s="99"/>
      <c r="B264" s="99"/>
      <c r="C264" s="99"/>
      <c r="D264" s="99"/>
      <c r="E264" s="99"/>
    </row>
    <row r="265" spans="1:5">
      <c r="A265" s="135" t="s">
        <v>229</v>
      </c>
      <c r="B265" s="99"/>
      <c r="C265" s="135" t="s">
        <v>227</v>
      </c>
      <c r="D265" s="99"/>
      <c r="E265" s="99"/>
    </row>
    <row r="266" spans="1:5">
      <c r="A266" s="99" t="s">
        <v>230</v>
      </c>
      <c r="B266" s="99"/>
      <c r="C266" s="135" t="s">
        <v>228</v>
      </c>
      <c r="D266" s="99"/>
      <c r="E266" s="99"/>
    </row>
    <row r="267" spans="1:5">
      <c r="A267" s="99"/>
      <c r="B267" s="99"/>
      <c r="C267" s="99"/>
      <c r="D267" s="99"/>
      <c r="E267" s="99"/>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17</vt:i4>
      </vt:variant>
    </vt:vector>
  </HeadingPairs>
  <TitlesOfParts>
    <vt:vector size="17" baseType="lpstr">
      <vt:lpstr>債権数理式</vt:lpstr>
      <vt:lpstr>LIBOR・SWAP</vt:lpstr>
      <vt:lpstr>確率・統計</vt:lpstr>
      <vt:lpstr>無裁定とPutCallパリティ</vt:lpstr>
      <vt:lpstr>２項モデル</vt:lpstr>
      <vt:lpstr>連続モデル</vt:lpstr>
      <vt:lpstr>リスク中立</vt:lpstr>
      <vt:lpstr>BS式</vt:lpstr>
      <vt:lpstr>宿題１（解き直し）</vt:lpstr>
      <vt:lpstr>LIBOR(練習問題)</vt:lpstr>
      <vt:lpstr>確率・統計（練習問題）</vt:lpstr>
      <vt:lpstr>宿題（無裁定）</vt:lpstr>
      <vt:lpstr>問題（連続モデル）</vt:lpstr>
      <vt:lpstr>BootStrap</vt:lpstr>
      <vt:lpstr>複利計算</vt:lpstr>
      <vt:lpstr>LIBOR</vt:lpstr>
      <vt:lpstr>宿題１</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2006-09-13T11:12:02Z</dcterms:created>
  <dcterms:modified xsi:type="dcterms:W3CDTF">2014-02-16T10:43:47Z</dcterms:modified>
</cp:coreProperties>
</file>