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25" windowHeight="10335" activeTab="3"/>
  </bookViews>
  <sheets>
    <sheet name="複利計算" sheetId="3" r:id="rId1"/>
    <sheet name="BootStrap" sheetId="5" r:id="rId2"/>
    <sheet name="LIBOR" sheetId="6" r:id="rId3"/>
    <sheet name="宿題１" sheetId="4" r:id="rId4"/>
  </sheets>
  <calcPr calcId="152511"/>
</workbook>
</file>

<file path=xl/calcChain.xml><?xml version="1.0" encoding="utf-8"?>
<calcChain xmlns="http://schemas.openxmlformats.org/spreadsheetml/2006/main">
  <c r="B93" i="4" l="1"/>
  <c r="H93" i="4" s="1"/>
  <c r="F93" i="4"/>
  <c r="H94" i="4" s="1"/>
  <c r="C86" i="4"/>
  <c r="C85" i="4"/>
  <c r="E68" i="4"/>
  <c r="E79" i="4" s="1"/>
  <c r="E69" i="4"/>
  <c r="E80" i="4" s="1"/>
  <c r="E70" i="4"/>
  <c r="E81" i="4" s="1"/>
  <c r="C87" i="4" s="1"/>
  <c r="B99" i="3"/>
  <c r="E101" i="3"/>
  <c r="E100" i="3"/>
  <c r="E71" i="4"/>
  <c r="E82" i="4" s="1"/>
  <c r="C88" i="4" s="1"/>
  <c r="B75" i="6"/>
  <c r="C56" i="6"/>
  <c r="G49" i="6"/>
  <c r="G48" i="6"/>
  <c r="E28" i="6"/>
  <c r="H78" i="5"/>
  <c r="H75" i="5"/>
  <c r="H76" i="5"/>
  <c r="H77" i="5"/>
  <c r="H74" i="5"/>
  <c r="B17" i="6"/>
  <c r="B7" i="6"/>
  <c r="E74" i="5"/>
  <c r="D39" i="5"/>
  <c r="D50" i="5" s="1"/>
  <c r="D23" i="5"/>
  <c r="D27" i="5" s="1"/>
  <c r="E30" i="5" s="1"/>
  <c r="C33" i="5" s="1"/>
  <c r="D9" i="5"/>
  <c r="D14" i="5" s="1"/>
  <c r="D8" i="5"/>
  <c r="D13" i="5" s="1"/>
  <c r="H95" i="4" l="1"/>
  <c r="I93" i="4" s="1"/>
  <c r="C89" i="4"/>
  <c r="E88" i="4" s="1"/>
  <c r="E30" i="6"/>
  <c r="C35" i="6" s="1"/>
  <c r="C36" i="6" s="1"/>
  <c r="C57" i="6"/>
  <c r="G50" i="6"/>
  <c r="E29" i="6"/>
  <c r="C34" i="6" s="1"/>
  <c r="C33" i="6"/>
  <c r="C58" i="5"/>
  <c r="D43" i="5"/>
  <c r="E46" i="5" s="1"/>
  <c r="E75" i="5"/>
  <c r="E76" i="5" s="1"/>
  <c r="C17" i="5"/>
  <c r="G59" i="4"/>
  <c r="G53" i="4"/>
  <c r="G54" i="4"/>
  <c r="G52" i="4"/>
  <c r="E32" i="4"/>
  <c r="F32" i="4" s="1"/>
  <c r="E28" i="4"/>
  <c r="F28" i="4" s="1"/>
  <c r="E24" i="4"/>
  <c r="F24" i="4" s="1"/>
  <c r="D43" i="4"/>
  <c r="D42" i="4"/>
  <c r="D41" i="4"/>
  <c r="D35" i="4"/>
  <c r="E35" i="4" s="1"/>
  <c r="E34" i="4"/>
  <c r="F34" i="4" s="1"/>
  <c r="E33" i="4"/>
  <c r="F33" i="4" s="1"/>
  <c r="D31" i="4"/>
  <c r="E31" i="4" s="1"/>
  <c r="F31" i="4" s="1"/>
  <c r="E30" i="4"/>
  <c r="F30" i="4" s="1"/>
  <c r="E29" i="4"/>
  <c r="F29" i="4" s="1"/>
  <c r="D27" i="4"/>
  <c r="E27" i="4" s="1"/>
  <c r="F27" i="4" s="1"/>
  <c r="E26" i="4"/>
  <c r="F26" i="4" s="1"/>
  <c r="E25" i="4"/>
  <c r="F25" i="4" s="1"/>
  <c r="D14" i="4"/>
  <c r="E14" i="4" s="1"/>
  <c r="E7" i="4"/>
  <c r="D7" i="4"/>
  <c r="D6" i="4"/>
  <c r="F6" i="4" s="1"/>
  <c r="G51" i="6" l="1"/>
  <c r="C58" i="6"/>
  <c r="C59" i="5"/>
  <c r="E56" i="5"/>
  <c r="C60" i="5" s="1"/>
  <c r="D53" i="5"/>
  <c r="E77" i="5"/>
  <c r="B83" i="5" s="1"/>
  <c r="B84" i="5" s="1"/>
  <c r="F7" i="4"/>
  <c r="G143" i="3"/>
  <c r="D143" i="3"/>
  <c r="G142" i="3"/>
  <c r="D142" i="3"/>
  <c r="J131" i="3"/>
  <c r="J132" i="3"/>
  <c r="G132" i="3"/>
  <c r="D132" i="3"/>
  <c r="E96" i="3"/>
  <c r="E98" i="3"/>
  <c r="E97" i="3"/>
  <c r="K141" i="3"/>
  <c r="I141" i="3"/>
  <c r="G141" i="3"/>
  <c r="D141" i="3"/>
  <c r="D131" i="3"/>
  <c r="G131" i="3"/>
  <c r="E116" i="3"/>
  <c r="E117" i="3"/>
  <c r="E115" i="3"/>
  <c r="E118" i="3"/>
  <c r="E95" i="3"/>
  <c r="E102" i="3"/>
  <c r="E94" i="3"/>
  <c r="E90" i="3"/>
  <c r="E91" i="3"/>
  <c r="E92" i="3"/>
  <c r="E93" i="3"/>
  <c r="E89" i="3"/>
  <c r="F66" i="3"/>
  <c r="H68" i="3" s="1"/>
  <c r="H69" i="3"/>
  <c r="H67" i="3"/>
  <c r="H66" i="3"/>
  <c r="H58" i="3"/>
  <c r="F58" i="3"/>
  <c r="H60" i="3" s="1"/>
  <c r="H53" i="3"/>
  <c r="F53" i="3"/>
  <c r="H54" i="3" s="1"/>
  <c r="E36" i="3"/>
  <c r="E37" i="3"/>
  <c r="F19" i="3"/>
  <c r="F20" i="3"/>
  <c r="F21" i="3"/>
  <c r="E18" i="3"/>
  <c r="F18" i="3" s="1"/>
  <c r="E17" i="3"/>
  <c r="F17" i="3" s="1"/>
  <c r="E32" i="3"/>
  <c r="E33" i="3"/>
  <c r="E34" i="3"/>
  <c r="E35" i="3"/>
  <c r="E38" i="3"/>
  <c r="F22" i="3"/>
  <c r="F8" i="3"/>
  <c r="F9" i="3"/>
  <c r="F11" i="3"/>
  <c r="F12" i="3"/>
  <c r="F13" i="3"/>
  <c r="F14" i="3"/>
  <c r="F15" i="3"/>
  <c r="F7" i="3"/>
  <c r="E16" i="3"/>
  <c r="F16" i="3" s="1"/>
  <c r="E10" i="3"/>
  <c r="F10" i="3" s="1"/>
  <c r="C59" i="6" l="1"/>
  <c r="G52" i="6"/>
  <c r="C60" i="6" s="1"/>
  <c r="I142" i="3"/>
  <c r="K142" i="3" s="1"/>
  <c r="I143" i="3"/>
  <c r="K143" i="3" s="1"/>
  <c r="H70" i="3"/>
  <c r="I66" i="3"/>
  <c r="H55" i="3"/>
  <c r="I53" i="3" s="1"/>
  <c r="H59" i="3"/>
  <c r="I58" i="3" s="1"/>
  <c r="G53" i="6" l="1"/>
  <c r="C61" i="6" s="1"/>
  <c r="C62" i="6" s="1"/>
</calcChain>
</file>

<file path=xl/sharedStrings.xml><?xml version="1.0" encoding="utf-8"?>
<sst xmlns="http://schemas.openxmlformats.org/spreadsheetml/2006/main" count="393" uniqueCount="208">
  <si>
    <t>複利計算式</t>
    <rPh sb="0" eb="2">
      <t>フクリ</t>
    </rPh>
    <rPh sb="2" eb="4">
      <t>ケイサン</t>
    </rPh>
    <rPh sb="4" eb="5">
      <t>シキ</t>
    </rPh>
    <phoneticPr fontId="1"/>
  </si>
  <si>
    <t>当初元本　×　（ 1 + r / n ) ^ nt</t>
    <rPh sb="0" eb="2">
      <t>トウショ</t>
    </rPh>
    <rPh sb="2" eb="4">
      <t>ガンポン</t>
    </rPh>
    <phoneticPr fontId="1"/>
  </si>
  <si>
    <t>当初元本</t>
    <rPh sb="0" eb="2">
      <t>トウショ</t>
    </rPh>
    <rPh sb="2" eb="4">
      <t>ガンポン</t>
    </rPh>
    <phoneticPr fontId="1"/>
  </si>
  <si>
    <t>金利r</t>
    <rPh sb="0" eb="2">
      <t>キンリ</t>
    </rPh>
    <phoneticPr fontId="1"/>
  </si>
  <si>
    <t>期間 t 年</t>
    <rPh sb="0" eb="2">
      <t>キカン</t>
    </rPh>
    <rPh sb="5" eb="6">
      <t>ネン</t>
    </rPh>
    <phoneticPr fontId="1"/>
  </si>
  <si>
    <t>回数 n</t>
    <rPh sb="0" eb="2">
      <t>カイスウ</t>
    </rPh>
    <phoneticPr fontId="1"/>
  </si>
  <si>
    <t>答え</t>
    <rPh sb="0" eb="1">
      <t>コタ</t>
    </rPh>
    <phoneticPr fontId="1"/>
  </si>
  <si>
    <t>１年複利</t>
    <rPh sb="1" eb="2">
      <t>ネン</t>
    </rPh>
    <rPh sb="2" eb="4">
      <t>フクリ</t>
    </rPh>
    <phoneticPr fontId="1"/>
  </si>
  <si>
    <t>半年複利</t>
    <rPh sb="0" eb="2">
      <t>ハントシ</t>
    </rPh>
    <rPh sb="2" eb="4">
      <t>フクリ</t>
    </rPh>
    <phoneticPr fontId="1"/>
  </si>
  <si>
    <t>１カ月複利</t>
    <rPh sb="2" eb="3">
      <t>ゲツ</t>
    </rPh>
    <rPh sb="3" eb="5">
      <t>フクリ</t>
    </rPh>
    <phoneticPr fontId="1"/>
  </si>
  <si>
    <t>1秒複利</t>
    <rPh sb="1" eb="2">
      <t>ビョウ</t>
    </rPh>
    <rPh sb="2" eb="4">
      <t>フクリ</t>
    </rPh>
    <phoneticPr fontId="1"/>
  </si>
  <si>
    <t>問題１</t>
    <rPh sb="0" eb="2">
      <t>モンダイ</t>
    </rPh>
    <phoneticPr fontId="1"/>
  </si>
  <si>
    <t>3か月複利</t>
    <rPh sb="2" eb="3">
      <t>ゲツ</t>
    </rPh>
    <rPh sb="3" eb="5">
      <t>フクリ</t>
    </rPh>
    <phoneticPr fontId="1"/>
  </si>
  <si>
    <t>1日複利</t>
    <rPh sb="1" eb="2">
      <t>ヒ</t>
    </rPh>
    <rPh sb="2" eb="4">
      <t>フクリ</t>
    </rPh>
    <phoneticPr fontId="1"/>
  </si>
  <si>
    <t>=B16 * ( 1 + C16 / E16 ) ^ ( E16 * D16 )</t>
    <phoneticPr fontId="1"/>
  </si>
  <si>
    <t>=当初元本　×　（ 1 + r / n ) ^ nt</t>
    <phoneticPr fontId="1"/>
  </si>
  <si>
    <t>連続複利</t>
    <rPh sb="0" eb="2">
      <t>レンゾク</t>
    </rPh>
    <rPh sb="2" eb="4">
      <t>フクリ</t>
    </rPh>
    <phoneticPr fontId="1"/>
  </si>
  <si>
    <t>当初元本　×　lim ( 1 + r / n ) ^ t * n</t>
    <rPh sb="0" eb="2">
      <t>トウショ</t>
    </rPh>
    <rPh sb="2" eb="4">
      <t>ガンポン</t>
    </rPh>
    <phoneticPr fontId="1"/>
  </si>
  <si>
    <t>→　当初元本 × e ^ (r * t )</t>
    <rPh sb="2" eb="4">
      <t>トウショ</t>
    </rPh>
    <rPh sb="4" eb="6">
      <t>ガンポン</t>
    </rPh>
    <phoneticPr fontId="1"/>
  </si>
  <si>
    <t>問題２</t>
    <rPh sb="0" eb="2">
      <t>モンダイ</t>
    </rPh>
    <phoneticPr fontId="1"/>
  </si>
  <si>
    <t>= B30 * EXP(C30 * D30 )</t>
    <phoneticPr fontId="1"/>
  </si>
  <si>
    <t>= 当初元本 × e ^ ( 金利 × 期間 )</t>
    <phoneticPr fontId="1"/>
  </si>
  <si>
    <t>問題３</t>
    <rPh sb="0" eb="2">
      <t>モンダイ</t>
    </rPh>
    <phoneticPr fontId="1"/>
  </si>
  <si>
    <t>債権の複利利回り</t>
    <rPh sb="0" eb="2">
      <t>サイケン</t>
    </rPh>
    <rPh sb="3" eb="5">
      <t>フクリ</t>
    </rPh>
    <rPh sb="5" eb="7">
      <t>リマワ</t>
    </rPh>
    <phoneticPr fontId="1"/>
  </si>
  <si>
    <t>c/(1+r) + c/(1+r)^2 + ・・・ + (c+100) / (1+r)^n = P</t>
    <phoneticPr fontId="1"/>
  </si>
  <si>
    <t>→　IRR(キャッシュフロー)　※最初はマイナス</t>
    <rPh sb="17" eb="19">
      <t>サイショ</t>
    </rPh>
    <phoneticPr fontId="1"/>
  </si>
  <si>
    <t>(c/2)/(1+r/2) + (c/2)/(1+r/2)^2 + ・・・ + (c/2+100) / (1+r/2)^n = P</t>
    <phoneticPr fontId="1"/>
  </si>
  <si>
    <t>価格</t>
    <rPh sb="0" eb="2">
      <t>カカク</t>
    </rPh>
    <phoneticPr fontId="1"/>
  </si>
  <si>
    <t>クーポン</t>
    <phoneticPr fontId="1"/>
  </si>
  <si>
    <t>クーポンフロー</t>
    <phoneticPr fontId="1"/>
  </si>
  <si>
    <t>クーポン年支払回数</t>
    <rPh sb="4" eb="5">
      <t>ネン</t>
    </rPh>
    <rPh sb="5" eb="7">
      <t>シハライ</t>
    </rPh>
    <rPh sb="7" eb="9">
      <t>カイスウ</t>
    </rPh>
    <phoneticPr fontId="1"/>
  </si>
  <si>
    <t>CashFlow</t>
    <phoneticPr fontId="1"/>
  </si>
  <si>
    <t>価格パーの場合は、クーポンレート＝単利利回り＝複利利回りが同じになる。</t>
    <rPh sb="0" eb="2">
      <t>カカク</t>
    </rPh>
    <rPh sb="5" eb="7">
      <t>バアイ</t>
    </rPh>
    <rPh sb="17" eb="19">
      <t>タンリ</t>
    </rPh>
    <rPh sb="19" eb="21">
      <t>リマワ</t>
    </rPh>
    <rPh sb="23" eb="25">
      <t>フクリ</t>
    </rPh>
    <rPh sb="25" eb="27">
      <t>リマワ</t>
    </rPh>
    <rPh sb="29" eb="30">
      <t>オナ</t>
    </rPh>
    <phoneticPr fontId="1"/>
  </si>
  <si>
    <t>→現在価値が、額面100円と同じということは、クーポンレートがそのまま利回りと考えることができる。</t>
    <rPh sb="1" eb="3">
      <t>ゲンザイ</t>
    </rPh>
    <rPh sb="3" eb="5">
      <t>カチ</t>
    </rPh>
    <rPh sb="7" eb="9">
      <t>ガクメン</t>
    </rPh>
    <rPh sb="12" eb="13">
      <t>エン</t>
    </rPh>
    <rPh sb="14" eb="15">
      <t>オナ</t>
    </rPh>
    <rPh sb="35" eb="37">
      <t>リマワ</t>
    </rPh>
    <rPh sb="39" eb="40">
      <t>カンガ</t>
    </rPh>
    <phoneticPr fontId="1"/>
  </si>
  <si>
    <t>= C66 / E66</t>
    <phoneticPr fontId="1"/>
  </si>
  <si>
    <t>= クーポンレート / 年支払回数</t>
    <rPh sb="12" eb="13">
      <t>ネン</t>
    </rPh>
    <rPh sb="13" eb="15">
      <t>シハライ</t>
    </rPh>
    <rPh sb="15" eb="17">
      <t>カイスウ</t>
    </rPh>
    <phoneticPr fontId="1"/>
  </si>
  <si>
    <t>= IRR(キャッシュフロー） * クーポン年支払回数</t>
    <rPh sb="22" eb="23">
      <t>ネン</t>
    </rPh>
    <rPh sb="23" eb="25">
      <t>シハライ</t>
    </rPh>
    <rPh sb="25" eb="27">
      <t>カイスウ</t>
    </rPh>
    <phoneticPr fontId="1"/>
  </si>
  <si>
    <t>アンダーパー</t>
    <phoneticPr fontId="1"/>
  </si>
  <si>
    <t>パー</t>
    <phoneticPr fontId="1"/>
  </si>
  <si>
    <t>オーバーパー</t>
    <phoneticPr fontId="1"/>
  </si>
  <si>
    <t>額面 &lt; 価格</t>
    <rPh sb="0" eb="2">
      <t>ガクメン</t>
    </rPh>
    <rPh sb="5" eb="7">
      <t>カカク</t>
    </rPh>
    <phoneticPr fontId="1"/>
  </si>
  <si>
    <t>額面 = 価格</t>
    <rPh sb="0" eb="2">
      <t>ガクメン</t>
    </rPh>
    <rPh sb="5" eb="7">
      <t>カカク</t>
    </rPh>
    <phoneticPr fontId="1"/>
  </si>
  <si>
    <t>額面 &gt; 価格</t>
    <rPh sb="0" eb="2">
      <t>ガクメン</t>
    </rPh>
    <rPh sb="5" eb="7">
      <t>カカク</t>
    </rPh>
    <phoneticPr fontId="1"/>
  </si>
  <si>
    <t>利回り &lt; クーポン</t>
    <rPh sb="0" eb="2">
      <t>リマワ</t>
    </rPh>
    <phoneticPr fontId="1"/>
  </si>
  <si>
    <t>利回り = クーポン</t>
    <rPh sb="0" eb="2">
      <t>リマワ</t>
    </rPh>
    <phoneticPr fontId="1"/>
  </si>
  <si>
    <t>利回り &gt; クーポン</t>
    <rPh sb="0" eb="2">
      <t>リマワ</t>
    </rPh>
    <phoneticPr fontId="1"/>
  </si>
  <si>
    <t>額面と価格の関係</t>
    <rPh sb="0" eb="2">
      <t>ガクメン</t>
    </rPh>
    <rPh sb="3" eb="5">
      <t>カカク</t>
    </rPh>
    <rPh sb="6" eb="8">
      <t>カンケイ</t>
    </rPh>
    <phoneticPr fontId="1"/>
  </si>
  <si>
    <t>ゼロレート</t>
    <phoneticPr fontId="1"/>
  </si>
  <si>
    <t>ゼロレートとは、割引債の利回りのこと。別名スポットレートと呼ぶ。</t>
    <rPh sb="8" eb="11">
      <t>ワリビキサイ</t>
    </rPh>
    <rPh sb="12" eb="14">
      <t>リマワ</t>
    </rPh>
    <rPh sb="19" eb="21">
      <t>ベツメイ</t>
    </rPh>
    <rPh sb="29" eb="30">
      <t>ヨ</t>
    </rPh>
    <phoneticPr fontId="1"/>
  </si>
  <si>
    <t>例題２</t>
    <rPh sb="0" eb="2">
      <t>レイダイ</t>
    </rPh>
    <phoneticPr fontId="1"/>
  </si>
  <si>
    <t>P = 100 / ( 1 + r ) ^ nt</t>
    <phoneticPr fontId="1"/>
  </si>
  <si>
    <t>=( (100/B86) ^ ( 1/(D86*C86) )  - 1 ) * D86</t>
    <phoneticPr fontId="1"/>
  </si>
  <si>
    <t>=( (100/価格) ^ ( 1 / (期間*年支払回数) ) - 1 ) * 年支払回数</t>
    <rPh sb="9" eb="11">
      <t>カカク</t>
    </rPh>
    <rPh sb="22" eb="24">
      <t>キカン</t>
    </rPh>
    <rPh sb="25" eb="26">
      <t>ネン</t>
    </rPh>
    <rPh sb="26" eb="28">
      <t>シハライ</t>
    </rPh>
    <rPh sb="28" eb="30">
      <t>カイスウ</t>
    </rPh>
    <rPh sb="42" eb="43">
      <t>ネン</t>
    </rPh>
    <rPh sb="43" eb="45">
      <t>シハライカイスウ</t>
    </rPh>
    <phoneticPr fontId="1"/>
  </si>
  <si>
    <t>問題４</t>
    <rPh sb="0" eb="2">
      <t>モンダイ</t>
    </rPh>
    <phoneticPr fontId="1"/>
  </si>
  <si>
    <t>r = ( ( 100 / P ) ^ ( 1 / (期間 * 年支払回数 ) )  - 1 ) * 年支払回数</t>
    <rPh sb="27" eb="29">
      <t>キカン</t>
    </rPh>
    <rPh sb="32" eb="33">
      <t>ネン</t>
    </rPh>
    <rPh sb="33" eb="35">
      <t>シハライ</t>
    </rPh>
    <rPh sb="35" eb="37">
      <t>カイスウ</t>
    </rPh>
    <rPh sb="51" eb="52">
      <t>ネン</t>
    </rPh>
    <rPh sb="52" eb="54">
      <t>シハライ</t>
    </rPh>
    <rPh sb="54" eb="56">
      <t>カイスウ</t>
    </rPh>
    <phoneticPr fontId="1"/>
  </si>
  <si>
    <t>連続複利のゼロレート</t>
    <rPh sb="0" eb="2">
      <t>レンゾク</t>
    </rPh>
    <rPh sb="2" eb="4">
      <t>フクリ</t>
    </rPh>
    <phoneticPr fontId="1"/>
  </si>
  <si>
    <t>P = 100 / e ^ rt</t>
    <phoneticPr fontId="1"/>
  </si>
  <si>
    <t>→ r = (1 / t) * LN ( P / 100 )</t>
    <phoneticPr fontId="1"/>
  </si>
  <si>
    <t>例題３</t>
    <rPh sb="0" eb="2">
      <t>レイダイ</t>
    </rPh>
    <phoneticPr fontId="1"/>
  </si>
  <si>
    <t xml:space="preserve">r = ( 1 / 期間 ) * LN ( 100 / P ) </t>
    <rPh sb="10" eb="12">
      <t>キカン</t>
    </rPh>
    <phoneticPr fontId="1"/>
  </si>
  <si>
    <t>※連続複利なんで、クーポン年支払回数はある意味無限となる。</t>
    <rPh sb="1" eb="3">
      <t>レンゾク</t>
    </rPh>
    <rPh sb="3" eb="5">
      <t>フクリ</t>
    </rPh>
    <rPh sb="13" eb="14">
      <t>ネン</t>
    </rPh>
    <rPh sb="14" eb="16">
      <t>シハライ</t>
    </rPh>
    <rPh sb="16" eb="18">
      <t>カイスウ</t>
    </rPh>
    <rPh sb="21" eb="23">
      <t>イミ</t>
    </rPh>
    <rPh sb="23" eb="25">
      <t>ムゲン</t>
    </rPh>
    <phoneticPr fontId="1"/>
  </si>
  <si>
    <t>　だから e を使っているので、支払回数は考慮しなくてよい。</t>
    <phoneticPr fontId="1"/>
  </si>
  <si>
    <t>問題５</t>
    <rPh sb="0" eb="2">
      <t>モンダイ</t>
    </rPh>
    <phoneticPr fontId="1"/>
  </si>
  <si>
    <t>回数増やした方が、利回りは減るに決まっている。</t>
    <rPh sb="0" eb="2">
      <t>カイスウ</t>
    </rPh>
    <rPh sb="2" eb="3">
      <t>フ</t>
    </rPh>
    <rPh sb="6" eb="7">
      <t>ホウ</t>
    </rPh>
    <rPh sb="9" eb="11">
      <t>リマワ</t>
    </rPh>
    <rPh sb="13" eb="14">
      <t>ヘ</t>
    </rPh>
    <rPh sb="16" eb="17">
      <t>キ</t>
    </rPh>
    <phoneticPr fontId="1"/>
  </si>
  <si>
    <t>=(1/C111) * LN(100/B111) * D111</t>
    <phoneticPr fontId="1"/>
  </si>
  <si>
    <t>= ( 1 / 期間 ) * LN ( 100 / 価格 )</t>
    <rPh sb="9" eb="11">
      <t>キカン</t>
    </rPh>
    <rPh sb="27" eb="29">
      <t>カカク</t>
    </rPh>
    <phoneticPr fontId="1"/>
  </si>
  <si>
    <t>インプライド・フォワード・レート</t>
    <phoneticPr fontId="1"/>
  </si>
  <si>
    <t>ゼロレート１</t>
    <phoneticPr fontId="1"/>
  </si>
  <si>
    <t>ゼロレート2</t>
    <phoneticPr fontId="1"/>
  </si>
  <si>
    <t>期間１</t>
    <rPh sb="0" eb="2">
      <t>キカン</t>
    </rPh>
    <phoneticPr fontId="1"/>
  </si>
  <si>
    <t>期間2</t>
    <rPh sb="0" eb="2">
      <t>キカン</t>
    </rPh>
    <phoneticPr fontId="1"/>
  </si>
  <si>
    <t>年支払回数</t>
    <rPh sb="0" eb="1">
      <t>ネン</t>
    </rPh>
    <rPh sb="1" eb="3">
      <t>シハライ</t>
    </rPh>
    <rPh sb="3" eb="5">
      <t>カイスウ</t>
    </rPh>
    <phoneticPr fontId="1"/>
  </si>
  <si>
    <t>期間１の回数</t>
    <rPh sb="0" eb="2">
      <t>キカン</t>
    </rPh>
    <rPh sb="4" eb="6">
      <t>カイスウ</t>
    </rPh>
    <phoneticPr fontId="1"/>
  </si>
  <si>
    <t>期間2の回数</t>
    <rPh sb="0" eb="2">
      <t>キカン</t>
    </rPh>
    <rPh sb="4" eb="6">
      <t>カイスウ</t>
    </rPh>
    <phoneticPr fontId="1"/>
  </si>
  <si>
    <t>連続複利のインプライド・フォワード・レート</t>
    <rPh sb="0" eb="4">
      <t>レンゾクフクリ</t>
    </rPh>
    <phoneticPr fontId="1"/>
  </si>
  <si>
    <t>e ^ r1t1 + e ^ r2t2 = e ^ r3t3</t>
    <phoneticPr fontId="1"/>
  </si>
  <si>
    <t>→　r1t1 + r2t2 = r3t3</t>
    <phoneticPr fontId="1"/>
  </si>
  <si>
    <t>期間３の回数</t>
    <rPh sb="0" eb="2">
      <t>キカン</t>
    </rPh>
    <rPh sb="4" eb="6">
      <t>カイスウ</t>
    </rPh>
    <phoneticPr fontId="1"/>
  </si>
  <si>
    <t>確認問題</t>
    <rPh sb="0" eb="2">
      <t>カクニン</t>
    </rPh>
    <rPh sb="2" eb="4">
      <t>モンダイ</t>
    </rPh>
    <phoneticPr fontId="1"/>
  </si>
  <si>
    <t>( 1 + 1.5%/2 ) ^ 2 * ( 1 + X / 2 ) ^ 1 = ( 1 + 2% / 2 ) ^ 3</t>
    <phoneticPr fontId="1"/>
  </si>
  <si>
    <t>宿題　（債権数理）</t>
    <rPh sb="0" eb="2">
      <t>シュクダイ</t>
    </rPh>
    <rPh sb="4" eb="6">
      <t>サイケン</t>
    </rPh>
    <rPh sb="6" eb="8">
      <t>スウリ</t>
    </rPh>
    <phoneticPr fontId="1"/>
  </si>
  <si>
    <t>想定元本</t>
    <rPh sb="0" eb="2">
      <t>ソウテイ</t>
    </rPh>
    <rPh sb="2" eb="4">
      <t>ガンポン</t>
    </rPh>
    <phoneticPr fontId="1"/>
  </si>
  <si>
    <t>金利</t>
    <rPh sb="0" eb="2">
      <t>キンリ</t>
    </rPh>
    <phoneticPr fontId="1"/>
  </si>
  <si>
    <t>期間</t>
    <rPh sb="0" eb="2">
      <t>キカン</t>
    </rPh>
    <phoneticPr fontId="1"/>
  </si>
  <si>
    <t>P = 元本 × （ 1 + r/n ) ^ nt</t>
    <rPh sb="4" eb="6">
      <t>ガンポン</t>
    </rPh>
    <phoneticPr fontId="1"/>
  </si>
  <si>
    <t>CashFlow支払回数</t>
    <rPh sb="8" eb="10">
      <t>シハライ</t>
    </rPh>
    <rPh sb="10" eb="12">
      <t>カイスウ</t>
    </rPh>
    <phoneticPr fontId="1"/>
  </si>
  <si>
    <t>P = 元本 × e ^ rt</t>
    <rPh sb="4" eb="6">
      <t>ガンポン</t>
    </rPh>
    <phoneticPr fontId="1"/>
  </si>
  <si>
    <t>①</t>
    <phoneticPr fontId="1"/>
  </si>
  <si>
    <t>②</t>
    <phoneticPr fontId="1"/>
  </si>
  <si>
    <t>③</t>
    <phoneticPr fontId="1"/>
  </si>
  <si>
    <t>r = ( (100 / P ) ^ ( 1/Ncashflow) - 1 ) * Navg1year</t>
    <phoneticPr fontId="1"/>
  </si>
  <si>
    <t>P = 100 / ( 1 + r /N1year) ^ Ncashflow</t>
    <phoneticPr fontId="1"/>
  </si>
  <si>
    <t>①</t>
    <phoneticPr fontId="1"/>
  </si>
  <si>
    <t>③</t>
    <phoneticPr fontId="1"/>
  </si>
  <si>
    <t>連続ゼロレート</t>
    <rPh sb="0" eb="2">
      <t>レンゾク</t>
    </rPh>
    <phoneticPr fontId="1"/>
  </si>
  <si>
    <t>P = 100 / e ^ rt</t>
    <phoneticPr fontId="1"/>
  </si>
  <si>
    <t xml:space="preserve">r =  1/ t * LN ( 100 / P ) </t>
    <phoneticPr fontId="1"/>
  </si>
  <si>
    <t>( 1 + r1/2 ) ^ 3 × ( 1 + r12/2 ) ^ 1 = ( 1 + r2/2 ) ^ 4</t>
    <phoneticPr fontId="1"/>
  </si>
  <si>
    <t>ゼロ金利１</t>
    <rPh sb="2" eb="4">
      <t>キンリ</t>
    </rPh>
    <phoneticPr fontId="1"/>
  </si>
  <si>
    <t>期間の間の回数１</t>
    <rPh sb="0" eb="2">
      <t>キカン</t>
    </rPh>
    <rPh sb="3" eb="4">
      <t>アイダ</t>
    </rPh>
    <rPh sb="5" eb="7">
      <t>カイスウ</t>
    </rPh>
    <phoneticPr fontId="1"/>
  </si>
  <si>
    <t>ゼロ金利２</t>
    <rPh sb="2" eb="4">
      <t>キンリ</t>
    </rPh>
    <phoneticPr fontId="1"/>
  </si>
  <si>
    <t>期間の間の回数２</t>
    <rPh sb="0" eb="2">
      <t>キカン</t>
    </rPh>
    <rPh sb="3" eb="4">
      <t>アイダ</t>
    </rPh>
    <rPh sb="5" eb="7">
      <t>カイスウ</t>
    </rPh>
    <phoneticPr fontId="1"/>
  </si>
  <si>
    <t>年のCashFlow回数</t>
    <rPh sb="0" eb="1">
      <t>ネン</t>
    </rPh>
    <rPh sb="10" eb="12">
      <t>カイスウ</t>
    </rPh>
    <phoneticPr fontId="1"/>
  </si>
  <si>
    <t>①</t>
    <phoneticPr fontId="1"/>
  </si>
  <si>
    <t>３か月複利</t>
    <rPh sb="2" eb="3">
      <t>ゲツ</t>
    </rPh>
    <rPh sb="3" eb="5">
      <t>フクリ</t>
    </rPh>
    <phoneticPr fontId="1"/>
  </si>
  <si>
    <t>連続複利のインプライド・フォワードレート</t>
    <rPh sb="0" eb="2">
      <t>レンゾク</t>
    </rPh>
    <rPh sb="2" eb="4">
      <t>フクリ</t>
    </rPh>
    <phoneticPr fontId="1"/>
  </si>
  <si>
    <t>r1 * t1  ＋ r * t = r2 * t2</t>
    <phoneticPr fontId="1"/>
  </si>
  <si>
    <t>期間２</t>
    <rPh sb="0" eb="2">
      <t>キカン</t>
    </rPh>
    <phoneticPr fontId="1"/>
  </si>
  <si>
    <t>割引債</t>
    <rPh sb="0" eb="3">
      <t>ワリビキサイ</t>
    </rPh>
    <phoneticPr fontId="1"/>
  </si>
  <si>
    <t>①割引債のCFより、DFを順次求める</t>
    <rPh sb="1" eb="4">
      <t>ワリビキサイ</t>
    </rPh>
    <rPh sb="13" eb="15">
      <t>ジュンジ</t>
    </rPh>
    <rPh sb="15" eb="16">
      <t>モト</t>
    </rPh>
    <phoneticPr fontId="1"/>
  </si>
  <si>
    <t>DF</t>
    <phoneticPr fontId="1"/>
  </si>
  <si>
    <t>PV</t>
    <phoneticPr fontId="1"/>
  </si>
  <si>
    <t>P1 = 2 * 0.99</t>
    <phoneticPr fontId="1"/>
  </si>
  <si>
    <t>P2 = 102 * 0.98</t>
    <phoneticPr fontId="1"/>
  </si>
  <si>
    <t xml:space="preserve">PV = P1 + P2 = </t>
    <phoneticPr fontId="1"/>
  </si>
  <si>
    <t>計算式</t>
    <rPh sb="0" eb="2">
      <t>ケイサン</t>
    </rPh>
    <rPh sb="2" eb="3">
      <t>シキ</t>
    </rPh>
    <phoneticPr fontId="1"/>
  </si>
  <si>
    <t>②利付債のキャッシュフローのPVを求める</t>
    <rPh sb="1" eb="3">
      <t>リツキ</t>
    </rPh>
    <rPh sb="3" eb="4">
      <t>サイ</t>
    </rPh>
    <rPh sb="17" eb="18">
      <t>モト</t>
    </rPh>
    <phoneticPr fontId="1"/>
  </si>
  <si>
    <t>③利付債の価格</t>
    <rPh sb="1" eb="3">
      <t>リツキ</t>
    </rPh>
    <rPh sb="3" eb="4">
      <t>サイ</t>
    </rPh>
    <rPh sb="5" eb="7">
      <t>カカク</t>
    </rPh>
    <phoneticPr fontId="1"/>
  </si>
  <si>
    <t>例題５　割引債の値段がわかっているとき、利付債の値段を求めよ</t>
    <rPh sb="0" eb="2">
      <t>レイダイ</t>
    </rPh>
    <rPh sb="4" eb="7">
      <t>ワリビキサイ</t>
    </rPh>
    <rPh sb="8" eb="10">
      <t>ネダン</t>
    </rPh>
    <rPh sb="20" eb="22">
      <t>リツキ</t>
    </rPh>
    <rPh sb="22" eb="23">
      <t>サイ</t>
    </rPh>
    <rPh sb="24" eb="26">
      <t>ネダン</t>
    </rPh>
    <rPh sb="27" eb="28">
      <t>モト</t>
    </rPh>
    <phoneticPr fontId="1"/>
  </si>
  <si>
    <t>例題６　利付債の値段がわかっているとき、割引債の理論価格を求めよ</t>
    <rPh sb="0" eb="2">
      <t>レイダイ</t>
    </rPh>
    <rPh sb="4" eb="6">
      <t>リツキ</t>
    </rPh>
    <rPh sb="6" eb="7">
      <t>サイ</t>
    </rPh>
    <rPh sb="8" eb="10">
      <t>ネダン</t>
    </rPh>
    <rPh sb="20" eb="23">
      <t>ワリビキサイ</t>
    </rPh>
    <rPh sb="24" eb="26">
      <t>リロン</t>
    </rPh>
    <rPh sb="26" eb="28">
      <t>カカク</t>
    </rPh>
    <rPh sb="29" eb="30">
      <t>モト</t>
    </rPh>
    <phoneticPr fontId="1"/>
  </si>
  <si>
    <t>③割引債の価格</t>
    <rPh sb="1" eb="4">
      <t>ワリビキサイ</t>
    </rPh>
    <rPh sb="5" eb="7">
      <t>カカク</t>
    </rPh>
    <phoneticPr fontId="1"/>
  </si>
  <si>
    <t>CF</t>
    <phoneticPr fontId="1"/>
  </si>
  <si>
    <t>PV</t>
    <phoneticPr fontId="1"/>
  </si>
  <si>
    <t>②利付債よりdf2を求める</t>
    <rPh sb="1" eb="3">
      <t>リツキ</t>
    </rPh>
    <rPh sb="3" eb="4">
      <t>サイ</t>
    </rPh>
    <rPh sb="10" eb="11">
      <t>モト</t>
    </rPh>
    <phoneticPr fontId="1"/>
  </si>
  <si>
    <t>df2 = ( 101.8 - 2.2*0.99 ) / 102.2</t>
    <phoneticPr fontId="1"/>
  </si>
  <si>
    <t>PV = 100 * df2 =</t>
    <phoneticPr fontId="1"/>
  </si>
  <si>
    <t>例題７　半年の割引債の理論がわかっていて、順次利付債の価格を求めよ</t>
    <rPh sb="0" eb="2">
      <t>レイダイ</t>
    </rPh>
    <rPh sb="4" eb="6">
      <t>ハントシ</t>
    </rPh>
    <rPh sb="7" eb="10">
      <t>ワリビキサイ</t>
    </rPh>
    <rPh sb="11" eb="13">
      <t>リロン</t>
    </rPh>
    <rPh sb="21" eb="23">
      <t>ジュンジ</t>
    </rPh>
    <rPh sb="23" eb="25">
      <t>リツキ</t>
    </rPh>
    <rPh sb="25" eb="26">
      <t>サイ</t>
    </rPh>
    <rPh sb="27" eb="29">
      <t>カカク</t>
    </rPh>
    <rPh sb="30" eb="31">
      <t>モト</t>
    </rPh>
    <phoneticPr fontId="1"/>
  </si>
  <si>
    <t>②利付債よりdf1を求める</t>
    <rPh sb="1" eb="3">
      <t>リツキ</t>
    </rPh>
    <rPh sb="3" eb="4">
      <t>サイ</t>
    </rPh>
    <rPh sb="10" eb="11">
      <t>モト</t>
    </rPh>
    <phoneticPr fontId="1"/>
  </si>
  <si>
    <t>P1 + P2 の価格</t>
    <rPh sb="9" eb="11">
      <t>カカク</t>
    </rPh>
    <phoneticPr fontId="1"/>
  </si>
  <si>
    <t>df2 = ( 102.45 - 2*0.99 ) / 102</t>
    <phoneticPr fontId="1"/>
  </si>
  <si>
    <t>③利付債よりdf1.5を求める</t>
    <rPh sb="1" eb="3">
      <t>リツキ</t>
    </rPh>
    <rPh sb="3" eb="4">
      <t>サイ</t>
    </rPh>
    <rPh sb="12" eb="13">
      <t>モト</t>
    </rPh>
    <phoneticPr fontId="1"/>
  </si>
  <si>
    <t>df3 = ( 102.23 - 1.5 * (df0.5 + df1.0) ) / 101.5</t>
    <phoneticPr fontId="1"/>
  </si>
  <si>
    <t>割引債0.5</t>
    <rPh sb="0" eb="3">
      <t>ワリビキサイ</t>
    </rPh>
    <phoneticPr fontId="1"/>
  </si>
  <si>
    <t>割引債1.5</t>
    <rPh sb="0" eb="3">
      <t>ワリビキサイ</t>
    </rPh>
    <phoneticPr fontId="1"/>
  </si>
  <si>
    <t>割引債1.0</t>
    <rPh sb="0" eb="3">
      <t>ワリビキサイ</t>
    </rPh>
    <phoneticPr fontId="1"/>
  </si>
  <si>
    <t xml:space="preserve">BootStrap法 </t>
    <rPh sb="9" eb="10">
      <t>ホウ</t>
    </rPh>
    <phoneticPr fontId="1"/>
  </si>
  <si>
    <t>結局はDFを求めたら勝ちである</t>
    <rPh sb="0" eb="2">
      <t>ケッキョク</t>
    </rPh>
    <rPh sb="6" eb="7">
      <t>モト</t>
    </rPh>
    <rPh sb="10" eb="11">
      <t>カ</t>
    </rPh>
    <phoneticPr fontId="1"/>
  </si>
  <si>
    <t>BootStrapの実践</t>
    <rPh sb="10" eb="12">
      <t>ジッセン</t>
    </rPh>
    <phoneticPr fontId="1"/>
  </si>
  <si>
    <t>種類</t>
    <rPh sb="0" eb="2">
      <t>シュルイ</t>
    </rPh>
    <phoneticPr fontId="1"/>
  </si>
  <si>
    <t>クーポン（％）</t>
    <phoneticPr fontId="1"/>
  </si>
  <si>
    <t>価格（円）</t>
    <rPh sb="0" eb="2">
      <t>カカク</t>
    </rPh>
    <rPh sb="3" eb="4">
      <t>エン</t>
    </rPh>
    <phoneticPr fontId="1"/>
  </si>
  <si>
    <t>利付債</t>
    <rPh sb="0" eb="2">
      <t>リツキ</t>
    </rPh>
    <rPh sb="2" eb="3">
      <t>サイ</t>
    </rPh>
    <phoneticPr fontId="1"/>
  </si>
  <si>
    <t>（１）ディスカウントファクターを求める</t>
    <rPh sb="16" eb="17">
      <t>モト</t>
    </rPh>
    <phoneticPr fontId="1"/>
  </si>
  <si>
    <t xml:space="preserve">df0.5 = 99.7 / 100 </t>
    <phoneticPr fontId="1"/>
  </si>
  <si>
    <t>クーポン半年払い</t>
    <rPh sb="4" eb="6">
      <t>ハントシ</t>
    </rPh>
    <rPh sb="6" eb="7">
      <t>ハラ</t>
    </rPh>
    <phoneticPr fontId="1"/>
  </si>
  <si>
    <t>df1.0 = ( 100 - 0.4 * ( df0.5 ) ) / 100.4</t>
    <phoneticPr fontId="1"/>
  </si>
  <si>
    <t>df1.5 = ( 100.6 - 0.7*(df0.5+df1.0) ) / 100.7</t>
    <phoneticPr fontId="1"/>
  </si>
  <si>
    <t>df2.0 = ( 100.5 - 0.75*(df0.5*df1.0+df1.5) ) / 100.75</t>
    <phoneticPr fontId="1"/>
  </si>
  <si>
    <t>(2)この企業が、期間2年の債権を100円で発行するためのクーポンは何%</t>
    <rPh sb="5" eb="7">
      <t>キギョウ</t>
    </rPh>
    <rPh sb="9" eb="11">
      <t>キカン</t>
    </rPh>
    <rPh sb="12" eb="13">
      <t>ネン</t>
    </rPh>
    <rPh sb="14" eb="16">
      <t>サイケン</t>
    </rPh>
    <rPh sb="20" eb="21">
      <t>エン</t>
    </rPh>
    <rPh sb="22" eb="24">
      <t>ハッコウ</t>
    </rPh>
    <rPh sb="34" eb="35">
      <t>ナン</t>
    </rPh>
    <phoneticPr fontId="1"/>
  </si>
  <si>
    <t>100 = x/2 * (df0.5+df1.0+df1.5) + ( 100 + x/2 ) * df2.0</t>
    <phoneticPr fontId="1"/>
  </si>
  <si>
    <t>　　→結局はキャッシュフローを考えて、DFをかけて、債権の100円の値段と等式にする</t>
    <rPh sb="3" eb="5">
      <t>ケッキョク</t>
    </rPh>
    <rPh sb="15" eb="16">
      <t>カンガ</t>
    </rPh>
    <rPh sb="26" eb="28">
      <t>サイケン</t>
    </rPh>
    <rPh sb="32" eb="33">
      <t>エン</t>
    </rPh>
    <rPh sb="34" eb="36">
      <t>ネダン</t>
    </rPh>
    <rPh sb="37" eb="39">
      <t>トウシキ</t>
    </rPh>
    <phoneticPr fontId="1"/>
  </si>
  <si>
    <t>LIBOR</t>
    <phoneticPr fontId="1"/>
  </si>
  <si>
    <t>確認問題１</t>
    <rPh sb="0" eb="2">
      <t>カクニン</t>
    </rPh>
    <rPh sb="2" eb="4">
      <t>モンダイ</t>
    </rPh>
    <phoneticPr fontId="1"/>
  </si>
  <si>
    <t>=B5 * 365/300</t>
    <phoneticPr fontId="1"/>
  </si>
  <si>
    <t>変動金利 LIBOR6M + 0.3%</t>
    <rPh sb="0" eb="2">
      <t>ヘンドウ</t>
    </rPh>
    <rPh sb="2" eb="4">
      <t>キンリ</t>
    </rPh>
    <phoneticPr fontId="1"/>
  </si>
  <si>
    <t>固定金利は何％</t>
    <rPh sb="0" eb="2">
      <t>コテイ</t>
    </rPh>
    <rPh sb="2" eb="4">
      <t>キンリ</t>
    </rPh>
    <rPh sb="5" eb="6">
      <t>ナン</t>
    </rPh>
    <phoneticPr fontId="1"/>
  </si>
  <si>
    <t>スワップレート 0.8%　（対　LIBOR6M)</t>
    <rPh sb="14" eb="15">
      <t>タイ</t>
    </rPh>
    <phoneticPr fontId="1"/>
  </si>
  <si>
    <t>= 0.8% + 0.3% * 365/360</t>
    <phoneticPr fontId="1"/>
  </si>
  <si>
    <t>価格と一致</t>
    <rPh sb="0" eb="2">
      <t>カカク</t>
    </rPh>
    <rPh sb="3" eb="5">
      <t>イッチ</t>
    </rPh>
    <phoneticPr fontId="1"/>
  </si>
  <si>
    <t>確かめるため、キャッシュフローで計算</t>
    <rPh sb="0" eb="1">
      <t>タシ</t>
    </rPh>
    <rPh sb="16" eb="18">
      <t>ケイサン</t>
    </rPh>
    <phoneticPr fontId="1"/>
  </si>
  <si>
    <t>LIBORのディスカウントファクター</t>
    <phoneticPr fontId="1"/>
  </si>
  <si>
    <t>１２M　￥LIBOR</t>
    <phoneticPr fontId="1"/>
  </si>
  <si>
    <t>２Y　￥SWAP</t>
    <phoneticPr fontId="1"/>
  </si>
  <si>
    <t>３Y　￥SWAP</t>
    <phoneticPr fontId="1"/>
  </si>
  <si>
    <t>例題１</t>
    <rPh sb="0" eb="2">
      <t>レイダイ</t>
    </rPh>
    <phoneticPr fontId="1"/>
  </si>
  <si>
    <t>df1 = 100 / ( 100 + 1*365/360)</t>
    <phoneticPr fontId="1"/>
  </si>
  <si>
    <t>df2 = ( 100 - 1.5*df1 ) / 101.5</t>
    <phoneticPr fontId="1"/>
  </si>
  <si>
    <t>df3 = ( 100 - 2*(df1+df2) ) / 102</t>
    <phoneticPr fontId="1"/>
  </si>
  <si>
    <t>検算キャッシュフロー</t>
    <rPh sb="0" eb="2">
      <t>ケンザン</t>
    </rPh>
    <phoneticPr fontId="1"/>
  </si>
  <si>
    <t>価格100円と一致</t>
    <rPh sb="0" eb="2">
      <t>カカク</t>
    </rPh>
    <rPh sb="5" eb="6">
      <t>エン</t>
    </rPh>
    <rPh sb="7" eb="9">
      <t>イッチ</t>
    </rPh>
    <phoneticPr fontId="1"/>
  </si>
  <si>
    <t>ディスカウントファクターの公式で求める</t>
    <rPh sb="13" eb="15">
      <t>コウシキ</t>
    </rPh>
    <rPh sb="16" eb="17">
      <t>モト</t>
    </rPh>
    <phoneticPr fontId="1"/>
  </si>
  <si>
    <t>６M　￥LIBOR</t>
    <phoneticPr fontId="1"/>
  </si>
  <si>
    <t>１Y　￥SWAP</t>
    <phoneticPr fontId="1"/>
  </si>
  <si>
    <t>１.５Y　￥SWAP</t>
    <phoneticPr fontId="1"/>
  </si>
  <si>
    <t>2.0Y　￥SWAP</t>
    <phoneticPr fontId="1"/>
  </si>
  <si>
    <t>２.５Y　￥SWAP</t>
    <phoneticPr fontId="1"/>
  </si>
  <si>
    <t>３．０Y　￥SWAP</t>
    <phoneticPr fontId="1"/>
  </si>
  <si>
    <t>df0.5 = 100 / ( 100 + 0.5*365/360)</t>
    <phoneticPr fontId="1"/>
  </si>
  <si>
    <t>半年ごと</t>
    <rPh sb="0" eb="2">
      <t>ハントシ</t>
    </rPh>
    <phoneticPr fontId="1"/>
  </si>
  <si>
    <t>df1.0 = ( 100 - 0.4 * df0.5 ) / 100.4</t>
    <phoneticPr fontId="1"/>
  </si>
  <si>
    <t>線形補完</t>
    <rPh sb="0" eb="2">
      <t>センケイ</t>
    </rPh>
    <rPh sb="2" eb="4">
      <t>ホカン</t>
    </rPh>
    <phoneticPr fontId="1"/>
  </si>
  <si>
    <t>df1.5 = ( 100 - 0.6*(df0.5+df1) ) / 100.6</t>
    <phoneticPr fontId="1"/>
  </si>
  <si>
    <t>df2.0 = ( 100 - 0.75*(df0.5+df1.0+df1.5) ) / 100.75</t>
    <phoneticPr fontId="1"/>
  </si>
  <si>
    <t>df2.5 = ( 100 - (1.75/2)*(df0.5+df1.0+df1.5+df2.0) ) / (100 + (1.75/2))</t>
    <phoneticPr fontId="1"/>
  </si>
  <si>
    <t>df3.0 = ( 100 - 1 * (df0.5+df1.0+df1.5+df2.0+df2.5 ) ) / 101</t>
    <phoneticPr fontId="1"/>
  </si>
  <si>
    <t>受け取り金利</t>
    <rPh sb="0" eb="1">
      <t>ウ</t>
    </rPh>
    <rPh sb="2" eb="3">
      <t>ト</t>
    </rPh>
    <rPh sb="4" eb="6">
      <t>キンリ</t>
    </rPh>
    <phoneticPr fontId="1"/>
  </si>
  <si>
    <t>支払金利</t>
    <rPh sb="0" eb="2">
      <t>シハライ</t>
    </rPh>
    <rPh sb="2" eb="4">
      <t>キンリ</t>
    </rPh>
    <phoneticPr fontId="1"/>
  </si>
  <si>
    <t>半年払い</t>
    <rPh sb="0" eb="2">
      <t>ハントシ</t>
    </rPh>
    <rPh sb="2" eb="3">
      <t>バラ</t>
    </rPh>
    <phoneticPr fontId="1"/>
  </si>
  <si>
    <t>100億</t>
    <rPh sb="3" eb="4">
      <t>オク</t>
    </rPh>
    <phoneticPr fontId="1"/>
  </si>
  <si>
    <t>当初期間5年、残存期間3年</t>
    <rPh sb="0" eb="2">
      <t>トウショ</t>
    </rPh>
    <rPh sb="2" eb="4">
      <t>キカン</t>
    </rPh>
    <rPh sb="5" eb="6">
      <t>ネン</t>
    </rPh>
    <rPh sb="7" eb="9">
      <t>ザンゾン</t>
    </rPh>
    <rPh sb="9" eb="11">
      <t>キカン</t>
    </rPh>
    <rPh sb="12" eb="13">
      <t>ネン</t>
    </rPh>
    <phoneticPr fontId="1"/>
  </si>
  <si>
    <t>LIBOR6M</t>
    <phoneticPr fontId="1"/>
  </si>
  <si>
    <t>時価評価額</t>
    <rPh sb="0" eb="2">
      <t>ジカ</t>
    </rPh>
    <rPh sb="2" eb="5">
      <t>ヒョウカガク</t>
    </rPh>
    <phoneticPr fontId="1"/>
  </si>
  <si>
    <t>期間３年のSWAPレート = 2.0%</t>
    <rPh sb="0" eb="2">
      <t>キカン</t>
    </rPh>
    <rPh sb="3" eb="4">
      <t>ネン</t>
    </rPh>
    <phoneticPr fontId="1"/>
  </si>
  <si>
    <t>得するのは0.6%（一年）、半年では0.3%</t>
    <rPh sb="0" eb="1">
      <t>トク</t>
    </rPh>
    <rPh sb="10" eb="12">
      <t>イチネン</t>
    </rPh>
    <rPh sb="14" eb="16">
      <t>ハントシ</t>
    </rPh>
    <phoneticPr fontId="1"/>
  </si>
  <si>
    <t>10000000000 * 0.30% * (df0.5 + df1.0 + df1.5 + df2.0 + df2.5 + df3.0 )</t>
    <phoneticPr fontId="1"/>
  </si>
  <si>
    <t>ゼロレート</t>
    <phoneticPr fontId="1"/>
  </si>
  <si>
    <t>ゼロレートの公式</t>
    <rPh sb="6" eb="8">
      <t>コウシキ</t>
    </rPh>
    <phoneticPr fontId="1"/>
  </si>
  <si>
    <t>値段</t>
    <rPh sb="0" eb="2">
      <t>ネダン</t>
    </rPh>
    <phoneticPr fontId="1"/>
  </si>
  <si>
    <t>P = 100 / ( 1 + r /2) ^ (回数 * t)</t>
    <rPh sb="25" eb="27">
      <t>カイスウ</t>
    </rPh>
    <phoneticPr fontId="1"/>
  </si>
  <si>
    <t>=100/( (1+E99/2)^(2*2) )</t>
    <phoneticPr fontId="1"/>
  </si>
  <si>
    <t>ゼロレートから割引債の値段を求める</t>
    <rPh sb="7" eb="10">
      <t>ワリビキサイ</t>
    </rPh>
    <rPh sb="11" eb="13">
      <t>ネダン</t>
    </rPh>
    <rPh sb="14" eb="15">
      <t>モト</t>
    </rPh>
    <phoneticPr fontId="1"/>
  </si>
  <si>
    <t>P = 100 / ( 1 + r /2) ^ (年の支払回数　* t )</t>
    <rPh sb="25" eb="26">
      <t>ネン</t>
    </rPh>
    <rPh sb="27" eb="29">
      <t>シハライ</t>
    </rPh>
    <rPh sb="29" eb="31">
      <t>カイスウ</t>
    </rPh>
    <phoneticPr fontId="1"/>
  </si>
  <si>
    <t>df1.0 = 99.125/100</t>
    <phoneticPr fontId="1"/>
  </si>
  <si>
    <t>df1.5 = 98.485/100</t>
    <phoneticPr fontId="1"/>
  </si>
  <si>
    <t>df2.0 = 97.674/100</t>
    <phoneticPr fontId="1"/>
  </si>
  <si>
    <t>（２）利付債の価格</t>
    <rPh sb="3" eb="5">
      <t>リツキ</t>
    </rPh>
    <rPh sb="5" eb="6">
      <t>サイ</t>
    </rPh>
    <rPh sb="7" eb="9">
      <t>カカク</t>
    </rPh>
    <phoneticPr fontId="1"/>
  </si>
  <si>
    <t>検算</t>
    <rPh sb="0" eb="2">
      <t>ケンザン</t>
    </rPh>
    <phoneticPr fontId="1"/>
  </si>
  <si>
    <t>=(C89-0.6*(E79+E80+E81) ) / 100.6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</si>
</sst>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#,##0_ "/>
    <numFmt numFmtId="177" formatCode="#,##0.000_ "/>
    <numFmt numFmtId="178" formatCode="0.000%"/>
    <numFmt numFmtId="179" formatCode="0.0000%"/>
    <numFmt numFmtId="180" formatCode="0.00000%"/>
    <numFmt numFmtId="181" formatCode="0.0000000%"/>
    <numFmt numFmtId="184" formatCode="0.00000"/>
    <numFmt numFmtId="185" formatCode="0.0000"/>
    <numFmt numFmtId="188" formatCode="0.0"/>
    <numFmt numFmtId="189" formatCode="0.000000%"/>
    <numFmt numFmtId="198" formatCode="#,##0.000000_ "/>
  </numFmts>
  <fonts count="1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24"/>
      <color theme="1"/>
      <name val="ＭＳ Ｐゴシック"/>
      <family val="2"/>
      <charset val="128"/>
      <scheme val="minor"/>
    </font>
    <font>
      <sz val="11"/>
      <color theme="3" tint="-0.499984740745262"/>
      <name val="ＭＳ Ｐゴシック"/>
      <family val="2"/>
      <charset val="128"/>
      <scheme val="minor"/>
    </font>
    <font>
      <b/>
      <sz val="11"/>
      <color theme="3" tint="-0.499984740745262"/>
      <name val="ＭＳ Ｐゴシック"/>
      <family val="3"/>
      <charset val="128"/>
      <scheme val="minor"/>
    </font>
    <font>
      <sz val="22"/>
      <color theme="1"/>
      <name val="ＭＳ Ｐゴシック"/>
      <family val="2"/>
      <charset val="128"/>
      <scheme val="minor"/>
    </font>
    <font>
      <sz val="26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7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9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0" xfId="0" applyFont="1">
      <alignment vertical="center"/>
    </xf>
    <xf numFmtId="10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quotePrefix="1">
      <alignment vertical="center"/>
    </xf>
    <xf numFmtId="0" fontId="0" fillId="0" borderId="0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4" borderId="5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6" xfId="0" applyFill="1" applyBorder="1">
      <alignment vertical="center"/>
    </xf>
    <xf numFmtId="0" fontId="0" fillId="0" borderId="0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9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  <xf numFmtId="180" fontId="0" fillId="0" borderId="10" xfId="0" applyNumberFormat="1" applyBorder="1">
      <alignment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5" fillId="8" borderId="1" xfId="0" applyNumberFormat="1" applyFont="1" applyFill="1" applyBorder="1" applyAlignment="1">
      <alignment horizontal="center" vertical="center"/>
    </xf>
    <xf numFmtId="0" fontId="3" fillId="0" borderId="0" xfId="0" quotePrefix="1" applyFont="1">
      <alignment vertical="center"/>
    </xf>
    <xf numFmtId="0" fontId="0" fillId="10" borderId="1" xfId="0" applyFill="1" applyBorder="1" applyAlignment="1">
      <alignment horizontal="center" vertical="center"/>
    </xf>
    <xf numFmtId="177" fontId="5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7" fontId="5" fillId="8" borderId="0" xfId="0" applyNumberFormat="1" applyFont="1" applyFill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79" fontId="0" fillId="3" borderId="1" xfId="0" applyNumberFormat="1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6" fillId="0" borderId="0" xfId="0" applyFont="1">
      <alignment vertical="center"/>
    </xf>
    <xf numFmtId="0" fontId="0" fillId="2" borderId="1" xfId="0" applyFill="1" applyBorder="1">
      <alignment vertical="center"/>
    </xf>
    <xf numFmtId="0" fontId="7" fillId="0" borderId="0" xfId="0" applyFont="1">
      <alignment vertical="center"/>
    </xf>
    <xf numFmtId="180" fontId="0" fillId="0" borderId="1" xfId="0" applyNumberFormat="1" applyBorder="1">
      <alignment vertical="center"/>
    </xf>
    <xf numFmtId="180" fontId="0" fillId="11" borderId="1" xfId="0" applyNumberFormat="1" applyFill="1" applyBorder="1">
      <alignment vertical="center"/>
    </xf>
    <xf numFmtId="181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8" fillId="0" borderId="0" xfId="0" applyFo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0" applyFont="1">
      <alignment vertical="center"/>
    </xf>
    <xf numFmtId="0" fontId="0" fillId="14" borderId="1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/>
    </xf>
    <xf numFmtId="0" fontId="0" fillId="8" borderId="0" xfId="0" applyFill="1" applyBorder="1">
      <alignment vertical="center"/>
    </xf>
    <xf numFmtId="0" fontId="0" fillId="8" borderId="0" xfId="0" applyFill="1" applyBorder="1" applyAlignment="1">
      <alignment horizontal="center" vertical="center"/>
    </xf>
    <xf numFmtId="185" fontId="0" fillId="0" borderId="0" xfId="0" applyNumberFormat="1">
      <alignment vertical="center"/>
    </xf>
    <xf numFmtId="2" fontId="0" fillId="0" borderId="1" xfId="0" applyNumberFormat="1" applyBorder="1" applyAlignment="1">
      <alignment horizontal="center" vertical="center"/>
    </xf>
    <xf numFmtId="0" fontId="0" fillId="12" borderId="0" xfId="0" applyFill="1">
      <alignment vertical="center"/>
    </xf>
    <xf numFmtId="0" fontId="0" fillId="15" borderId="11" xfId="0" applyFill="1" applyBorder="1">
      <alignment vertical="center"/>
    </xf>
    <xf numFmtId="0" fontId="0" fillId="15" borderId="12" xfId="0" applyFill="1" applyBorder="1">
      <alignment vertical="center"/>
    </xf>
    <xf numFmtId="0" fontId="0" fillId="15" borderId="13" xfId="0" applyFill="1" applyBorder="1">
      <alignment vertical="center"/>
    </xf>
    <xf numFmtId="0" fontId="9" fillId="13" borderId="0" xfId="0" applyFont="1" applyFill="1">
      <alignment vertical="center"/>
    </xf>
    <xf numFmtId="0" fontId="11" fillId="0" borderId="0" xfId="0" applyFont="1">
      <alignment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5" borderId="1" xfId="0" applyFill="1" applyBorder="1">
      <alignment vertical="center"/>
    </xf>
    <xf numFmtId="0" fontId="0" fillId="11" borderId="6" xfId="0" applyFill="1" applyBorder="1" applyAlignment="1">
      <alignment horizontal="center" vertical="center"/>
    </xf>
    <xf numFmtId="185" fontId="0" fillId="5" borderId="1" xfId="0" applyNumberFormat="1" applyFill="1" applyBorder="1">
      <alignment vertical="center"/>
    </xf>
    <xf numFmtId="184" fontId="0" fillId="5" borderId="1" xfId="0" applyNumberFormat="1" applyFill="1" applyBorder="1">
      <alignment vertical="center"/>
    </xf>
    <xf numFmtId="0" fontId="2" fillId="0" borderId="0" xfId="0" applyFont="1">
      <alignment vertical="center"/>
    </xf>
    <xf numFmtId="0" fontId="12" fillId="0" borderId="0" xfId="0" applyFont="1">
      <alignment vertical="center"/>
    </xf>
    <xf numFmtId="10" fontId="0" fillId="0" borderId="0" xfId="0" applyNumberFormat="1">
      <alignment vertical="center"/>
    </xf>
    <xf numFmtId="180" fontId="0" fillId="0" borderId="0" xfId="0" applyNumberFormat="1">
      <alignment vertical="center"/>
    </xf>
    <xf numFmtId="189" fontId="0" fillId="0" borderId="0" xfId="0" quotePrefix="1" applyNumberFormat="1">
      <alignment vertical="center"/>
    </xf>
    <xf numFmtId="0" fontId="0" fillId="2" borderId="0" xfId="0" quotePrefix="1" applyFill="1">
      <alignment vertical="center"/>
    </xf>
    <xf numFmtId="0" fontId="0" fillId="2" borderId="0" xfId="0" applyFill="1">
      <alignment vertical="center"/>
    </xf>
    <xf numFmtId="188" fontId="0" fillId="2" borderId="1" xfId="0" applyNumberFormat="1" applyFill="1" applyBorder="1">
      <alignment vertical="center"/>
    </xf>
    <xf numFmtId="0" fontId="13" fillId="0" borderId="0" xfId="0" applyFont="1">
      <alignment vertical="center"/>
    </xf>
    <xf numFmtId="10" fontId="0" fillId="0" borderId="0" xfId="0" applyNumberFormat="1" applyBorder="1" applyAlignment="1">
      <alignment horizontal="center" vertical="center"/>
    </xf>
    <xf numFmtId="10" fontId="0" fillId="9" borderId="1" xfId="0" applyNumberForma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14" borderId="1" xfId="0" applyFill="1" applyBorder="1">
      <alignment vertical="center"/>
    </xf>
    <xf numFmtId="188" fontId="0" fillId="8" borderId="0" xfId="0" applyNumberFormat="1" applyFill="1" applyBorder="1">
      <alignment vertical="center"/>
    </xf>
    <xf numFmtId="198" fontId="2" fillId="9" borderId="1" xfId="0" applyNumberFormat="1" applyFont="1" applyFill="1" applyBorder="1" applyAlignment="1">
      <alignment horizontal="center" vertical="center"/>
    </xf>
    <xf numFmtId="179" fontId="0" fillId="0" borderId="10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CC99"/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3"/>
  <sheetViews>
    <sheetView showGridLines="0" topLeftCell="A36" workbookViewId="0">
      <selection activeCell="B57" sqref="B57:J60"/>
    </sheetView>
  </sheetViews>
  <sheetFormatPr defaultRowHeight="13.5"/>
  <cols>
    <col min="2" max="6" width="15.625" customWidth="1"/>
    <col min="7" max="7" width="13.25" customWidth="1"/>
    <col min="8" max="9" width="10.5" customWidth="1"/>
    <col min="10" max="10" width="11" bestFit="1" customWidth="1"/>
  </cols>
  <sheetData>
    <row r="2" spans="1:7" ht="17.25">
      <c r="B2" s="10" t="s">
        <v>0</v>
      </c>
    </row>
    <row r="3" spans="1:7">
      <c r="B3" s="1" t="s">
        <v>1</v>
      </c>
      <c r="C3" s="2"/>
      <c r="D3" s="3"/>
    </row>
    <row r="4" spans="1:7">
      <c r="B4" s="4"/>
      <c r="C4" s="5"/>
      <c r="D4" s="6"/>
    </row>
    <row r="6" spans="1:7">
      <c r="B6" s="9" t="s">
        <v>2</v>
      </c>
      <c r="C6" s="9" t="s">
        <v>3</v>
      </c>
      <c r="D6" s="9" t="s">
        <v>4</v>
      </c>
      <c r="E6" s="9" t="s">
        <v>5</v>
      </c>
      <c r="F6" s="13" t="s">
        <v>6</v>
      </c>
    </row>
    <row r="7" spans="1:7">
      <c r="A7" t="s">
        <v>7</v>
      </c>
      <c r="B7" s="12">
        <v>1000000</v>
      </c>
      <c r="C7" s="11">
        <v>1.7999999999999999E-2</v>
      </c>
      <c r="D7" s="8">
        <v>2</v>
      </c>
      <c r="E7" s="17">
        <v>1</v>
      </c>
      <c r="F7" s="14">
        <f>B7 * ( 1 + C7 / E7 ) ^ ( E7 * D7 )</f>
        <v>1036324</v>
      </c>
      <c r="G7" t="s">
        <v>11</v>
      </c>
    </row>
    <row r="8" spans="1:7">
      <c r="A8" t="s">
        <v>8</v>
      </c>
      <c r="B8" s="12">
        <v>1000000</v>
      </c>
      <c r="C8" s="11">
        <v>1.7999999999999999E-2</v>
      </c>
      <c r="D8" s="8">
        <v>2</v>
      </c>
      <c r="E8" s="17">
        <v>2</v>
      </c>
      <c r="F8" s="14">
        <f t="shared" ref="F8:F15" si="0">B8 * ( 1 + C8 / E8 ) ^ ( E8 * D8 )</f>
        <v>1036488.9225609996</v>
      </c>
      <c r="G8" t="s">
        <v>11</v>
      </c>
    </row>
    <row r="9" spans="1:7">
      <c r="A9" t="s">
        <v>9</v>
      </c>
      <c r="B9" s="12">
        <v>1000000</v>
      </c>
      <c r="C9" s="11">
        <v>1.7999999999999999E-2</v>
      </c>
      <c r="D9" s="8">
        <v>2</v>
      </c>
      <c r="E9" s="17">
        <v>12</v>
      </c>
      <c r="F9" s="14">
        <f t="shared" si="0"/>
        <v>1036627.8851184319</v>
      </c>
      <c r="G9" t="s">
        <v>11</v>
      </c>
    </row>
    <row r="10" spans="1:7">
      <c r="A10" t="s">
        <v>10</v>
      </c>
      <c r="B10" s="12">
        <v>1000000</v>
      </c>
      <c r="C10" s="11">
        <v>1.7999999999999999E-2</v>
      </c>
      <c r="D10" s="8">
        <v>2</v>
      </c>
      <c r="E10" s="17">
        <f>24*3600*365</f>
        <v>31536000</v>
      </c>
      <c r="F10" s="14">
        <f t="shared" si="0"/>
        <v>1036655.8501412231</v>
      </c>
      <c r="G10" t="s">
        <v>11</v>
      </c>
    </row>
    <row r="11" spans="1:7">
      <c r="A11" t="s">
        <v>7</v>
      </c>
      <c r="B11" s="12">
        <v>1000000</v>
      </c>
      <c r="C11" s="11">
        <v>0.03</v>
      </c>
      <c r="D11" s="8">
        <v>1</v>
      </c>
      <c r="E11" s="17">
        <v>1</v>
      </c>
      <c r="F11" s="14">
        <f t="shared" si="0"/>
        <v>1030000</v>
      </c>
    </row>
    <row r="12" spans="1:7">
      <c r="A12" t="s">
        <v>8</v>
      </c>
      <c r="B12" s="12">
        <v>1000000</v>
      </c>
      <c r="C12" s="11">
        <v>0.03</v>
      </c>
      <c r="D12" s="8">
        <v>1</v>
      </c>
      <c r="E12" s="17">
        <v>2</v>
      </c>
      <c r="F12" s="14">
        <f t="shared" si="0"/>
        <v>1030224.9999999998</v>
      </c>
    </row>
    <row r="13" spans="1:7">
      <c r="A13" t="s">
        <v>12</v>
      </c>
      <c r="B13" s="12">
        <v>1000000</v>
      </c>
      <c r="C13" s="11">
        <v>0.03</v>
      </c>
      <c r="D13" s="8">
        <v>1</v>
      </c>
      <c r="E13" s="17">
        <v>4</v>
      </c>
      <c r="F13" s="14">
        <f t="shared" si="0"/>
        <v>1030339.1906640629</v>
      </c>
    </row>
    <row r="14" spans="1:7">
      <c r="A14" t="s">
        <v>9</v>
      </c>
      <c r="B14" s="12">
        <v>1000000</v>
      </c>
      <c r="C14" s="11">
        <v>0.03</v>
      </c>
      <c r="D14" s="8">
        <v>1</v>
      </c>
      <c r="E14" s="17">
        <v>12</v>
      </c>
      <c r="F14" s="14">
        <f t="shared" si="0"/>
        <v>1030415.9569135067</v>
      </c>
    </row>
    <row r="15" spans="1:7">
      <c r="A15" t="s">
        <v>13</v>
      </c>
      <c r="B15" s="12">
        <v>1000000</v>
      </c>
      <c r="C15" s="11">
        <v>0.03</v>
      </c>
      <c r="D15" s="8">
        <v>1</v>
      </c>
      <c r="E15" s="17">
        <v>365</v>
      </c>
      <c r="F15" s="14">
        <f t="shared" si="0"/>
        <v>1030453.2636005583</v>
      </c>
    </row>
    <row r="16" spans="1:7">
      <c r="A16" t="s">
        <v>10</v>
      </c>
      <c r="B16" s="12">
        <v>1000000</v>
      </c>
      <c r="C16" s="11">
        <v>0.03</v>
      </c>
      <c r="D16" s="8">
        <v>1</v>
      </c>
      <c r="E16" s="17">
        <f>24*3600*365</f>
        <v>31536000</v>
      </c>
      <c r="F16" s="20">
        <f t="shared" ref="F16:F22" si="1">B16 * ( 1 + C16 / E16 ) ^ ( E16 * D16 )</f>
        <v>1030454.5321156334</v>
      </c>
    </row>
    <row r="17" spans="1:7">
      <c r="A17" t="s">
        <v>10</v>
      </c>
      <c r="B17" s="12">
        <v>1000000</v>
      </c>
      <c r="C17" s="11">
        <v>1.7999999999999999E-2</v>
      </c>
      <c r="D17" s="8">
        <v>0.5</v>
      </c>
      <c r="E17" s="17">
        <f>24*3600*365</f>
        <v>31536000</v>
      </c>
      <c r="F17" s="20">
        <f t="shared" si="1"/>
        <v>1009040.6226621325</v>
      </c>
      <c r="G17" t="s">
        <v>22</v>
      </c>
    </row>
    <row r="18" spans="1:7">
      <c r="A18" t="s">
        <v>10</v>
      </c>
      <c r="B18" s="12">
        <v>1000000</v>
      </c>
      <c r="C18" s="11">
        <v>1.7999999999999999E-2</v>
      </c>
      <c r="D18" s="8">
        <v>1.25</v>
      </c>
      <c r="E18" s="17">
        <f>24*3600*365</f>
        <v>31536000</v>
      </c>
      <c r="F18" s="20">
        <f t="shared" si="1"/>
        <v>1022755.0364152902</v>
      </c>
      <c r="G18" t="s">
        <v>22</v>
      </c>
    </row>
    <row r="19" spans="1:7">
      <c r="A19" t="s">
        <v>8</v>
      </c>
      <c r="B19" s="12">
        <v>100000000</v>
      </c>
      <c r="C19" s="11">
        <v>1.4999999999999999E-2</v>
      </c>
      <c r="D19" s="8">
        <v>5</v>
      </c>
      <c r="E19" s="17">
        <v>2</v>
      </c>
      <c r="F19" s="14">
        <f t="shared" si="1"/>
        <v>107758254.54707402</v>
      </c>
      <c r="G19" t="s">
        <v>78</v>
      </c>
    </row>
    <row r="20" spans="1:7">
      <c r="A20" t="s">
        <v>12</v>
      </c>
      <c r="B20" s="12">
        <v>100000000</v>
      </c>
      <c r="C20" s="11">
        <v>5.4999999999999997E-3</v>
      </c>
      <c r="D20" s="8">
        <v>1.5</v>
      </c>
      <c r="E20" s="17">
        <v>4</v>
      </c>
      <c r="F20" s="14">
        <f t="shared" si="1"/>
        <v>100827841.1420833</v>
      </c>
      <c r="G20" t="s">
        <v>78</v>
      </c>
    </row>
    <row r="21" spans="1:7">
      <c r="B21" s="12"/>
      <c r="C21" s="11"/>
      <c r="D21" s="8"/>
      <c r="E21" s="17"/>
      <c r="F21" s="14" t="e">
        <f t="shared" si="1"/>
        <v>#DIV/0!</v>
      </c>
    </row>
    <row r="22" spans="1:7">
      <c r="B22" s="12"/>
      <c r="C22" s="11"/>
      <c r="D22" s="8"/>
      <c r="E22" s="17"/>
      <c r="F22" s="14" t="e">
        <f t="shared" si="1"/>
        <v>#DIV/0!</v>
      </c>
    </row>
    <row r="24" spans="1:7">
      <c r="F24" s="18" t="s">
        <v>14</v>
      </c>
    </row>
    <row r="25" spans="1:7">
      <c r="F25" s="18" t="s">
        <v>15</v>
      </c>
    </row>
    <row r="27" spans="1:7" ht="17.25">
      <c r="B27" s="10" t="s">
        <v>16</v>
      </c>
    </row>
    <row r="28" spans="1:7">
      <c r="B28" s="1" t="s">
        <v>17</v>
      </c>
      <c r="C28" s="2"/>
      <c r="D28" s="3"/>
    </row>
    <row r="29" spans="1:7">
      <c r="B29" s="4" t="s">
        <v>18</v>
      </c>
      <c r="C29" s="5"/>
      <c r="D29" s="6"/>
    </row>
    <row r="31" spans="1:7">
      <c r="B31" s="9" t="s">
        <v>2</v>
      </c>
      <c r="C31" s="9" t="s">
        <v>3</v>
      </c>
      <c r="D31" s="9" t="s">
        <v>4</v>
      </c>
      <c r="E31" s="13" t="s">
        <v>6</v>
      </c>
    </row>
    <row r="32" spans="1:7">
      <c r="A32" t="s">
        <v>16</v>
      </c>
      <c r="B32" s="12">
        <v>1000000</v>
      </c>
      <c r="C32" s="11">
        <v>0.03</v>
      </c>
      <c r="D32" s="8">
        <v>1</v>
      </c>
      <c r="E32" s="20">
        <f t="shared" ref="E32:E38" si="2" xml:space="preserve"> B32 * EXP(C32 * D32 )</f>
        <v>1030454.533953517</v>
      </c>
      <c r="F32" t="s">
        <v>19</v>
      </c>
    </row>
    <row r="33" spans="1:6">
      <c r="A33" t="s">
        <v>16</v>
      </c>
      <c r="B33" s="12">
        <v>1000000</v>
      </c>
      <c r="C33" s="11">
        <v>2.5000000000000001E-2</v>
      </c>
      <c r="D33" s="8">
        <v>3</v>
      </c>
      <c r="E33" s="14">
        <f t="shared" si="2"/>
        <v>1077884.1508846316</v>
      </c>
      <c r="F33" t="s">
        <v>22</v>
      </c>
    </row>
    <row r="34" spans="1:6">
      <c r="A34" t="s">
        <v>16</v>
      </c>
      <c r="B34" s="12">
        <v>1000000</v>
      </c>
      <c r="C34" s="11">
        <v>1.7999999999999999E-2</v>
      </c>
      <c r="D34" s="8">
        <v>0.5</v>
      </c>
      <c r="E34" s="20">
        <f t="shared" si="2"/>
        <v>1009040.6217738679</v>
      </c>
      <c r="F34" t="s">
        <v>22</v>
      </c>
    </row>
    <row r="35" spans="1:6">
      <c r="A35" t="s">
        <v>16</v>
      </c>
      <c r="B35" s="12">
        <v>1000000</v>
      </c>
      <c r="C35" s="11">
        <v>1.7999999999999999E-2</v>
      </c>
      <c r="D35" s="8">
        <v>1.25</v>
      </c>
      <c r="E35" s="20">
        <f t="shared" si="2"/>
        <v>1022755.0341644461</v>
      </c>
      <c r="F35" t="s">
        <v>22</v>
      </c>
    </row>
    <row r="36" spans="1:6">
      <c r="B36" s="12">
        <v>100000000</v>
      </c>
      <c r="C36" s="11">
        <v>1.2E-2</v>
      </c>
      <c r="D36" s="8">
        <v>2</v>
      </c>
      <c r="E36" s="14">
        <f t="shared" si="2"/>
        <v>102429031.78906216</v>
      </c>
      <c r="F36" t="s">
        <v>78</v>
      </c>
    </row>
    <row r="37" spans="1:6">
      <c r="B37" s="12"/>
      <c r="C37" s="11"/>
      <c r="D37" s="8"/>
      <c r="E37" s="14">
        <f t="shared" si="2"/>
        <v>0</v>
      </c>
    </row>
    <row r="38" spans="1:6">
      <c r="B38" s="12"/>
      <c r="C38" s="11"/>
      <c r="D38" s="8"/>
      <c r="E38" s="14">
        <f t="shared" si="2"/>
        <v>0</v>
      </c>
    </row>
    <row r="40" spans="1:6">
      <c r="E40" s="18" t="s">
        <v>20</v>
      </c>
    </row>
    <row r="41" spans="1:6">
      <c r="E41" s="18" t="s">
        <v>21</v>
      </c>
    </row>
    <row r="44" spans="1:6" ht="17.25">
      <c r="B44" s="10" t="s">
        <v>23</v>
      </c>
    </row>
    <row r="45" spans="1:6">
      <c r="B45" s="1" t="s">
        <v>24</v>
      </c>
      <c r="C45" s="2"/>
      <c r="D45" s="2"/>
      <c r="E45" s="3"/>
    </row>
    <row r="46" spans="1:6">
      <c r="B46" s="21" t="s">
        <v>25</v>
      </c>
      <c r="C46" s="22"/>
      <c r="D46" s="22"/>
      <c r="E46" s="23"/>
    </row>
    <row r="47" spans="1:6">
      <c r="B47" s="21"/>
      <c r="C47" s="22"/>
      <c r="D47" s="22"/>
      <c r="E47" s="23"/>
    </row>
    <row r="48" spans="1:6">
      <c r="B48" s="21" t="s">
        <v>26</v>
      </c>
      <c r="C48" s="22"/>
      <c r="D48" s="22"/>
      <c r="E48" s="23"/>
    </row>
    <row r="49" spans="2:9">
      <c r="B49" s="21" t="s">
        <v>25</v>
      </c>
      <c r="C49" s="22"/>
      <c r="D49" s="22"/>
      <c r="E49" s="23"/>
    </row>
    <row r="50" spans="2:9">
      <c r="B50" s="4"/>
      <c r="C50" s="5"/>
      <c r="D50" s="5"/>
      <c r="E50" s="6"/>
    </row>
    <row r="52" spans="2:9">
      <c r="B52" s="9" t="s">
        <v>27</v>
      </c>
      <c r="C52" s="9" t="s">
        <v>28</v>
      </c>
      <c r="D52" s="9" t="s">
        <v>4</v>
      </c>
      <c r="E52" s="25" t="s">
        <v>30</v>
      </c>
      <c r="F52" s="9" t="s">
        <v>29</v>
      </c>
      <c r="H52" s="9" t="s">
        <v>31</v>
      </c>
      <c r="I52" s="13" t="s">
        <v>6</v>
      </c>
    </row>
    <row r="53" spans="2:9">
      <c r="B53" s="12">
        <v>98</v>
      </c>
      <c r="C53" s="11">
        <v>1.4500000000000001E-2</v>
      </c>
      <c r="D53" s="8">
        <v>2</v>
      </c>
      <c r="E53" s="8">
        <v>1</v>
      </c>
      <c r="F53" s="26">
        <f>C53/E53</f>
        <v>1.4500000000000001E-2</v>
      </c>
      <c r="H53" s="7">
        <f>B53*(-1)</f>
        <v>-98</v>
      </c>
      <c r="I53" s="29">
        <f>IRR(H53:H55) * E53</f>
        <v>2.4874647581366593E-2</v>
      </c>
    </row>
    <row r="54" spans="2:9">
      <c r="H54" s="7">
        <f>100*$F$53</f>
        <v>1.4500000000000002</v>
      </c>
    </row>
    <row r="55" spans="2:9">
      <c r="H55" s="7">
        <f>100*$F$53 + 100</f>
        <v>101.45</v>
      </c>
    </row>
    <row r="57" spans="2:9">
      <c r="B57" s="9" t="s">
        <v>27</v>
      </c>
      <c r="C57" s="9" t="s">
        <v>28</v>
      </c>
      <c r="D57" s="9" t="s">
        <v>4</v>
      </c>
      <c r="E57" s="25" t="s">
        <v>30</v>
      </c>
      <c r="F57" s="9" t="s">
        <v>29</v>
      </c>
      <c r="H57" s="9" t="s">
        <v>31</v>
      </c>
      <c r="I57" s="13" t="s">
        <v>6</v>
      </c>
    </row>
    <row r="58" spans="2:9">
      <c r="B58" s="30">
        <v>100</v>
      </c>
      <c r="C58" s="11">
        <v>2.5000000000000001E-2</v>
      </c>
      <c r="D58" s="8">
        <v>2</v>
      </c>
      <c r="E58" s="8">
        <v>1</v>
      </c>
      <c r="F58" s="26">
        <f>C58/E58</f>
        <v>2.5000000000000001E-2</v>
      </c>
      <c r="H58" s="7">
        <f>B58*(-1)</f>
        <v>-100</v>
      </c>
      <c r="I58" s="29">
        <f>IRR(H58:H60) * E58</f>
        <v>2.5000000000000133E-2</v>
      </c>
    </row>
    <row r="59" spans="2:9">
      <c r="H59" s="7">
        <f>100*F58</f>
        <v>2.5</v>
      </c>
    </row>
    <row r="60" spans="2:9">
      <c r="H60" s="7">
        <f>100*F58 + 100</f>
        <v>102.5</v>
      </c>
    </row>
    <row r="61" spans="2:9">
      <c r="B61" t="s">
        <v>32</v>
      </c>
    </row>
    <row r="62" spans="2:9">
      <c r="B62" t="s">
        <v>33</v>
      </c>
    </row>
    <row r="65" spans="2:9">
      <c r="B65" s="9" t="s">
        <v>27</v>
      </c>
      <c r="C65" s="9" t="s">
        <v>28</v>
      </c>
      <c r="D65" s="9" t="s">
        <v>4</v>
      </c>
      <c r="E65" s="25" t="s">
        <v>30</v>
      </c>
      <c r="F65" s="9" t="s">
        <v>29</v>
      </c>
      <c r="H65" s="9" t="s">
        <v>31</v>
      </c>
      <c r="I65" s="13" t="s">
        <v>6</v>
      </c>
    </row>
    <row r="66" spans="2:9">
      <c r="B66" s="31">
        <v>95</v>
      </c>
      <c r="C66" s="11">
        <v>0.03</v>
      </c>
      <c r="D66" s="8">
        <v>2</v>
      </c>
      <c r="E66" s="8">
        <v>2</v>
      </c>
      <c r="F66" s="26">
        <f>C66/E66</f>
        <v>1.4999999999999999E-2</v>
      </c>
      <c r="H66" s="7">
        <f>B66*(-1)</f>
        <v>-95</v>
      </c>
      <c r="I66" s="29">
        <f>IRR(H66:H70) * E66</f>
        <v>5.679984316637432E-2</v>
      </c>
    </row>
    <row r="67" spans="2:9">
      <c r="H67" s="7">
        <f>100*F66</f>
        <v>1.5</v>
      </c>
    </row>
    <row r="68" spans="2:9">
      <c r="F68" s="18" t="s">
        <v>34</v>
      </c>
      <c r="H68" s="7">
        <f>100*F66</f>
        <v>1.5</v>
      </c>
    </row>
    <row r="69" spans="2:9">
      <c r="F69" s="32" t="s">
        <v>35</v>
      </c>
      <c r="H69" s="7">
        <f>100*F66</f>
        <v>1.5</v>
      </c>
    </row>
    <row r="70" spans="2:9">
      <c r="H70" s="7">
        <f>100*F66 + 100</f>
        <v>101.5</v>
      </c>
    </row>
    <row r="71" spans="2:9">
      <c r="H71" s="24"/>
    </row>
    <row r="72" spans="2:9">
      <c r="H72" s="18" t="s">
        <v>36</v>
      </c>
    </row>
    <row r="73" spans="2:9">
      <c r="H73" s="24"/>
    </row>
    <row r="74" spans="2:9">
      <c r="H74" s="24"/>
    </row>
    <row r="75" spans="2:9" ht="17.25">
      <c r="B75" s="10" t="s">
        <v>46</v>
      </c>
    </row>
    <row r="76" spans="2:9">
      <c r="B76" s="33" t="s">
        <v>37</v>
      </c>
      <c r="C76" s="33" t="s">
        <v>38</v>
      </c>
      <c r="D76" s="33" t="s">
        <v>39</v>
      </c>
    </row>
    <row r="77" spans="2:9">
      <c r="B77" s="8" t="s">
        <v>42</v>
      </c>
      <c r="C77" s="8" t="s">
        <v>41</v>
      </c>
      <c r="D77" s="8" t="s">
        <v>40</v>
      </c>
    </row>
    <row r="78" spans="2:9">
      <c r="B78" s="8" t="s">
        <v>45</v>
      </c>
      <c r="C78" s="8" t="s">
        <v>44</v>
      </c>
      <c r="D78" s="8" t="s">
        <v>43</v>
      </c>
    </row>
    <row r="83" spans="2:7" ht="17.25">
      <c r="B83" s="10" t="s">
        <v>47</v>
      </c>
    </row>
    <row r="84" spans="2:7">
      <c r="B84" t="s">
        <v>48</v>
      </c>
    </row>
    <row r="85" spans="2:7">
      <c r="B85" s="1" t="s">
        <v>50</v>
      </c>
      <c r="C85" s="2"/>
      <c r="D85" s="3"/>
      <c r="E85" t="s">
        <v>54</v>
      </c>
    </row>
    <row r="86" spans="2:7">
      <c r="B86" s="4" t="s">
        <v>198</v>
      </c>
      <c r="C86" s="5"/>
      <c r="D86" s="6"/>
    </row>
    <row r="88" spans="2:7">
      <c r="B88" s="9" t="s">
        <v>27</v>
      </c>
      <c r="C88" s="9" t="s">
        <v>4</v>
      </c>
      <c r="D88" s="25" t="s">
        <v>30</v>
      </c>
      <c r="E88" s="13" t="s">
        <v>6</v>
      </c>
    </row>
    <row r="89" spans="2:7">
      <c r="B89" s="34">
        <v>98.38</v>
      </c>
      <c r="C89" s="8">
        <v>2</v>
      </c>
      <c r="D89" s="8">
        <v>1</v>
      </c>
      <c r="E89" s="35">
        <f>( (100/B89) ^ ( 1/(D89*C89) )  - 1 ) * D89</f>
        <v>8.1997627141645602E-3</v>
      </c>
      <c r="F89" t="s">
        <v>49</v>
      </c>
    </row>
    <row r="90" spans="2:7">
      <c r="B90" s="34">
        <v>98.38</v>
      </c>
      <c r="C90" s="8">
        <v>2</v>
      </c>
      <c r="D90" s="8">
        <v>2</v>
      </c>
      <c r="E90" s="35">
        <f>( (100/B90) ^ ( 1/(D90*C90) )  - 1 ) * D90</f>
        <v>8.1830222508751937E-3</v>
      </c>
      <c r="F90" t="s">
        <v>49</v>
      </c>
    </row>
    <row r="91" spans="2:7">
      <c r="B91" s="34">
        <v>95.4</v>
      </c>
      <c r="C91" s="8">
        <v>3</v>
      </c>
      <c r="D91" s="8">
        <v>1</v>
      </c>
      <c r="E91" s="38">
        <f>( (100/B91) ^ ( 1/(D91*C91) )  - 1 ) * D91</f>
        <v>1.5821050769789125E-2</v>
      </c>
      <c r="F91" t="s">
        <v>53</v>
      </c>
    </row>
    <row r="92" spans="2:7">
      <c r="B92" s="34">
        <v>95.4</v>
      </c>
      <c r="C92" s="8">
        <v>3</v>
      </c>
      <c r="D92" s="8">
        <v>2</v>
      </c>
      <c r="E92" s="38">
        <f>( (100/B92) ^ ( 1/(D92*C92) )  - 1 ) * D92</f>
        <v>1.5758964529032138E-2</v>
      </c>
      <c r="F92" t="s">
        <v>53</v>
      </c>
    </row>
    <row r="93" spans="2:7">
      <c r="B93" s="34">
        <v>95.4</v>
      </c>
      <c r="C93" s="8">
        <v>3</v>
      </c>
      <c r="D93" s="8">
        <v>4</v>
      </c>
      <c r="E93" s="38">
        <f>( (100/B93) ^ ( 1/(D93*C93) )  - 1 ) * D93</f>
        <v>1.5728043111517209E-2</v>
      </c>
      <c r="F93" t="s">
        <v>53</v>
      </c>
      <c r="G93" t="s">
        <v>63</v>
      </c>
    </row>
    <row r="94" spans="2:7">
      <c r="B94" s="31">
        <v>1000000</v>
      </c>
      <c r="C94" s="8">
        <v>5</v>
      </c>
      <c r="D94" s="8">
        <v>2</v>
      </c>
      <c r="E94" s="35">
        <f xml:space="preserve"> ( ( 1219000 / B94 ) ^ ( 1 / (C94*D94) ) - 1 ) * D94</f>
        <v>4.0000933817830653E-2</v>
      </c>
      <c r="F94" t="s">
        <v>53</v>
      </c>
    </row>
    <row r="95" spans="2:7">
      <c r="B95" s="34">
        <v>98.38</v>
      </c>
      <c r="C95" s="8">
        <v>2</v>
      </c>
      <c r="D95" s="8">
        <v>2</v>
      </c>
      <c r="E95" s="35">
        <f xml:space="preserve"> ( ( 100 / B95 ) ^ ( 1 / (C95*D95) ) - 1 ) * D95</f>
        <v>8.1830222508751937E-3</v>
      </c>
      <c r="F95" t="s">
        <v>78</v>
      </c>
    </row>
    <row r="96" spans="2:7">
      <c r="B96" s="34">
        <v>94.58</v>
      </c>
      <c r="C96" s="8">
        <v>5</v>
      </c>
      <c r="D96" s="8">
        <v>2</v>
      </c>
      <c r="E96" s="35">
        <f>( (100/B96) ^ ( 1/(D96*C96) )  - 1 ) * D96</f>
        <v>1.1175939320328787E-2</v>
      </c>
      <c r="F96" t="s">
        <v>78</v>
      </c>
    </row>
    <row r="97" spans="2:7">
      <c r="B97" s="34">
        <v>94.58</v>
      </c>
      <c r="C97" s="8">
        <v>5</v>
      </c>
      <c r="D97" s="8">
        <v>12</v>
      </c>
      <c r="E97" s="35">
        <f>( (100/B97) ^ ( 1/(D97*C97) )  - 1 ) * D97</f>
        <v>1.1150006658268374E-2</v>
      </c>
    </row>
    <row r="98" spans="2:7">
      <c r="B98" s="34">
        <v>97.674403443391896</v>
      </c>
      <c r="C98" s="8">
        <v>2</v>
      </c>
      <c r="D98" s="8">
        <v>2</v>
      </c>
      <c r="E98" s="35">
        <f>( (100/B98) ^ ( 1/(D98*C98) )  - 1 ) * D98</f>
        <v>1.1800000000000033E-2</v>
      </c>
    </row>
    <row r="99" spans="2:7">
      <c r="B99" s="34">
        <f>100/( (1+E99/2)^(2*1*2) )</f>
        <v>97.674403443391924</v>
      </c>
      <c r="C99" s="8">
        <v>2</v>
      </c>
      <c r="D99" s="8">
        <v>2</v>
      </c>
      <c r="E99" s="35">
        <v>1.18E-2</v>
      </c>
    </row>
    <row r="100" spans="2:7">
      <c r="B100" s="34"/>
      <c r="C100" s="8"/>
      <c r="D100" s="8"/>
      <c r="E100" s="35" t="e">
        <f>( (100/B100) ^ ( 1/(D100*C100) )  - 1 ) * D100</f>
        <v>#DIV/0!</v>
      </c>
      <c r="G100" s="53"/>
    </row>
    <row r="101" spans="2:7">
      <c r="B101" s="34"/>
      <c r="C101" s="8"/>
      <c r="D101" s="8"/>
      <c r="E101" s="35" t="e">
        <f>( (100/B101) ^ ( 1/(D101*C101) )  - 1 ) * D101</f>
        <v>#DIV/0!</v>
      </c>
      <c r="G101" s="53"/>
    </row>
    <row r="102" spans="2:7">
      <c r="B102" s="34"/>
      <c r="C102" s="8"/>
      <c r="D102" s="8"/>
      <c r="E102" s="35" t="e">
        <f>( (100/B102) ^ ( 1/(D102*C102) )  - 1 ) * D102</f>
        <v>#DIV/0!</v>
      </c>
      <c r="G102" s="53"/>
    </row>
    <row r="103" spans="2:7">
      <c r="B103" s="36"/>
      <c r="C103" s="19"/>
      <c r="D103" s="19"/>
      <c r="E103" s="37"/>
    </row>
    <row r="104" spans="2:7">
      <c r="E104" s="18" t="s">
        <v>51</v>
      </c>
    </row>
    <row r="105" spans="2:7">
      <c r="E105" s="18" t="s">
        <v>52</v>
      </c>
    </row>
    <row r="108" spans="2:7" ht="17.25">
      <c r="B108" s="10" t="s">
        <v>55</v>
      </c>
    </row>
    <row r="109" spans="2:7">
      <c r="B109" s="1" t="s">
        <v>56</v>
      </c>
      <c r="C109" s="2"/>
      <c r="D109" s="3"/>
      <c r="E109" t="s">
        <v>59</v>
      </c>
    </row>
    <row r="110" spans="2:7">
      <c r="B110" s="4" t="s">
        <v>57</v>
      </c>
      <c r="C110" s="5"/>
      <c r="D110" s="6"/>
    </row>
    <row r="111" spans="2:7">
      <c r="B111" t="s">
        <v>60</v>
      </c>
    </row>
    <row r="112" spans="2:7">
      <c r="B112" t="s">
        <v>61</v>
      </c>
    </row>
    <row r="113" spans="2:6">
      <c r="B113" s="9" t="s">
        <v>27</v>
      </c>
      <c r="C113" s="9" t="s">
        <v>4</v>
      </c>
      <c r="D113" s="25" t="s">
        <v>30</v>
      </c>
    </row>
    <row r="114" spans="2:6">
      <c r="B114" s="34">
        <v>99.42</v>
      </c>
      <c r="C114" s="8">
        <v>1</v>
      </c>
      <c r="D114" s="15">
        <v>1</v>
      </c>
      <c r="F114" t="s">
        <v>58</v>
      </c>
    </row>
    <row r="115" spans="2:6">
      <c r="B115" s="34">
        <v>97.56</v>
      </c>
      <c r="C115" s="8">
        <v>3</v>
      </c>
      <c r="D115" s="15">
        <v>1</v>
      </c>
      <c r="E115" s="35">
        <f>(1/C115) * LN(100/B115) * D115</f>
        <v>8.2342042134572399E-3</v>
      </c>
      <c r="F115" t="s">
        <v>58</v>
      </c>
    </row>
    <row r="116" spans="2:6">
      <c r="B116" s="34">
        <v>95.4</v>
      </c>
      <c r="C116" s="8">
        <v>3</v>
      </c>
      <c r="D116" s="15">
        <v>1</v>
      </c>
      <c r="E116" s="35">
        <f>(1/C116) * LN(100/B116) * D116</f>
        <v>1.5697202511283457E-2</v>
      </c>
      <c r="F116" t="s">
        <v>62</v>
      </c>
    </row>
    <row r="117" spans="2:6">
      <c r="B117" s="34">
        <v>94.58</v>
      </c>
      <c r="C117" s="8">
        <v>5</v>
      </c>
      <c r="D117" s="15">
        <v>1</v>
      </c>
      <c r="E117" s="35">
        <f>(1/C117) * LN(100/B117) * D117</f>
        <v>1.1144829754472344E-2</v>
      </c>
      <c r="F117" t="s">
        <v>78</v>
      </c>
    </row>
    <row r="118" spans="2:6">
      <c r="B118" s="34"/>
      <c r="C118" s="8"/>
      <c r="D118" s="15"/>
      <c r="E118" s="35" t="e">
        <f>(1/C118) * LN(100/B118) * D118</f>
        <v>#DIV/0!</v>
      </c>
    </row>
    <row r="120" spans="2:6">
      <c r="E120" s="18" t="s">
        <v>64</v>
      </c>
    </row>
    <row r="121" spans="2:6">
      <c r="E121" s="18" t="s">
        <v>65</v>
      </c>
    </row>
    <row r="125" spans="2:6" ht="17.25">
      <c r="B125" s="10" t="s">
        <v>66</v>
      </c>
    </row>
    <row r="126" spans="2:6">
      <c r="B126" s="1" t="s">
        <v>79</v>
      </c>
      <c r="C126" s="2"/>
      <c r="D126" s="3"/>
    </row>
    <row r="127" spans="2:6">
      <c r="B127" s="4"/>
      <c r="C127" s="5"/>
      <c r="D127" s="6"/>
    </row>
    <row r="130" spans="2:11">
      <c r="B130" s="9" t="s">
        <v>67</v>
      </c>
      <c r="C130" s="9" t="s">
        <v>69</v>
      </c>
      <c r="D130" s="16" t="s">
        <v>72</v>
      </c>
      <c r="E130" s="9" t="s">
        <v>68</v>
      </c>
      <c r="F130" s="9" t="s">
        <v>70</v>
      </c>
      <c r="G130" s="16" t="s">
        <v>73</v>
      </c>
      <c r="H130" s="9" t="s">
        <v>71</v>
      </c>
      <c r="J130" s="13" t="s">
        <v>6</v>
      </c>
    </row>
    <row r="131" spans="2:11">
      <c r="B131" s="28">
        <v>1.4999999999999999E-2</v>
      </c>
      <c r="C131" s="7">
        <v>1</v>
      </c>
      <c r="D131" s="39">
        <f>C131*H131</f>
        <v>2</v>
      </c>
      <c r="E131" s="27">
        <v>0.02</v>
      </c>
      <c r="F131" s="7">
        <v>1.5</v>
      </c>
      <c r="G131" s="39">
        <f>F131*H131</f>
        <v>3</v>
      </c>
      <c r="H131" s="7">
        <v>2</v>
      </c>
      <c r="J131" s="35">
        <f xml:space="preserve"> 2 * (  ( (1.01) ^ 3 / ( 1.0075 ) ^2 ) - 1 )</f>
        <v>3.0037251630143036E-2</v>
      </c>
    </row>
    <row r="132" spans="2:11">
      <c r="B132" s="28">
        <v>8.9999999999999993E-3</v>
      </c>
      <c r="C132" s="7">
        <v>2</v>
      </c>
      <c r="D132" s="39">
        <f>C132*H132</f>
        <v>4</v>
      </c>
      <c r="E132" s="28">
        <v>1.0999999999999999E-2</v>
      </c>
      <c r="F132" s="7">
        <v>2.5</v>
      </c>
      <c r="G132" s="39">
        <f>F132*H132</f>
        <v>5</v>
      </c>
      <c r="H132" s="7">
        <v>2</v>
      </c>
      <c r="J132" s="35">
        <f xml:space="preserve"> ( ( (1+ 1.1%/2) ^ 5 / ( 1 + 0.9%/2) ^ 4 )  - 1 ) * 2</f>
        <v>1.9019930234263072E-2</v>
      </c>
      <c r="K132" t="s">
        <v>78</v>
      </c>
    </row>
    <row r="136" spans="2:11" ht="17.25">
      <c r="B136" s="10" t="s">
        <v>74</v>
      </c>
    </row>
    <row r="137" spans="2:11">
      <c r="B137" s="1" t="s">
        <v>75</v>
      </c>
      <c r="C137" s="2"/>
      <c r="D137" s="3"/>
    </row>
    <row r="138" spans="2:11">
      <c r="B138" s="4" t="s">
        <v>76</v>
      </c>
      <c r="C138" s="5"/>
      <c r="D138" s="6"/>
    </row>
    <row r="140" spans="2:11">
      <c r="B140" s="9" t="s">
        <v>67</v>
      </c>
      <c r="C140" s="9" t="s">
        <v>69</v>
      </c>
      <c r="D140" s="16" t="s">
        <v>72</v>
      </c>
      <c r="E140" s="9" t="s">
        <v>68</v>
      </c>
      <c r="F140" s="9" t="s">
        <v>70</v>
      </c>
      <c r="G140" s="16" t="s">
        <v>73</v>
      </c>
      <c r="H140" s="9" t="s">
        <v>71</v>
      </c>
      <c r="I140" s="16" t="s">
        <v>77</v>
      </c>
      <c r="K140" s="13" t="s">
        <v>6</v>
      </c>
    </row>
    <row r="141" spans="2:11">
      <c r="B141" s="28">
        <v>1.4999999999999999E-2</v>
      </c>
      <c r="C141" s="7">
        <v>1</v>
      </c>
      <c r="D141" s="39">
        <f>C141*H141</f>
        <v>2</v>
      </c>
      <c r="E141" s="27">
        <v>0.02</v>
      </c>
      <c r="F141" s="7">
        <v>1.5</v>
      </c>
      <c r="G141" s="39">
        <f>F141*H141</f>
        <v>3</v>
      </c>
      <c r="H141" s="7">
        <v>2</v>
      </c>
      <c r="I141" s="39">
        <f>G141-D141</f>
        <v>1</v>
      </c>
      <c r="K141" s="35">
        <f xml:space="preserve"> ( E141 * G141 - B141 * D141 ) / I141</f>
        <v>0.03</v>
      </c>
    </row>
    <row r="142" spans="2:11">
      <c r="B142" s="28"/>
      <c r="C142" s="7"/>
      <c r="D142" s="39">
        <f>C142*H142</f>
        <v>0</v>
      </c>
      <c r="E142" s="27"/>
      <c r="F142" s="7"/>
      <c r="G142" s="39">
        <f>F142*H142</f>
        <v>0</v>
      </c>
      <c r="H142" s="7"/>
      <c r="I142" s="39">
        <f>G142-D142</f>
        <v>0</v>
      </c>
      <c r="K142" s="35" t="e">
        <f xml:space="preserve"> ( E142 * G142 - B142 * D142 ) / I142</f>
        <v>#DIV/0!</v>
      </c>
    </row>
    <row r="143" spans="2:11">
      <c r="B143" s="28"/>
      <c r="C143" s="7"/>
      <c r="D143" s="39">
        <f>C143*H143</f>
        <v>0</v>
      </c>
      <c r="E143" s="27"/>
      <c r="F143" s="7"/>
      <c r="G143" s="39">
        <f>F143*H143</f>
        <v>0</v>
      </c>
      <c r="H143" s="7"/>
      <c r="I143" s="39">
        <f>G143-D143</f>
        <v>0</v>
      </c>
      <c r="K143" s="35" t="e">
        <f xml:space="preserve"> ( E143 * G143 - B143 * D143 ) / I143</f>
        <v>#DIV/0!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showGridLines="0" topLeftCell="A55" workbookViewId="0">
      <selection activeCell="A65" sqref="A65:XFD86"/>
    </sheetView>
  </sheetViews>
  <sheetFormatPr defaultRowHeight="13.5"/>
  <cols>
    <col min="1" max="24" width="14.625" customWidth="1"/>
  </cols>
  <sheetData>
    <row r="1" spans="1:5" ht="28.5">
      <c r="A1" s="47" t="s">
        <v>135</v>
      </c>
    </row>
    <row r="2" spans="1:5" ht="16.5" customHeight="1" thickBot="1">
      <c r="A2" s="47"/>
    </row>
    <row r="3" spans="1:5" ht="16.5" customHeight="1" thickBot="1">
      <c r="A3" s="47"/>
      <c r="B3" s="58" t="s">
        <v>136</v>
      </c>
      <c r="C3" s="59"/>
      <c r="D3" s="60"/>
    </row>
    <row r="4" spans="1:5" ht="16.5" customHeight="1">
      <c r="A4" s="47"/>
    </row>
    <row r="5" spans="1:5">
      <c r="B5" s="50" t="s">
        <v>118</v>
      </c>
    </row>
    <row r="6" spans="1:5">
      <c r="B6" t="s">
        <v>109</v>
      </c>
    </row>
    <row r="7" spans="1:5">
      <c r="B7" s="9" t="s">
        <v>83</v>
      </c>
      <c r="C7" s="9" t="s">
        <v>27</v>
      </c>
      <c r="D7" s="51" t="s">
        <v>110</v>
      </c>
    </row>
    <row r="8" spans="1:5">
      <c r="B8" s="8">
        <v>1</v>
      </c>
      <c r="C8" s="8">
        <v>99</v>
      </c>
      <c r="D8" s="51">
        <f>C8/100</f>
        <v>0.99</v>
      </c>
    </row>
    <row r="9" spans="1:5">
      <c r="B9" s="8">
        <v>2</v>
      </c>
      <c r="C9" s="8">
        <v>98</v>
      </c>
      <c r="D9" s="51">
        <f>C9/100</f>
        <v>0.98</v>
      </c>
    </row>
    <row r="11" spans="1:5">
      <c r="B11" t="s">
        <v>116</v>
      </c>
    </row>
    <row r="12" spans="1:5">
      <c r="B12" s="9" t="s">
        <v>83</v>
      </c>
      <c r="C12" s="9" t="s">
        <v>121</v>
      </c>
      <c r="D12" s="9" t="s">
        <v>111</v>
      </c>
      <c r="E12" s="13" t="s">
        <v>115</v>
      </c>
    </row>
    <row r="13" spans="1:5">
      <c r="B13" s="8">
        <v>1</v>
      </c>
      <c r="C13" s="8">
        <v>2</v>
      </c>
      <c r="D13" s="8">
        <f>C13*D8</f>
        <v>1.98</v>
      </c>
      <c r="E13" s="48" t="s">
        <v>112</v>
      </c>
    </row>
    <row r="14" spans="1:5">
      <c r="B14" s="8">
        <v>2</v>
      </c>
      <c r="C14" s="8">
        <v>102</v>
      </c>
      <c r="D14" s="8">
        <f>C14*D9</f>
        <v>99.96</v>
      </c>
      <c r="E14" s="48" t="s">
        <v>113</v>
      </c>
    </row>
    <row r="16" spans="1:5">
      <c r="B16" t="s">
        <v>117</v>
      </c>
    </row>
    <row r="17" spans="1:6">
      <c r="B17" t="s">
        <v>114</v>
      </c>
      <c r="C17" s="49">
        <f>SUM(D13:D14)</f>
        <v>101.94</v>
      </c>
    </row>
    <row r="20" spans="1:6">
      <c r="B20" s="50" t="s">
        <v>119</v>
      </c>
    </row>
    <row r="21" spans="1:6">
      <c r="B21" t="s">
        <v>109</v>
      </c>
    </row>
    <row r="22" spans="1:6">
      <c r="B22" s="9" t="s">
        <v>83</v>
      </c>
      <c r="C22" s="9" t="s">
        <v>27</v>
      </c>
      <c r="D22" s="16" t="s">
        <v>110</v>
      </c>
    </row>
    <row r="23" spans="1:6">
      <c r="B23" s="8">
        <v>1</v>
      </c>
      <c r="C23" s="8">
        <v>99</v>
      </c>
      <c r="D23" s="16">
        <f>C23/100</f>
        <v>0.99</v>
      </c>
    </row>
    <row r="25" spans="1:6" s="53" customFormat="1">
      <c r="B25" s="53" t="s">
        <v>123</v>
      </c>
    </row>
    <row r="26" spans="1:6" s="53" customFormat="1">
      <c r="B26" s="9" t="s">
        <v>83</v>
      </c>
      <c r="C26" s="9" t="s">
        <v>121</v>
      </c>
      <c r="D26" s="9" t="s">
        <v>122</v>
      </c>
      <c r="E26" s="54"/>
    </row>
    <row r="27" spans="1:6" s="53" customFormat="1">
      <c r="A27" s="54"/>
      <c r="B27" s="8">
        <v>1</v>
      </c>
      <c r="C27" s="8">
        <v>2.2000000000000002</v>
      </c>
      <c r="D27" s="8">
        <f>C27*D23</f>
        <v>2.1779999999999999</v>
      </c>
      <c r="E27" s="52"/>
    </row>
    <row r="28" spans="1:6" s="53" customFormat="1">
      <c r="A28" s="54"/>
      <c r="B28" s="54"/>
      <c r="C28" s="54"/>
      <c r="D28" s="54"/>
      <c r="E28" s="52"/>
    </row>
    <row r="29" spans="1:6" s="53" customFormat="1">
      <c r="B29" s="9" t="s">
        <v>83</v>
      </c>
      <c r="C29" s="9" t="s">
        <v>121</v>
      </c>
      <c r="D29" s="9" t="s">
        <v>128</v>
      </c>
      <c r="E29" s="16" t="s">
        <v>110</v>
      </c>
    </row>
    <row r="30" spans="1:6" s="53" customFormat="1">
      <c r="B30" s="8">
        <v>2</v>
      </c>
      <c r="C30" s="8">
        <v>102.2</v>
      </c>
      <c r="D30" s="17">
        <v>101.8</v>
      </c>
      <c r="E30" s="16">
        <f xml:space="preserve"> ( D30 - D27 ) / C30</f>
        <v>0.97477495107632095</v>
      </c>
      <c r="F30" s="53" t="s">
        <v>124</v>
      </c>
    </row>
    <row r="32" spans="1:6">
      <c r="B32" t="s">
        <v>120</v>
      </c>
    </row>
    <row r="33" spans="2:6">
      <c r="B33" t="s">
        <v>125</v>
      </c>
      <c r="C33" s="55">
        <f>100 * E30</f>
        <v>97.477495107632095</v>
      </c>
    </row>
    <row r="36" spans="2:6">
      <c r="B36" s="50" t="s">
        <v>126</v>
      </c>
    </row>
    <row r="37" spans="2:6">
      <c r="B37" t="s">
        <v>109</v>
      </c>
    </row>
    <row r="38" spans="2:6">
      <c r="B38" s="9" t="s">
        <v>83</v>
      </c>
      <c r="C38" s="9" t="s">
        <v>27</v>
      </c>
      <c r="D38" s="16" t="s">
        <v>110</v>
      </c>
    </row>
    <row r="39" spans="2:6">
      <c r="B39" s="8">
        <v>0.5</v>
      </c>
      <c r="C39" s="8">
        <v>99</v>
      </c>
      <c r="D39" s="16">
        <f>C39/100</f>
        <v>0.99</v>
      </c>
    </row>
    <row r="41" spans="2:6">
      <c r="B41" s="53" t="s">
        <v>127</v>
      </c>
      <c r="C41" s="53"/>
      <c r="D41" s="53"/>
    </row>
    <row r="42" spans="2:6">
      <c r="B42" s="9" t="s">
        <v>83</v>
      </c>
      <c r="C42" s="9" t="s">
        <v>121</v>
      </c>
      <c r="D42" s="9" t="s">
        <v>122</v>
      </c>
    </row>
    <row r="43" spans="2:6">
      <c r="B43" s="8">
        <v>0.5</v>
      </c>
      <c r="C43" s="8">
        <v>2</v>
      </c>
      <c r="D43" s="8">
        <f>C43*D39</f>
        <v>1.98</v>
      </c>
    </row>
    <row r="45" spans="2:6">
      <c r="B45" s="9" t="s">
        <v>83</v>
      </c>
      <c r="C45" s="9" t="s">
        <v>121</v>
      </c>
      <c r="D45" s="9" t="s">
        <v>128</v>
      </c>
      <c r="E45" s="16" t="s">
        <v>110</v>
      </c>
    </row>
    <row r="46" spans="2:6">
      <c r="B46" s="8">
        <v>1</v>
      </c>
      <c r="C46" s="8">
        <v>102</v>
      </c>
      <c r="D46" s="17">
        <v>102.45</v>
      </c>
      <c r="E46" s="16">
        <f xml:space="preserve"> ( D46 - D43 ) / C46</f>
        <v>0.98499999999999999</v>
      </c>
      <c r="F46" s="53" t="s">
        <v>129</v>
      </c>
    </row>
    <row r="48" spans="2:6">
      <c r="B48" s="53" t="s">
        <v>130</v>
      </c>
      <c r="C48" s="53"/>
    </row>
    <row r="49" spans="2:6">
      <c r="B49" s="9" t="s">
        <v>83</v>
      </c>
      <c r="C49" s="9" t="s">
        <v>121</v>
      </c>
      <c r="D49" s="9" t="s">
        <v>122</v>
      </c>
    </row>
    <row r="50" spans="2:6">
      <c r="B50" s="8">
        <v>0.5</v>
      </c>
      <c r="C50" s="8">
        <v>1.5</v>
      </c>
      <c r="D50" s="8">
        <f>C50*D39</f>
        <v>1.4849999999999999</v>
      </c>
    </row>
    <row r="52" spans="2:6">
      <c r="B52" s="9" t="s">
        <v>83</v>
      </c>
      <c r="C52" s="9" t="s">
        <v>121</v>
      </c>
      <c r="D52" s="9" t="s">
        <v>122</v>
      </c>
    </row>
    <row r="53" spans="2:6">
      <c r="B53" s="8">
        <v>1</v>
      </c>
      <c r="C53" s="8">
        <v>1.5</v>
      </c>
      <c r="D53" s="8">
        <f>C53*E46</f>
        <v>1.4775</v>
      </c>
    </row>
    <row r="55" spans="2:6">
      <c r="B55" s="9" t="s">
        <v>83</v>
      </c>
      <c r="C55" s="9" t="s">
        <v>121</v>
      </c>
      <c r="D55" s="9" t="s">
        <v>128</v>
      </c>
      <c r="E55" s="16" t="s">
        <v>110</v>
      </c>
    </row>
    <row r="56" spans="2:6">
      <c r="B56" s="8">
        <v>1.5</v>
      </c>
      <c r="C56" s="8">
        <v>101.5</v>
      </c>
      <c r="D56" s="17">
        <v>102.23</v>
      </c>
      <c r="E56" s="16">
        <f>(D56 - 1.5 * (D39 + E46 ) ) / C56</f>
        <v>0.97800492610837442</v>
      </c>
      <c r="F56" t="s">
        <v>131</v>
      </c>
    </row>
    <row r="58" spans="2:6">
      <c r="B58" s="13" t="s">
        <v>132</v>
      </c>
      <c r="C58" s="56">
        <f>100 * D39</f>
        <v>99</v>
      </c>
    </row>
    <row r="59" spans="2:6">
      <c r="B59" s="13" t="s">
        <v>134</v>
      </c>
      <c r="C59" s="56">
        <f>100*E46</f>
        <v>98.5</v>
      </c>
    </row>
    <row r="60" spans="2:6">
      <c r="B60" s="13" t="s">
        <v>133</v>
      </c>
      <c r="C60" s="56">
        <f>100*E56</f>
        <v>97.800492610837438</v>
      </c>
    </row>
    <row r="63" spans="2:6" s="61" customFormat="1" ht="9" customHeight="1"/>
    <row r="65" spans="1:9" ht="28.5">
      <c r="A65" s="47" t="s">
        <v>137</v>
      </c>
    </row>
    <row r="67" spans="1:9">
      <c r="B67" s="63" t="s">
        <v>138</v>
      </c>
      <c r="C67" s="63" t="s">
        <v>83</v>
      </c>
      <c r="D67" s="63" t="s">
        <v>139</v>
      </c>
      <c r="E67" s="63" t="s">
        <v>140</v>
      </c>
      <c r="F67" s="68" t="s">
        <v>144</v>
      </c>
    </row>
    <row r="68" spans="1:9">
      <c r="B68" s="8" t="s">
        <v>108</v>
      </c>
      <c r="C68" s="8">
        <v>0.5</v>
      </c>
      <c r="D68" s="8"/>
      <c r="E68" s="8">
        <v>99.7</v>
      </c>
    </row>
    <row r="69" spans="1:9">
      <c r="B69" s="8" t="s">
        <v>141</v>
      </c>
      <c r="C69" s="8">
        <v>1</v>
      </c>
      <c r="D69" s="8">
        <v>0.8</v>
      </c>
      <c r="E69" s="8">
        <v>100</v>
      </c>
    </row>
    <row r="70" spans="1:9">
      <c r="B70" s="8" t="s">
        <v>141</v>
      </c>
      <c r="C70" s="8">
        <v>1.5</v>
      </c>
      <c r="D70" s="8">
        <v>1.4</v>
      </c>
      <c r="E70" s="8">
        <v>100.6</v>
      </c>
    </row>
    <row r="71" spans="1:9">
      <c r="B71" s="8" t="s">
        <v>141</v>
      </c>
      <c r="C71" s="8">
        <v>2</v>
      </c>
      <c r="D71" s="8">
        <v>1.5</v>
      </c>
      <c r="E71" s="8">
        <v>100.5</v>
      </c>
    </row>
    <row r="73" spans="1:9">
      <c r="B73" s="65" t="s">
        <v>142</v>
      </c>
      <c r="G73" t="s">
        <v>159</v>
      </c>
    </row>
    <row r="74" spans="1:9">
      <c r="B74" t="s">
        <v>143</v>
      </c>
      <c r="C74" s="66"/>
      <c r="E74" s="70">
        <f>99.7/100</f>
        <v>0.997</v>
      </c>
      <c r="G74" s="7">
        <v>0.75</v>
      </c>
      <c r="H74" s="7">
        <f>G74*E74</f>
        <v>0.74775000000000003</v>
      </c>
    </row>
    <row r="75" spans="1:9">
      <c r="B75" t="s">
        <v>145</v>
      </c>
      <c r="E75" s="70">
        <f>(100 - 0.4*E74 ) / 100.4</f>
        <v>0.99204382470119523</v>
      </c>
      <c r="G75" s="7">
        <v>0.75</v>
      </c>
      <c r="H75" s="7">
        <f t="shared" ref="H75:H77" si="0">G75*E75</f>
        <v>0.74403286852589645</v>
      </c>
    </row>
    <row r="76" spans="1:9">
      <c r="B76" t="s">
        <v>146</v>
      </c>
      <c r="E76" s="70">
        <f>(100.6 - 0.7*(E74+E75) ) / 100.7</f>
        <v>0.98518043021558244</v>
      </c>
      <c r="G76" s="7">
        <v>0.75</v>
      </c>
      <c r="H76" s="7">
        <f t="shared" si="0"/>
        <v>0.73888532266168683</v>
      </c>
    </row>
    <row r="77" spans="1:9">
      <c r="B77" t="s">
        <v>147</v>
      </c>
      <c r="E77" s="70">
        <f>(100.5 - 0.75 * ( E74+E75+E76) ) / 100.75</f>
        <v>0.97537798321401892</v>
      </c>
      <c r="G77" s="7">
        <v>100.75</v>
      </c>
      <c r="H77" s="7">
        <f t="shared" si="0"/>
        <v>98.26933180881241</v>
      </c>
    </row>
    <row r="78" spans="1:9">
      <c r="H78" s="78">
        <f>SUM(H74:H77)</f>
        <v>100.5</v>
      </c>
      <c r="I78" t="s">
        <v>158</v>
      </c>
    </row>
    <row r="79" spans="1:9">
      <c r="B79" t="s">
        <v>148</v>
      </c>
    </row>
    <row r="80" spans="1:9">
      <c r="B80" s="71" t="s">
        <v>150</v>
      </c>
    </row>
    <row r="82" spans="2:2">
      <c r="B82" t="s">
        <v>149</v>
      </c>
    </row>
    <row r="83" spans="2:2">
      <c r="B83">
        <f>100 - 100*E77</f>
        <v>2.462201678598106</v>
      </c>
    </row>
    <row r="84" spans="2:2">
      <c r="B84" s="67">
        <f>B83*2/(E74+E75+E76+E77)</f>
        <v>1.246809947000322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showGridLines="0" topLeftCell="A54" workbookViewId="0">
      <selection activeCell="A82" sqref="A82"/>
    </sheetView>
  </sheetViews>
  <sheetFormatPr defaultRowHeight="13.5"/>
  <cols>
    <col min="1" max="54" width="14.625" customWidth="1"/>
  </cols>
  <sheetData>
    <row r="1" spans="1:3" ht="30.75">
      <c r="A1" s="72" t="s">
        <v>151</v>
      </c>
    </row>
    <row r="3" spans="1:3">
      <c r="B3" t="s">
        <v>152</v>
      </c>
    </row>
    <row r="4" spans="1:3">
      <c r="B4" t="s">
        <v>87</v>
      </c>
    </row>
    <row r="5" spans="1:3">
      <c r="B5" s="74">
        <v>3.1250000000000002E-3</v>
      </c>
    </row>
    <row r="6" spans="1:3">
      <c r="B6" s="76" t="s">
        <v>153</v>
      </c>
    </row>
    <row r="7" spans="1:3">
      <c r="B7" s="75">
        <f>B5 * 365/300</f>
        <v>3.8020833333333335E-3</v>
      </c>
    </row>
    <row r="10" spans="1:3">
      <c r="B10" t="s">
        <v>88</v>
      </c>
    </row>
    <row r="11" spans="1:3">
      <c r="B11" t="s">
        <v>156</v>
      </c>
    </row>
    <row r="13" spans="1:3">
      <c r="B13" t="s">
        <v>154</v>
      </c>
    </row>
    <row r="15" spans="1:3">
      <c r="B15" t="s">
        <v>155</v>
      </c>
    </row>
    <row r="16" spans="1:3">
      <c r="B16" s="76" t="s">
        <v>157</v>
      </c>
      <c r="C16" s="77"/>
    </row>
    <row r="17" spans="1:5">
      <c r="B17" s="75">
        <f xml:space="preserve"> 0.8% + 0.3% * 365/360</f>
        <v>1.1041666666666667E-2</v>
      </c>
    </row>
    <row r="19" spans="1:5" s="57" customFormat="1" ht="6" customHeight="1"/>
    <row r="20" spans="1:5" ht="25.5">
      <c r="A20" s="62" t="s">
        <v>160</v>
      </c>
    </row>
    <row r="21" spans="1:5">
      <c r="B21" s="79" t="s">
        <v>164</v>
      </c>
    </row>
    <row r="22" spans="1:5">
      <c r="B22" s="9" t="s">
        <v>83</v>
      </c>
      <c r="C22" s="9" t="s">
        <v>82</v>
      </c>
    </row>
    <row r="23" spans="1:5">
      <c r="B23" s="8" t="s">
        <v>161</v>
      </c>
      <c r="C23" s="11">
        <v>0.01</v>
      </c>
    </row>
    <row r="24" spans="1:5">
      <c r="B24" s="8" t="s">
        <v>162</v>
      </c>
      <c r="C24" s="11">
        <v>1.4999999999999999E-2</v>
      </c>
    </row>
    <row r="25" spans="1:5">
      <c r="B25" s="8" t="s">
        <v>163</v>
      </c>
      <c r="C25" s="11">
        <v>0.02</v>
      </c>
    </row>
    <row r="26" spans="1:5">
      <c r="B26" s="19"/>
      <c r="C26" s="80"/>
    </row>
    <row r="27" spans="1:5">
      <c r="B27" s="65" t="s">
        <v>170</v>
      </c>
    </row>
    <row r="28" spans="1:5">
      <c r="B28" s="65" t="s">
        <v>165</v>
      </c>
      <c r="E28" s="69">
        <f xml:space="preserve"> 100 / ( 100 + 1*365/360)</f>
        <v>0.98996287639213532</v>
      </c>
    </row>
    <row r="29" spans="1:5">
      <c r="B29" t="s">
        <v>166</v>
      </c>
      <c r="E29" s="69">
        <f>(100 - 1.5*E28)/101.5</f>
        <v>0.97059168162967291</v>
      </c>
    </row>
    <row r="30" spans="1:5">
      <c r="B30" t="s">
        <v>167</v>
      </c>
      <c r="E30" s="69">
        <f xml:space="preserve"> ( 100 - 2*(E28+E29) ) / 102</f>
        <v>0.94194991062702338</v>
      </c>
    </row>
    <row r="32" spans="1:5">
      <c r="B32" t="s">
        <v>168</v>
      </c>
    </row>
    <row r="33" spans="2:7">
      <c r="B33" s="7">
        <v>2</v>
      </c>
      <c r="C33" s="7">
        <f>B33*E28</f>
        <v>1.9799257527842706</v>
      </c>
    </row>
    <row r="34" spans="2:7">
      <c r="B34" s="7">
        <v>2</v>
      </c>
      <c r="C34" s="7">
        <f t="shared" ref="C34:C35" si="0">B34*E29</f>
        <v>1.9411833632593458</v>
      </c>
    </row>
    <row r="35" spans="2:7">
      <c r="B35" s="7">
        <v>102</v>
      </c>
      <c r="C35" s="7">
        <f t="shared" si="0"/>
        <v>96.07889088395639</v>
      </c>
    </row>
    <row r="36" spans="2:7">
      <c r="C36" s="77">
        <f>SUM(C33:C35)</f>
        <v>100</v>
      </c>
      <c r="D36" t="s">
        <v>169</v>
      </c>
    </row>
    <row r="39" spans="2:7">
      <c r="B39" s="79" t="s">
        <v>49</v>
      </c>
    </row>
    <row r="40" spans="2:7">
      <c r="B40" s="9" t="s">
        <v>83</v>
      </c>
      <c r="C40" s="9" t="s">
        <v>82</v>
      </c>
    </row>
    <row r="41" spans="2:7">
      <c r="B41" s="8" t="s">
        <v>171</v>
      </c>
      <c r="C41" s="11">
        <v>5.0000000000000001E-3</v>
      </c>
      <c r="D41" t="s">
        <v>178</v>
      </c>
    </row>
    <row r="42" spans="2:7">
      <c r="B42" s="8" t="s">
        <v>172</v>
      </c>
      <c r="C42" s="11">
        <v>8.0000000000000002E-3</v>
      </c>
    </row>
    <row r="43" spans="2:7">
      <c r="B43" s="8" t="s">
        <v>173</v>
      </c>
      <c r="C43" s="11">
        <v>1.2E-2</v>
      </c>
    </row>
    <row r="44" spans="2:7">
      <c r="B44" s="8" t="s">
        <v>174</v>
      </c>
      <c r="C44" s="11">
        <v>1.4999999999999999E-2</v>
      </c>
    </row>
    <row r="45" spans="2:7">
      <c r="B45" s="8" t="s">
        <v>175</v>
      </c>
      <c r="C45" s="81">
        <v>1.7500000000000002E-2</v>
      </c>
      <c r="D45" t="s">
        <v>180</v>
      </c>
    </row>
    <row r="46" spans="2:7">
      <c r="B46" s="8" t="s">
        <v>176</v>
      </c>
      <c r="C46" s="11">
        <v>0.02</v>
      </c>
    </row>
    <row r="48" spans="2:7">
      <c r="B48" s="65" t="s">
        <v>177</v>
      </c>
      <c r="G48" s="69">
        <f xml:space="preserve"> 100 / ( 100 + 0.5*365/360)</f>
        <v>0.99495612519864574</v>
      </c>
    </row>
    <row r="49" spans="2:7">
      <c r="B49" s="65" t="s">
        <v>179</v>
      </c>
      <c r="G49" s="69">
        <f xml:space="preserve"> ( 100 - 0.4 * G48 ) / 100.4</f>
        <v>0.99205196762869063</v>
      </c>
    </row>
    <row r="50" spans="2:7">
      <c r="B50" t="s">
        <v>181</v>
      </c>
      <c r="G50" s="69">
        <f xml:space="preserve"> ( 100 - 0.6 * (G48+G49) ) / 100.6</f>
        <v>0.98218484238870385</v>
      </c>
    </row>
    <row r="51" spans="2:7">
      <c r="B51" t="s">
        <v>182</v>
      </c>
      <c r="G51" s="69">
        <f xml:space="preserve"> ( 100 - 0.75*(G48+G49+G50) ) / 100.75</f>
        <v>0.97045265805050085</v>
      </c>
    </row>
    <row r="52" spans="2:7">
      <c r="B52" t="s">
        <v>183</v>
      </c>
      <c r="G52" s="69">
        <f xml:space="preserve"> ( 100 - (1.75/2)*(G48+G49+G50+G51) ) / (100 + (1.75/2))</f>
        <v>0.95715301220214899</v>
      </c>
    </row>
    <row r="53" spans="2:7">
      <c r="B53" t="s">
        <v>184</v>
      </c>
      <c r="G53" s="69">
        <f xml:space="preserve"> ( 100 - 1 * (G48+G49+G50+G51+G52) ) / 101</f>
        <v>0.94161585539139914</v>
      </c>
    </row>
    <row r="55" spans="2:7">
      <c r="B55" t="s">
        <v>168</v>
      </c>
    </row>
    <row r="56" spans="2:7">
      <c r="B56" s="7">
        <v>1</v>
      </c>
      <c r="C56" s="7">
        <f>B56*G48</f>
        <v>0.99495612519864574</v>
      </c>
    </row>
    <row r="57" spans="2:7">
      <c r="B57" s="7">
        <v>1</v>
      </c>
      <c r="C57" s="7">
        <f t="shared" ref="C57:C61" si="1">B57*G49</f>
        <v>0.99205196762869063</v>
      </c>
    </row>
    <row r="58" spans="2:7">
      <c r="B58" s="7">
        <v>1</v>
      </c>
      <c r="C58" s="7">
        <f t="shared" si="1"/>
        <v>0.98218484238870385</v>
      </c>
    </row>
    <row r="59" spans="2:7">
      <c r="B59" s="82">
        <v>1</v>
      </c>
      <c r="C59" s="7">
        <f t="shared" si="1"/>
        <v>0.97045265805050085</v>
      </c>
    </row>
    <row r="60" spans="2:7">
      <c r="B60" s="82">
        <v>1</v>
      </c>
      <c r="C60" s="7">
        <f t="shared" si="1"/>
        <v>0.95715301220214899</v>
      </c>
    </row>
    <row r="61" spans="2:7">
      <c r="B61" s="82">
        <v>101</v>
      </c>
      <c r="C61" s="7">
        <f t="shared" si="1"/>
        <v>95.103201394531311</v>
      </c>
    </row>
    <row r="62" spans="2:7">
      <c r="C62" s="41">
        <f>SUM(C56:C61)</f>
        <v>100</v>
      </c>
    </row>
    <row r="65" spans="1:5">
      <c r="B65" s="79" t="s">
        <v>58</v>
      </c>
    </row>
    <row r="66" spans="1:5">
      <c r="B66" s="7" t="s">
        <v>81</v>
      </c>
      <c r="C66" s="7" t="s">
        <v>188</v>
      </c>
    </row>
    <row r="67" spans="1:5">
      <c r="B67" s="7" t="s">
        <v>83</v>
      </c>
      <c r="C67" s="7" t="s">
        <v>189</v>
      </c>
    </row>
    <row r="68" spans="1:5">
      <c r="B68" s="7" t="s">
        <v>185</v>
      </c>
      <c r="C68" s="28">
        <v>2.5999999999999999E-2</v>
      </c>
      <c r="E68" t="s">
        <v>192</v>
      </c>
    </row>
    <row r="69" spans="1:5">
      <c r="B69" s="7" t="s">
        <v>186</v>
      </c>
      <c r="C69" s="7" t="s">
        <v>190</v>
      </c>
    </row>
    <row r="70" spans="1:5">
      <c r="B70" t="s">
        <v>187</v>
      </c>
      <c r="E70" t="s">
        <v>193</v>
      </c>
    </row>
    <row r="73" spans="1:5">
      <c r="B73" t="s">
        <v>191</v>
      </c>
    </row>
    <row r="74" spans="1:5">
      <c r="B74" t="s">
        <v>194</v>
      </c>
    </row>
    <row r="75" spans="1:5">
      <c r="B75" s="67">
        <f>10000000000 * 0.3% * (G48+G49+G50+G51+G52+G53 )</f>
        <v>175152433.82580268</v>
      </c>
    </row>
    <row r="78" spans="1:5" s="57" customFormat="1" ht="7.5" customHeight="1"/>
    <row r="79" spans="1:5" ht="25.5">
      <c r="A79" s="62" t="s">
        <v>160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showGridLines="0" tabSelected="1" topLeftCell="A66" workbookViewId="0">
      <selection activeCell="J90" sqref="J90"/>
    </sheetView>
  </sheetViews>
  <sheetFormatPr defaultRowHeight="13.5"/>
  <cols>
    <col min="1" max="19" width="16.625" customWidth="1"/>
  </cols>
  <sheetData>
    <row r="1" spans="1:7" ht="24">
      <c r="A1" s="40" t="s">
        <v>80</v>
      </c>
    </row>
    <row r="2" spans="1:7">
      <c r="B2" s="42" t="s">
        <v>11</v>
      </c>
    </row>
    <row r="3" spans="1:7">
      <c r="B3" t="s">
        <v>84</v>
      </c>
    </row>
    <row r="5" spans="1:7">
      <c r="B5" s="41" t="s">
        <v>81</v>
      </c>
      <c r="C5" s="41" t="s">
        <v>82</v>
      </c>
      <c r="D5" s="41" t="s">
        <v>83</v>
      </c>
      <c r="E5" s="41" t="s">
        <v>85</v>
      </c>
      <c r="F5" s="13" t="s">
        <v>6</v>
      </c>
    </row>
    <row r="6" spans="1:7">
      <c r="B6" s="14">
        <v>100000000</v>
      </c>
      <c r="C6" s="28">
        <v>7.7999999999999996E-3</v>
      </c>
      <c r="D6" s="7">
        <f>150/365</f>
        <v>0.41095890410958902</v>
      </c>
      <c r="E6" s="7">
        <v>150</v>
      </c>
      <c r="F6" s="14">
        <f>B6 * ( (1+C6/E6)^(D6*E6) )</f>
        <v>100321053.88880028</v>
      </c>
      <c r="G6" t="s">
        <v>87</v>
      </c>
    </row>
    <row r="7" spans="1:7">
      <c r="B7" s="14">
        <v>100000000</v>
      </c>
      <c r="C7" s="28">
        <v>7.7999999999999996E-3</v>
      </c>
      <c r="D7" s="7">
        <f>150/365</f>
        <v>0.41095890410958902</v>
      </c>
      <c r="E7" s="7">
        <f>24*3600*150</f>
        <v>12960000</v>
      </c>
      <c r="F7" s="14">
        <f>B7 * ( (1+C7/E7)^(D7*E7) )</f>
        <v>100321062.2760258</v>
      </c>
      <c r="G7" t="s">
        <v>88</v>
      </c>
    </row>
    <row r="8" spans="1:7">
      <c r="B8" s="14"/>
      <c r="C8" s="28"/>
      <c r="D8" s="7"/>
      <c r="E8" s="7"/>
      <c r="F8" s="7"/>
    </row>
    <row r="10" spans="1:7">
      <c r="B10" t="s">
        <v>16</v>
      </c>
    </row>
    <row r="11" spans="1:7">
      <c r="B11" t="s">
        <v>86</v>
      </c>
    </row>
    <row r="13" spans="1:7">
      <c r="B13" s="41" t="s">
        <v>81</v>
      </c>
      <c r="C13" s="41" t="s">
        <v>82</v>
      </c>
      <c r="D13" s="41" t="s">
        <v>83</v>
      </c>
      <c r="E13" s="13" t="s">
        <v>6</v>
      </c>
    </row>
    <row r="14" spans="1:7">
      <c r="B14" s="14">
        <v>100000000</v>
      </c>
      <c r="C14" s="28">
        <v>7.7999999999999996E-3</v>
      </c>
      <c r="D14" s="7">
        <f>150/365</f>
        <v>0.41095890410958902</v>
      </c>
      <c r="E14" s="14">
        <f>B14*EXP(C14*D14)</f>
        <v>100321062.24951516</v>
      </c>
      <c r="F14" t="s">
        <v>89</v>
      </c>
    </row>
    <row r="19" spans="1:7">
      <c r="B19" s="42" t="s">
        <v>19</v>
      </c>
    </row>
    <row r="20" spans="1:7">
      <c r="B20" t="s">
        <v>47</v>
      </c>
    </row>
    <row r="21" spans="1:7">
      <c r="B21" t="s">
        <v>91</v>
      </c>
      <c r="E21" t="s">
        <v>90</v>
      </c>
    </row>
    <row r="23" spans="1:7">
      <c r="B23" s="41" t="s">
        <v>27</v>
      </c>
      <c r="C23" s="41" t="s">
        <v>83</v>
      </c>
      <c r="D23" s="41" t="s">
        <v>71</v>
      </c>
      <c r="E23" s="39" t="s">
        <v>85</v>
      </c>
      <c r="F23" s="13" t="s">
        <v>6</v>
      </c>
    </row>
    <row r="24" spans="1:7">
      <c r="A24" t="s">
        <v>8</v>
      </c>
      <c r="B24" s="20">
        <v>98.97</v>
      </c>
      <c r="C24" s="7">
        <v>1.5</v>
      </c>
      <c r="D24" s="7">
        <v>2</v>
      </c>
      <c r="E24" s="7">
        <f t="shared" ref="E24:E35" si="0">C24*D24</f>
        <v>3</v>
      </c>
      <c r="F24" s="44">
        <f t="shared" ref="F24:F34" si="1">( ( 100 / B24 ) ^ ( 1/E24) - 1 ) * D24</f>
        <v>6.9141987819838491E-3</v>
      </c>
    </row>
    <row r="25" spans="1:7">
      <c r="A25" t="s">
        <v>12</v>
      </c>
      <c r="B25" s="20">
        <v>98.97</v>
      </c>
      <c r="C25" s="7">
        <v>1.5</v>
      </c>
      <c r="D25" s="7">
        <v>4</v>
      </c>
      <c r="E25" s="7">
        <f t="shared" si="0"/>
        <v>6</v>
      </c>
      <c r="F25" s="43">
        <f t="shared" si="1"/>
        <v>6.9082333210319646E-3</v>
      </c>
      <c r="G25" t="s">
        <v>92</v>
      </c>
    </row>
    <row r="26" spans="1:7">
      <c r="A26" t="s">
        <v>13</v>
      </c>
      <c r="B26" s="20">
        <v>98.97</v>
      </c>
      <c r="C26" s="7">
        <v>1.5</v>
      </c>
      <c r="D26" s="7">
        <v>365</v>
      </c>
      <c r="E26" s="7">
        <f t="shared" si="0"/>
        <v>547.5</v>
      </c>
      <c r="F26" s="43">
        <f t="shared" si="1"/>
        <v>6.9023399822421005E-3</v>
      </c>
      <c r="G26" t="s">
        <v>92</v>
      </c>
    </row>
    <row r="27" spans="1:7">
      <c r="A27" t="s">
        <v>10</v>
      </c>
      <c r="B27" s="20">
        <v>98.97</v>
      </c>
      <c r="C27" s="7">
        <v>1.5</v>
      </c>
      <c r="D27" s="7">
        <f>24*3600*365</f>
        <v>31536000</v>
      </c>
      <c r="E27" s="7">
        <f t="shared" si="0"/>
        <v>47304000</v>
      </c>
      <c r="F27" s="43">
        <f t="shared" si="1"/>
        <v>6.9022713624633525E-3</v>
      </c>
      <c r="G27" t="s">
        <v>92</v>
      </c>
    </row>
    <row r="28" spans="1:7">
      <c r="A28" t="s">
        <v>8</v>
      </c>
      <c r="B28" s="20">
        <v>98.43</v>
      </c>
      <c r="C28" s="7">
        <v>2</v>
      </c>
      <c r="D28" s="7">
        <v>2</v>
      </c>
      <c r="E28" s="7">
        <f t="shared" si="0"/>
        <v>4</v>
      </c>
      <c r="F28" s="44">
        <f t="shared" si="1"/>
        <v>7.9279468577220236E-3</v>
      </c>
    </row>
    <row r="29" spans="1:7">
      <c r="A29" t="s">
        <v>12</v>
      </c>
      <c r="B29" s="20">
        <v>98.43</v>
      </c>
      <c r="C29" s="7">
        <v>2</v>
      </c>
      <c r="D29" s="7">
        <v>4</v>
      </c>
      <c r="E29" s="7">
        <f t="shared" si="0"/>
        <v>8</v>
      </c>
      <c r="F29" s="43">
        <f t="shared" si="1"/>
        <v>7.92010584814129E-3</v>
      </c>
      <c r="G29" t="s">
        <v>88</v>
      </c>
    </row>
    <row r="30" spans="1:7">
      <c r="A30" t="s">
        <v>13</v>
      </c>
      <c r="B30" s="20">
        <v>98.43</v>
      </c>
      <c r="C30" s="7">
        <v>2</v>
      </c>
      <c r="D30" s="7">
        <v>365</v>
      </c>
      <c r="E30" s="7">
        <f t="shared" si="0"/>
        <v>730</v>
      </c>
      <c r="F30" s="43">
        <f t="shared" si="1"/>
        <v>7.9123609331721578E-3</v>
      </c>
      <c r="G30" t="s">
        <v>88</v>
      </c>
    </row>
    <row r="31" spans="1:7">
      <c r="A31" t="s">
        <v>10</v>
      </c>
      <c r="B31" s="20">
        <v>98.43</v>
      </c>
      <c r="C31" s="7">
        <v>2</v>
      </c>
      <c r="D31" s="7">
        <f>24*3600*365</f>
        <v>31536000</v>
      </c>
      <c r="E31" s="7">
        <f t="shared" si="0"/>
        <v>63072000</v>
      </c>
      <c r="F31" s="43">
        <f t="shared" si="1"/>
        <v>7.9122763381178629E-3</v>
      </c>
      <c r="G31" t="s">
        <v>88</v>
      </c>
    </row>
    <row r="32" spans="1:7">
      <c r="A32" t="s">
        <v>8</v>
      </c>
      <c r="B32" s="20">
        <v>97.95</v>
      </c>
      <c r="C32" s="7">
        <v>2.25</v>
      </c>
      <c r="D32" s="7">
        <v>2</v>
      </c>
      <c r="E32" s="7">
        <f t="shared" si="0"/>
        <v>4.5</v>
      </c>
      <c r="F32" s="44">
        <f t="shared" si="1"/>
        <v>9.227015480932188E-3</v>
      </c>
    </row>
    <row r="33" spans="1:7">
      <c r="A33" t="s">
        <v>12</v>
      </c>
      <c r="B33" s="20">
        <v>97.95</v>
      </c>
      <c r="C33" s="7">
        <v>2.25</v>
      </c>
      <c r="D33" s="7">
        <v>4</v>
      </c>
      <c r="E33" s="7">
        <f t="shared" si="0"/>
        <v>9</v>
      </c>
      <c r="F33" s="43">
        <f t="shared" si="1"/>
        <v>9.2163977325361301E-3</v>
      </c>
      <c r="G33" t="s">
        <v>93</v>
      </c>
    </row>
    <row r="34" spans="1:7">
      <c r="A34" t="s">
        <v>13</v>
      </c>
      <c r="B34" s="20">
        <v>97.95</v>
      </c>
      <c r="C34" s="7">
        <v>2.25</v>
      </c>
      <c r="D34" s="7">
        <v>365</v>
      </c>
      <c r="E34" s="7">
        <f t="shared" si="0"/>
        <v>821.25</v>
      </c>
      <c r="F34" s="43">
        <f t="shared" si="1"/>
        <v>9.2059123578758228E-3</v>
      </c>
      <c r="G34" t="s">
        <v>93</v>
      </c>
    </row>
    <row r="35" spans="1:7">
      <c r="A35" t="s">
        <v>10</v>
      </c>
      <c r="B35" s="20">
        <v>97.95</v>
      </c>
      <c r="C35" s="7">
        <v>2.25</v>
      </c>
      <c r="D35" s="7">
        <f>24*3600*365</f>
        <v>31536000</v>
      </c>
      <c r="E35" s="7">
        <f t="shared" si="0"/>
        <v>70956000</v>
      </c>
      <c r="F35" s="43">
        <v>0.02</v>
      </c>
      <c r="G35" t="s">
        <v>93</v>
      </c>
    </row>
    <row r="37" spans="1:7">
      <c r="B37" t="s">
        <v>94</v>
      </c>
    </row>
    <row r="38" spans="1:7">
      <c r="B38" t="s">
        <v>95</v>
      </c>
      <c r="D38" t="s">
        <v>96</v>
      </c>
    </row>
    <row r="40" spans="1:7">
      <c r="B40" s="41" t="s">
        <v>27</v>
      </c>
      <c r="C40" s="41" t="s">
        <v>83</v>
      </c>
      <c r="D40" s="13" t="s">
        <v>6</v>
      </c>
    </row>
    <row r="41" spans="1:7">
      <c r="A41" t="s">
        <v>16</v>
      </c>
      <c r="B41" s="20">
        <v>98.97</v>
      </c>
      <c r="C41" s="7">
        <v>1.5</v>
      </c>
      <c r="D41" s="43">
        <f>(1/C41)*LN(100/B41)</f>
        <v>6.9022747196611448E-3</v>
      </c>
      <c r="E41" t="s">
        <v>92</v>
      </c>
    </row>
    <row r="42" spans="1:7">
      <c r="A42" t="s">
        <v>16</v>
      </c>
      <c r="B42" s="20">
        <v>98.43</v>
      </c>
      <c r="C42" s="7">
        <v>2</v>
      </c>
      <c r="D42" s="43">
        <f>(1/C42)*LN(100/B42)</f>
        <v>7.9122751734856406E-3</v>
      </c>
      <c r="E42" t="s">
        <v>88</v>
      </c>
    </row>
    <row r="43" spans="1:7">
      <c r="A43" t="s">
        <v>16</v>
      </c>
      <c r="B43" s="20">
        <v>97.95</v>
      </c>
      <c r="C43" s="7">
        <v>2.25</v>
      </c>
      <c r="D43" s="43">
        <f>(1/C43)*LN(100/B43)</f>
        <v>9.2057962655740112E-3</v>
      </c>
      <c r="E43" t="s">
        <v>93</v>
      </c>
    </row>
    <row r="47" spans="1:7">
      <c r="B47" s="42" t="s">
        <v>22</v>
      </c>
    </row>
    <row r="48" spans="1:7">
      <c r="B48" t="s">
        <v>66</v>
      </c>
    </row>
    <row r="49" spans="1:8">
      <c r="B49" t="s">
        <v>97</v>
      </c>
    </row>
    <row r="51" spans="1:8">
      <c r="B51" s="9" t="s">
        <v>98</v>
      </c>
      <c r="C51" s="9" t="s">
        <v>99</v>
      </c>
      <c r="D51" s="9" t="s">
        <v>100</v>
      </c>
      <c r="E51" s="9" t="s">
        <v>101</v>
      </c>
      <c r="F51" s="9" t="s">
        <v>102</v>
      </c>
      <c r="G51" s="13" t="s">
        <v>6</v>
      </c>
    </row>
    <row r="52" spans="1:8">
      <c r="A52" t="s">
        <v>8</v>
      </c>
      <c r="B52" s="45">
        <v>6.9141999999999997E-3</v>
      </c>
      <c r="C52" s="7">
        <v>3</v>
      </c>
      <c r="D52" s="45">
        <v>7.9278999999999999E-3</v>
      </c>
      <c r="E52" s="7">
        <v>4</v>
      </c>
      <c r="F52" s="7">
        <v>2</v>
      </c>
      <c r="G52" s="46">
        <f xml:space="preserve"> ( ( ( (1+D52/F52)^E52 ) / ( (1+B52/F52)^C52 ) )  - 1 ) * F52</f>
        <v>1.0972073176996666E-2</v>
      </c>
      <c r="H52" t="s">
        <v>92</v>
      </c>
    </row>
    <row r="53" spans="1:8">
      <c r="A53" t="s">
        <v>104</v>
      </c>
      <c r="B53" s="45">
        <v>6.9081999999999998E-3</v>
      </c>
      <c r="C53" s="7">
        <v>6</v>
      </c>
      <c r="D53" s="45">
        <v>7.9200999999999994E-3</v>
      </c>
      <c r="E53" s="7">
        <v>8</v>
      </c>
      <c r="F53" s="7">
        <v>4</v>
      </c>
      <c r="G53" s="46">
        <f xml:space="preserve"> ( ( ( (1+D53/F53)^E53 ) / ( (1+B53/F53)^C53 ) ) ^ (1/2)  - 1 ) * F53</f>
        <v>1.0957333522545909E-2</v>
      </c>
      <c r="H53" t="s">
        <v>103</v>
      </c>
    </row>
    <row r="54" spans="1:8">
      <c r="A54" t="s">
        <v>104</v>
      </c>
      <c r="B54" s="45">
        <v>7.9200999999999994E-3</v>
      </c>
      <c r="C54" s="7">
        <v>8</v>
      </c>
      <c r="D54" s="45">
        <v>9.2163999999999996E-3</v>
      </c>
      <c r="E54" s="7">
        <v>9</v>
      </c>
      <c r="F54" s="7">
        <v>4</v>
      </c>
      <c r="G54" s="46">
        <f xml:space="preserve"> ( ( ( (1+D54/F54)^E54 ) / ( (1+B54/F54)^C54 ) )  - 1 ) * F54</f>
        <v>1.9601905053811208E-2</v>
      </c>
    </row>
    <row r="56" spans="1:8">
      <c r="B56" t="s">
        <v>105</v>
      </c>
    </row>
    <row r="57" spans="1:8">
      <c r="B57" t="s">
        <v>106</v>
      </c>
    </row>
    <row r="58" spans="1:8">
      <c r="B58" s="9" t="s">
        <v>98</v>
      </c>
      <c r="C58" s="9" t="s">
        <v>69</v>
      </c>
      <c r="D58" s="9" t="s">
        <v>100</v>
      </c>
      <c r="E58" s="9" t="s">
        <v>107</v>
      </c>
      <c r="F58" s="9" t="s">
        <v>83</v>
      </c>
      <c r="G58" s="13" t="s">
        <v>6</v>
      </c>
    </row>
    <row r="59" spans="1:8">
      <c r="B59" s="45">
        <v>7.9200999999999994E-3</v>
      </c>
      <c r="C59" s="7">
        <v>2</v>
      </c>
      <c r="D59" s="45">
        <v>9.2163999999999996E-3</v>
      </c>
      <c r="E59" s="7">
        <v>2.25</v>
      </c>
      <c r="F59" s="7">
        <v>0.25</v>
      </c>
      <c r="G59" s="46">
        <f xml:space="preserve">  (D59*E59 - B59*C59) / F59</f>
        <v>1.9586800000000001E-2</v>
      </c>
    </row>
    <row r="64" spans="1:8">
      <c r="B64" s="42" t="s">
        <v>53</v>
      </c>
    </row>
    <row r="65" spans="1:9" ht="10.5" customHeight="1">
      <c r="A65" s="47"/>
      <c r="B65" t="s">
        <v>200</v>
      </c>
    </row>
    <row r="67" spans="1:9">
      <c r="B67" s="63" t="s">
        <v>138</v>
      </c>
      <c r="C67" s="63" t="s">
        <v>83</v>
      </c>
      <c r="D67" s="63" t="s">
        <v>195</v>
      </c>
      <c r="E67" s="51" t="s">
        <v>197</v>
      </c>
    </row>
    <row r="68" spans="1:9">
      <c r="B68" s="8" t="s">
        <v>108</v>
      </c>
      <c r="C68" s="8">
        <v>0.5</v>
      </c>
      <c r="D68" s="11">
        <v>7.4999999999999997E-3</v>
      </c>
      <c r="E68" s="83">
        <f t="shared" ref="E68:E70" si="2">100 /  ( (1+D68/2)^(2*C68) )</f>
        <v>99.626400996264024</v>
      </c>
    </row>
    <row r="69" spans="1:9">
      <c r="B69" s="8" t="s">
        <v>108</v>
      </c>
      <c r="C69" s="8">
        <v>1</v>
      </c>
      <c r="D69" s="11">
        <v>8.8000000000000005E-3</v>
      </c>
      <c r="E69" s="83">
        <f t="shared" si="2"/>
        <v>99.125774112820366</v>
      </c>
    </row>
    <row r="70" spans="1:9">
      <c r="B70" s="8" t="s">
        <v>108</v>
      </c>
      <c r="C70" s="8">
        <v>1.5</v>
      </c>
      <c r="D70" s="11">
        <v>1.0200000000000001E-2</v>
      </c>
      <c r="E70" s="83">
        <f t="shared" si="2"/>
        <v>98.485474356583538</v>
      </c>
    </row>
    <row r="71" spans="1:9">
      <c r="B71" s="8" t="s">
        <v>108</v>
      </c>
      <c r="C71" s="8">
        <v>2</v>
      </c>
      <c r="D71" s="11">
        <v>1.18E-2</v>
      </c>
      <c r="E71" s="83">
        <f>100 /  ( (1+D71/2)^(2*C71) )</f>
        <v>97.674403443391924</v>
      </c>
      <c r="F71" s="18" t="s">
        <v>199</v>
      </c>
    </row>
    <row r="72" spans="1:9">
      <c r="D72" s="73"/>
    </row>
    <row r="73" spans="1:9">
      <c r="B73" s="64" t="s">
        <v>196</v>
      </c>
    </row>
    <row r="74" spans="1:9">
      <c r="B74" s="1" t="s">
        <v>50</v>
      </c>
      <c r="C74" s="2"/>
      <c r="D74" s="3"/>
    </row>
    <row r="75" spans="1:9">
      <c r="B75" s="4" t="s">
        <v>201</v>
      </c>
      <c r="C75" s="5"/>
      <c r="D75" s="6"/>
    </row>
    <row r="78" spans="1:9">
      <c r="B78" s="65" t="s">
        <v>142</v>
      </c>
      <c r="G78" s="53"/>
      <c r="H78" s="53"/>
      <c r="I78" s="53"/>
    </row>
    <row r="79" spans="1:9">
      <c r="B79" t="s">
        <v>143</v>
      </c>
      <c r="C79" s="66"/>
      <c r="E79" s="70">
        <f>E68/100</f>
        <v>0.9962640099626402</v>
      </c>
      <c r="G79" s="53"/>
      <c r="H79" s="53"/>
      <c r="I79" s="53"/>
    </row>
    <row r="80" spans="1:9">
      <c r="B80" t="s">
        <v>202</v>
      </c>
      <c r="E80" s="70">
        <f>E69/100</f>
        <v>0.99125774112820364</v>
      </c>
      <c r="G80" s="53"/>
      <c r="H80" s="53"/>
      <c r="I80" s="53"/>
    </row>
    <row r="81" spans="2:9">
      <c r="B81" t="s">
        <v>203</v>
      </c>
      <c r="E81" s="70">
        <f>E70/100</f>
        <v>0.98485474356583536</v>
      </c>
      <c r="G81" s="53"/>
      <c r="H81" s="53"/>
      <c r="I81" s="53"/>
    </row>
    <row r="82" spans="2:9">
      <c r="B82" t="s">
        <v>204</v>
      </c>
      <c r="E82" s="70">
        <f>E71/100</f>
        <v>0.97674403443391922</v>
      </c>
      <c r="G82" s="53"/>
      <c r="H82" s="53"/>
      <c r="I82" s="53"/>
    </row>
    <row r="83" spans="2:9">
      <c r="G83" s="53"/>
      <c r="H83" s="84"/>
      <c r="I83" s="53"/>
    </row>
    <row r="84" spans="2:9">
      <c r="B84" t="s">
        <v>205</v>
      </c>
    </row>
    <row r="85" spans="2:9">
      <c r="B85" s="7">
        <v>0.6</v>
      </c>
      <c r="C85" s="7">
        <f>B85*E79</f>
        <v>0.59775840597758412</v>
      </c>
    </row>
    <row r="86" spans="2:9">
      <c r="B86" s="7">
        <v>0.6</v>
      </c>
      <c r="C86" s="7">
        <f t="shared" ref="C86:C88" si="3">B86*E80</f>
        <v>0.59475464467692218</v>
      </c>
    </row>
    <row r="87" spans="2:9">
      <c r="B87" s="7">
        <v>0.6</v>
      </c>
      <c r="C87" s="7">
        <f t="shared" si="3"/>
        <v>0.59091284613950124</v>
      </c>
      <c r="E87" t="s">
        <v>206</v>
      </c>
    </row>
    <row r="88" spans="2:9">
      <c r="B88" s="7">
        <v>100.6</v>
      </c>
      <c r="C88" s="7">
        <f t="shared" si="3"/>
        <v>98.260449864052262</v>
      </c>
      <c r="E88">
        <f>(C89-0.6*(E79+E80+E81) ) / 100.6</f>
        <v>0.97674403443391922</v>
      </c>
    </row>
    <row r="89" spans="2:9">
      <c r="C89" s="69">
        <f>SUM(C85:C88)</f>
        <v>100.04387576084628</v>
      </c>
      <c r="E89" s="18" t="s">
        <v>207</v>
      </c>
    </row>
    <row r="92" spans="2:9">
      <c r="B92" s="9" t="s">
        <v>27</v>
      </c>
      <c r="C92" s="9" t="s">
        <v>28</v>
      </c>
      <c r="D92" s="9" t="s">
        <v>4</v>
      </c>
      <c r="E92" s="25" t="s">
        <v>30</v>
      </c>
      <c r="F92" s="9" t="s">
        <v>29</v>
      </c>
      <c r="H92" s="9" t="s">
        <v>31</v>
      </c>
      <c r="I92" s="13" t="s">
        <v>6</v>
      </c>
    </row>
    <row r="93" spans="2:9">
      <c r="B93" s="85">
        <f>C89</f>
        <v>100.04387576084628</v>
      </c>
      <c r="C93" s="11">
        <v>1.2E-2</v>
      </c>
      <c r="D93" s="8">
        <v>2</v>
      </c>
      <c r="E93" s="8">
        <v>2</v>
      </c>
      <c r="F93" s="26">
        <f>C93/E93</f>
        <v>6.0000000000000001E-3</v>
      </c>
      <c r="H93" s="7">
        <f>B93*(-1)</f>
        <v>-100.04387576084628</v>
      </c>
      <c r="I93" s="86">
        <f>IRR(H93:H95) * E93</f>
        <v>1.155743555458022E-2</v>
      </c>
    </row>
    <row r="94" spans="2:9">
      <c r="H94" s="7">
        <f>100*F93</f>
        <v>0.6</v>
      </c>
    </row>
    <row r="95" spans="2:9">
      <c r="H95" s="7">
        <f>100*F93 + 100</f>
        <v>100.6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複利計算</vt:lpstr>
      <vt:lpstr>BootStrap</vt:lpstr>
      <vt:lpstr>LIBOR</vt:lpstr>
      <vt:lpstr>宿題１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2013-12-01T12:49:36Z</dcterms:modified>
</cp:coreProperties>
</file>