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analysis\Mod 1 (excel)\CHallenge 1\"/>
    </mc:Choice>
  </mc:AlternateContent>
  <xr:revisionPtr revIDLastSave="0" documentId="13_ncr:1_{F1B54616-676F-43A8-B97E-6FC877F65A60}" xr6:coauthVersionLast="47" xr6:coauthVersionMax="47" xr10:uidLastSave="{00000000-0000-0000-0000-000000000000}"/>
  <bookViews>
    <workbookView xWindow="-120" yWindow="-120" windowWidth="28110" windowHeight="16440" tabRatio="704" activeTab="6" xr2:uid="{00000000-000D-0000-FFFF-FFFF00000000}"/>
  </bookViews>
  <sheets>
    <sheet name="Kickstarter" sheetId="1" r:id="rId1"/>
    <sheet name="CatStat" sheetId="2" state="hidden" r:id="rId2"/>
    <sheet name="SubCatStat" sheetId="3" state="hidden" r:id="rId3"/>
    <sheet name="Outcomes based on Launch Date" sheetId="4" state="hidden" r:id="rId4"/>
    <sheet name="Edinburgh ResearchBe Prepared" sheetId="5" state="hidden" r:id="rId5"/>
    <sheet name="Descriptive Statistics" sheetId="8" state="hidden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2" l="1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H2" i="12"/>
  <c r="G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1" i="12"/>
  <c r="C11" i="12"/>
  <c r="B11" i="12"/>
  <c r="D12" i="12"/>
  <c r="C12" i="12"/>
  <c r="B12" i="12"/>
  <c r="D10" i="12"/>
  <c r="C10" i="12"/>
  <c r="B10" i="12"/>
  <c r="D13" i="12"/>
  <c r="C13" i="12"/>
  <c r="B13" i="12"/>
  <c r="D9" i="12"/>
  <c r="C9" i="12"/>
  <c r="B9" i="12"/>
  <c r="D8" i="12"/>
  <c r="C8" i="12"/>
  <c r="B8" i="12"/>
  <c r="B7" i="12"/>
  <c r="C7" i="12"/>
  <c r="D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4" i="8" s="1"/>
  <c r="C6" i="8"/>
  <c r="C11" i="8"/>
  <c r="B13" i="8"/>
  <c r="B12" i="8"/>
  <c r="B14" i="8" s="1"/>
  <c r="B11" i="8"/>
  <c r="B4" i="8"/>
  <c r="B6" i="8"/>
  <c r="C5" i="8"/>
  <c r="B5" i="8"/>
  <c r="B7" i="8" s="1"/>
  <c r="C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8" l="1"/>
</calcChain>
</file>

<file path=xl/sharedStrings.xml><?xml version="1.0" encoding="utf-8"?>
<sst xmlns="http://schemas.openxmlformats.org/spreadsheetml/2006/main" count="33105" uniqueCount="8421">
  <si>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</si>
  <si>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</si>
  <si>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</si>
  <si>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</si>
  <si>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</si>
  <si>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</si>
  <si>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</si>
  <si>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</si>
  <si>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</si>
  <si>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</si>
  <si>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</si>
  <si>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</si>
  <si>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</si>
  <si>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</si>
  <si>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</si>
  <si>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</si>
  <si>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</si>
  <si>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</si>
  <si>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</si>
  <si>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</si>
  <si>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</si>
  <si>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</si>
  <si>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</si>
  <si>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</si>
  <si>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</si>
  <si>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</si>
  <si>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</si>
  <si>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</si>
  <si>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</si>
  <si>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</si>
  <si>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</si>
  <si>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</si>
  <si>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</si>
  <si>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</si>
  <si>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</si>
  <si>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</si>
  <si>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</si>
  <si>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</si>
  <si>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</si>
  <si>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</si>
  <si>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</si>
  <si>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</si>
  <si>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</si>
  <si>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</si>
  <si>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</si>
  <si>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</si>
  <si>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</si>
  <si>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</si>
  <si>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</si>
  <si>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</si>
  <si>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</si>
  <si>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</si>
  <si>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</si>
  <si>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</si>
  <si>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</si>
  <si>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</si>
  <si>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</si>
  <si>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</si>
  <si>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</si>
  <si>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</si>
  <si>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</si>
  <si>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</si>
  <si>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</si>
  <si>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</si>
  <si>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</si>
  <si>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</si>
  <si>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</si>
  <si>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</si>
  <si>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</si>
  <si>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</si>
  <si>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</si>
  <si>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</si>
  <si>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</si>
  <si>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</si>
  <si>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</si>
  <si>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</si>
  <si>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</si>
  <si>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</si>
  <si>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</si>
  <si>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</si>
  <si>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</si>
  <si>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</si>
  <si>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</si>
  <si>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</si>
  <si>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</si>
  <si>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</si>
  <si>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</si>
  <si>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</si>
  <si>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</si>
  <si>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</si>
  <si>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</si>
  <si>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</si>
  <si>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</si>
  <si>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</si>
  <si>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</si>
  <si>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</si>
  <si>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</si>
  <si>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</si>
  <si>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</si>
  <si>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</si>
  <si>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</si>
  <si>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</si>
  <si>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</si>
  <si>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</si>
  <si>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</si>
  <si>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</si>
  <si>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</si>
  <si>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</si>
  <si>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</si>
  <si>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</si>
  <si>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</si>
  <si>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</si>
  <si>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</si>
  <si>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</si>
  <si>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</si>
  <si>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</si>
  <si>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</si>
  <si>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</si>
  <si>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</si>
  <si>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</si>
  <si>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</si>
  <si>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</si>
  <si>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</si>
  <si>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</si>
  <si>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</si>
  <si>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</si>
  <si>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</si>
  <si>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</si>
  <si>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</si>
  <si>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</si>
  <si>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</si>
  <si>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</si>
  <si>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</si>
  <si>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</si>
  <si>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</si>
  <si>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</si>
  <si>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</si>
  <si>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</si>
  <si>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</si>
  <si>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</si>
  <si>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</si>
  <si>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</si>
  <si>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</si>
  <si>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</si>
  <si>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</si>
  <si>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</si>
  <si>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</si>
  <si>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</si>
  <si>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</si>
  <si>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</si>
  <si>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</si>
  <si>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</si>
  <si>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</si>
  <si>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</si>
  <si>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</si>
  <si>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</si>
  <si>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</si>
  <si>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</si>
  <si>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</si>
  <si>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</si>
  <si>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</si>
  <si>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</si>
  <si>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</si>
  <si>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</si>
  <si>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</si>
  <si>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</si>
  <si>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</si>
  <si>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</si>
  <si>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</si>
  <si>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</si>
  <si>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</si>
  <si>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</si>
  <si>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</si>
  <si>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</si>
  <si>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</si>
  <si>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</si>
  <si>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</si>
  <si>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</si>
  <si>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</si>
  <si>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</si>
  <si>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</si>
  <si>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</si>
  <si>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</si>
  <si>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</si>
  <si>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</si>
  <si>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</si>
  <si>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</si>
  <si>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</si>
  <si>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</si>
  <si>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</si>
  <si>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</si>
  <si>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</si>
  <si>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</si>
  <si>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</si>
  <si>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</si>
  <si>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</si>
  <si>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</si>
  <si>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</si>
  <si>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</si>
  <si>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</si>
  <si>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</si>
  <si>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</si>
  <si>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</si>
  <si>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</si>
  <si>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</si>
  <si>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</si>
  <si>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</si>
  <si>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</si>
  <si>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</si>
  <si>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</si>
  <si>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</si>
  <si>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</si>
  <si>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</si>
  <si>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</si>
  <si>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</si>
  <si>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</si>
  <si>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</si>
  <si>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</si>
  <si>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</si>
  <si>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</si>
  <si>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</si>
  <si>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</si>
  <si>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</si>
  <si>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</si>
  <si>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</si>
  <si>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</si>
  <si>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</si>
  <si>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</si>
  <si>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</si>
  <si>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</si>
  <si>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</si>
  <si>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</si>
  <si>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</si>
  <si>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</si>
  <si>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</si>
  <si>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</si>
  <si>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</si>
  <si>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</si>
  <si>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</si>
  <si>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</si>
  <si>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</si>
  <si>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</si>
  <si>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</si>
  <si>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</si>
  <si>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</si>
  <si>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</si>
  <si>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</si>
  <si>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</si>
  <si>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</si>
  <si>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</si>
  <si>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</si>
  <si>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</si>
  <si>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</si>
  <si>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</si>
  <si>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</si>
  <si>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</si>
  <si>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</si>
  <si>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</si>
  <si>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</si>
  <si>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</si>
  <si>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</si>
  <si>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</si>
  <si>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</si>
  <si>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</si>
  <si>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</si>
  <si>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</si>
  <si>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</si>
  <si>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</si>
  <si>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</si>
  <si>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</si>
  <si>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</si>
  <si>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</si>
  <si>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</si>
  <si>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</si>
  <si>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</si>
  <si>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</si>
  <si>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</si>
  <si>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</si>
  <si>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</si>
  <si>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</si>
  <si>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</si>
  <si>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</si>
  <si>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</si>
  <si>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</si>
  <si>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</si>
  <si>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</si>
  <si>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</si>
  <si>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</si>
  <si>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</si>
  <si>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</si>
  <si>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</si>
  <si>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</si>
  <si>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</si>
  <si>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</si>
  <si>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</si>
  <si>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</si>
  <si>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</si>
  <si>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</si>
  <si>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</si>
  <si>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</si>
  <si>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</si>
  <si>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</si>
  <si>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</si>
  <si>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</si>
  <si>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</si>
  <si>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</si>
  <si>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</si>
  <si>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</si>
  <si>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</si>
  <si>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</si>
  <si>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</si>
  <si>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</si>
  <si>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</si>
  <si>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</si>
  <si>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</si>
  <si>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</si>
  <si>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</si>
  <si>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</si>
  <si>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</si>
  <si>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</si>
  <si>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</si>
  <si>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</si>
  <si>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</si>
  <si>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</si>
  <si>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</si>
  <si>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</si>
  <si>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</si>
  <si>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</si>
  <si>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</si>
  <si>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</si>
  <si>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</si>
  <si>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</si>
  <si>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</si>
  <si>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</si>
  <si>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</si>
  <si>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</si>
  <si>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</si>
  <si>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</si>
  <si>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</si>
  <si>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</si>
  <si>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</si>
  <si>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</si>
  <si>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</si>
  <si>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</si>
  <si>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</si>
  <si>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</si>
  <si>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</si>
  <si>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</si>
  <si>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</si>
  <si>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</si>
  <si>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</si>
  <si>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</si>
  <si>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</si>
  <si>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</si>
  <si>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</si>
  <si>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</si>
  <si>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</si>
  <si>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</si>
  <si>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</si>
  <si>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</si>
  <si>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</si>
  <si>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</si>
  <si>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</si>
  <si>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</si>
  <si>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</si>
  <si>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</si>
  <si>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</si>
  <si>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</si>
  <si>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</si>
  <si>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</si>
  <si>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</si>
  <si>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</si>
  <si>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</si>
  <si>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</si>
  <si>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</si>
  <si>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</si>
  <si>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</si>
  <si>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</si>
  <si>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</si>
  <si>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</si>
  <si>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</si>
  <si>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</si>
  <si>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</si>
  <si>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</si>
  <si>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</si>
  <si>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</si>
  <si>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</si>
  <si>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</si>
  <si>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</si>
  <si>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</si>
  <si>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</si>
  <si>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</si>
  <si>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</si>
  <si>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</si>
  <si>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</si>
  <si>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</si>
  <si>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</si>
  <si>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</si>
  <si>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</si>
  <si>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</si>
  <si>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</si>
  <si>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</si>
  <si>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</si>
  <si>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</si>
  <si>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</si>
  <si>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</si>
  <si>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</si>
  <si>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</si>
  <si>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</si>
  <si>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</si>
  <si>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</si>
  <si>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</si>
  <si>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</si>
  <si>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</si>
  <si>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</si>
  <si>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</si>
  <si>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</si>
  <si>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</si>
  <si>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</si>
  <si>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</si>
  <si>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</si>
  <si>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</si>
  <si>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</si>
  <si>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</si>
  <si>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</si>
  <si>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</si>
  <si>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</si>
  <si>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</si>
  <si>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</si>
  <si>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</si>
  <si>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</si>
  <si>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</si>
  <si>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</si>
  <si>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</si>
  <si>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</si>
  <si>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</si>
  <si>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</si>
  <si>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</si>
  <si>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</si>
  <si>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</si>
  <si>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</si>
  <si>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</si>
  <si>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</si>
  <si>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</si>
  <si>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</si>
  <si>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</si>
  <si>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</si>
  <si>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</si>
  <si>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</si>
  <si>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</si>
  <si>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</si>
  <si>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</si>
  <si>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</si>
  <si>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</si>
  <si>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</si>
  <si>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</si>
  <si>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</si>
  <si>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</si>
  <si>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</si>
  <si>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</si>
  <si>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</si>
  <si>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</si>
  <si>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</si>
  <si>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</si>
  <si>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</si>
  <si>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</si>
  <si>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</si>
  <si>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</si>
  <si>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</si>
  <si>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</si>
  <si>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</si>
  <si>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</si>
  <si>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</si>
  <si>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</si>
  <si>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</si>
  <si>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</si>
  <si>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</si>
  <si>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</si>
  <si>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</si>
  <si>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</si>
  <si>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</si>
  <si>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</si>
  <si>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</si>
  <si>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</si>
  <si>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</si>
  <si>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</si>
  <si>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</si>
  <si>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</si>
  <si>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</si>
  <si>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</si>
  <si>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</si>
  <si>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</si>
  <si>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</si>
  <si>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</si>
  <si>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</si>
  <si>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</si>
  <si>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</si>
  <si>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</si>
  <si>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</si>
  <si>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</si>
  <si>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</si>
  <si>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</si>
  <si>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</si>
  <si>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</si>
  <si>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</si>
  <si>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</si>
  <si>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</si>
  <si>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</si>
  <si>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</si>
  <si>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</si>
  <si>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</si>
  <si>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</si>
  <si>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</si>
  <si>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</si>
  <si>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</si>
  <si>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</si>
  <si>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</si>
  <si>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</si>
  <si>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</si>
  <si>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</si>
  <si>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</si>
  <si>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</si>
  <si>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</si>
  <si>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</si>
  <si>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</si>
  <si>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</si>
  <si>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</si>
  <si>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</si>
  <si>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</si>
  <si>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</si>
  <si>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</si>
  <si>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</si>
  <si>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</si>
  <si>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</si>
  <si>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</si>
  <si>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</si>
  <si>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</si>
  <si>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</si>
  <si>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</si>
  <si>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</si>
  <si>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</si>
  <si>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</si>
  <si>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</si>
  <si>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</si>
  <si>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</si>
  <si>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</si>
  <si>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</si>
  <si>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</si>
  <si>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</si>
  <si>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</si>
  <si>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</si>
  <si>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</si>
  <si>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</si>
  <si>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</si>
  <si>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</si>
  <si>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</si>
  <si>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</si>
  <si>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</si>
  <si>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</si>
  <si>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</si>
  <si>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</si>
  <si>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</si>
  <si>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</si>
  <si>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</si>
  <si>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</si>
  <si>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</si>
  <si>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</si>
  <si>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</si>
  <si>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</si>
  <si>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</si>
  <si>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</si>
  <si>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</si>
  <si>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</si>
  <si>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</si>
  <si>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</si>
  <si>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</si>
  <si>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</si>
  <si>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</si>
  <si>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</si>
  <si>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</si>
  <si>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</si>
  <si>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</si>
  <si>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</si>
  <si>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</si>
  <si>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</si>
  <si>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</si>
  <si>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</si>
  <si>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</si>
  <si>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</si>
  <si>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</si>
  <si>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</si>
  <si>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</si>
  <si>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</si>
  <si>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</si>
  <si>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</si>
  <si>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</si>
  <si>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</si>
  <si>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</si>
  <si>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</si>
  <si>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</si>
  <si>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</si>
  <si>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</si>
  <si>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</si>
  <si>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</si>
  <si>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</si>
  <si>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</si>
  <si>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</si>
  <si>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</si>
  <si>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</si>
  <si>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</si>
  <si>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</si>
  <si>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</si>
  <si>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</si>
  <si>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</si>
  <si>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</si>
  <si>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</si>
  <si>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</si>
  <si>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</si>
  <si>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</si>
  <si>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</si>
  <si>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</si>
  <si>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</si>
  <si>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</si>
  <si>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</si>
  <si>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</si>
  <si>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</si>
  <si>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</si>
  <si>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</si>
  <si>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</si>
  <si>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</si>
  <si>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</si>
  <si>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</si>
  <si>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</si>
  <si>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</si>
  <si>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</si>
  <si>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</si>
  <si>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</si>
  <si>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</si>
  <si>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</si>
  <si>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</si>
  <si>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</si>
  <si>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</si>
  <si>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</si>
  <si>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</si>
  <si>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</si>
  <si>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</si>
  <si>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</si>
  <si>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</si>
  <si>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</si>
  <si>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</si>
  <si>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</si>
  <si>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</si>
  <si>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</si>
  <si>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</si>
  <si>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</si>
  <si>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</si>
  <si>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</si>
  <si>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</si>
  <si>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</si>
  <si>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</si>
  <si>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</si>
  <si>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</si>
  <si>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</si>
  <si>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</si>
  <si>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</si>
  <si>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</si>
  <si>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</si>
  <si>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</si>
  <si>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</si>
  <si>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</si>
  <si>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</si>
  <si>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</si>
  <si>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</si>
  <si>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</si>
  <si>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</si>
  <si>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</si>
  <si>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</si>
  <si>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</si>
  <si>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</si>
  <si>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</si>
  <si>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</si>
  <si>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</si>
  <si>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</si>
  <si>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</si>
  <si>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</si>
  <si>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</si>
  <si>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</si>
  <si>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</si>
  <si>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</si>
  <si>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</si>
  <si>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</si>
  <si>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</si>
  <si>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</si>
  <si>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</si>
  <si>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</si>
  <si>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</si>
  <si>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</si>
  <si>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</si>
  <si>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</si>
  <si>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</si>
  <si>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</si>
  <si>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</si>
  <si>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</si>
  <si>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</si>
  <si>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</si>
  <si>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</si>
  <si>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</si>
  <si>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</si>
  <si>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</si>
  <si>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</si>
  <si>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</si>
  <si>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</si>
  <si>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</si>
  <si>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</si>
  <si>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</si>
  <si>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</si>
  <si>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</si>
  <si>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</si>
  <si>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</si>
  <si>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</si>
  <si>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</si>
  <si>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</si>
  <si>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</si>
  <si>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</si>
  <si>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</si>
  <si>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</si>
  <si>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</si>
  <si>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</si>
  <si>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</si>
  <si>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</si>
  <si>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</si>
  <si>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</si>
  <si>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</si>
  <si>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</si>
  <si>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</si>
  <si>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</si>
  <si>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</si>
  <si>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</si>
  <si>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</si>
  <si>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</si>
  <si>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</si>
  <si>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</si>
  <si>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</si>
  <si>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</si>
  <si>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</si>
  <si>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</si>
  <si>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</si>
  <si>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</si>
  <si>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</si>
  <si>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</si>
  <si>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</si>
  <si>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</si>
  <si>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</si>
  <si>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</si>
  <si>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</si>
  <si>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</si>
  <si>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</si>
  <si>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</si>
  <si>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</si>
  <si>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</si>
  <si>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</si>
  <si>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</si>
  <si>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</si>
  <si>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</si>
  <si>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</si>
  <si>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</si>
  <si>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</si>
  <si>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</si>
  <si>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</si>
  <si>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</si>
  <si>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</si>
  <si>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</si>
  <si>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</si>
  <si>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</si>
  <si>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</si>
  <si>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</si>
  <si>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</si>
  <si>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</si>
  <si>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</si>
  <si>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</si>
  <si>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</si>
  <si>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</si>
  <si>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</si>
  <si>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</si>
  <si>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</si>
  <si>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</si>
  <si>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</si>
  <si>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</si>
  <si>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</si>
  <si>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</si>
  <si>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</si>
  <si>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</si>
  <si>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</si>
  <si>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</si>
  <si>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</si>
  <si>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</si>
  <si>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</si>
  <si>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</si>
  <si>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</si>
  <si>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</si>
  <si>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</si>
  <si>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</si>
  <si>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</si>
  <si>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</si>
  <si>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</si>
  <si>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</si>
  <si>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</si>
  <si>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</si>
  <si>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</si>
  <si>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</si>
  <si>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</si>
  <si>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</si>
  <si>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</si>
  <si>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</si>
  <si>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</si>
  <si>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</si>
  <si>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</si>
  <si>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</si>
  <si>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</si>
  <si>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</si>
  <si>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</si>
  <si>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</si>
  <si>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</si>
  <si>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</si>
  <si>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</si>
  <si>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</si>
  <si>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</si>
  <si>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</si>
  <si>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</si>
  <si>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</si>
  <si>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</si>
  <si>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</si>
  <si>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</si>
  <si>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</si>
  <si>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</si>
  <si>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</si>
  <si>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</si>
  <si>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</si>
  <si>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</si>
  <si>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</si>
  <si>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</si>
  <si>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</si>
  <si>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</si>
  <si>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</si>
  <si>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</si>
  <si>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</si>
  <si>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</si>
  <si>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</si>
  <si>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</si>
  <si>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</si>
  <si>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</si>
  <si>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</si>
  <si>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</si>
  <si>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</si>
  <si>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</si>
  <si>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</si>
  <si>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</si>
  <si>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</si>
  <si>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</si>
  <si>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</si>
  <si>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</si>
  <si>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</si>
  <si>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</si>
  <si>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</si>
  <si>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</si>
  <si>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</si>
  <si>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</si>
  <si>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</si>
  <si>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</si>
  <si>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</si>
  <si>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</si>
  <si>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</si>
  <si>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</si>
  <si>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</si>
  <si>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</si>
  <si>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</si>
  <si>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</si>
  <si>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</si>
  <si>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</si>
  <si>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</si>
  <si>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</si>
  <si>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</si>
  <si>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</si>
  <si>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</si>
  <si>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</si>
  <si>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</si>
  <si>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</si>
  <si>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</si>
  <si>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</si>
  <si>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</si>
  <si>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</si>
  <si>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</si>
  <si>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</si>
  <si>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</si>
  <si>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</si>
  <si>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</si>
  <si>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</si>
  <si>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</si>
  <si>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</si>
  <si>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</si>
  <si>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</si>
  <si>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</si>
  <si>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</si>
  <si>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</si>
  <si>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</si>
  <si>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</si>
  <si>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</si>
  <si>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</si>
  <si>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</si>
  <si>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</si>
  <si>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</si>
  <si>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</si>
  <si>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</si>
  <si>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</si>
  <si>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</si>
  <si>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</si>
  <si>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</si>
  <si>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</si>
  <si>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</si>
  <si>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</si>
  <si>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</si>
  <si>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</si>
  <si>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</si>
  <si>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</si>
  <si>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</si>
  <si>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</si>
  <si>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</si>
  <si>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</si>
  <si>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</si>
  <si>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</si>
  <si>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</si>
  <si>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</si>
  <si>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</si>
  <si>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</si>
  <si>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</si>
  <si>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</si>
  <si>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</si>
  <si>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</si>
  <si>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</si>
  <si>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</si>
  <si>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</si>
  <si>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</si>
  <si>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</si>
  <si>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</si>
  <si>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</si>
  <si>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</si>
  <si>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</si>
  <si>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</si>
  <si>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</si>
  <si>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</si>
  <si>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</si>
  <si>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</si>
  <si>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</si>
  <si>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</si>
  <si>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</si>
  <si>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</si>
  <si>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</si>
  <si>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</si>
  <si>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</si>
  <si>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</si>
  <si>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</si>
  <si>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</si>
  <si>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</si>
  <si>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</si>
  <si>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</si>
  <si>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</si>
  <si>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</si>
  <si>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</si>
  <si>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</si>
  <si>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</si>
  <si>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</si>
  <si>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</si>
  <si>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</si>
  <si>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</si>
  <si>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</si>
  <si>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</si>
  <si>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</si>
  <si>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</si>
  <si>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</si>
  <si>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</si>
  <si>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</si>
  <si>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</si>
  <si>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</si>
  <si>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</si>
  <si>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</si>
  <si>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</si>
  <si>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</si>
  <si>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</si>
  <si>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</si>
  <si>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</si>
  <si>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</si>
  <si>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</si>
  <si>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</si>
  <si>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</si>
  <si>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</si>
  <si>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</si>
  <si>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</si>
  <si>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</si>
  <si>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</si>
  <si>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</si>
  <si>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</si>
  <si>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</si>
  <si>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</si>
  <si>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</si>
  <si>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</si>
  <si>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</si>
  <si>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</si>
  <si>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</si>
  <si>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</si>
  <si>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</si>
  <si>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</si>
  <si>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</si>
  <si>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</si>
  <si>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</si>
  <si>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</si>
  <si>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</si>
  <si>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</si>
  <si>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</si>
  <si>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</si>
  <si>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</si>
  <si>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</si>
  <si>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</si>
  <si>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</si>
  <si>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</si>
  <si>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</si>
  <si>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</si>
  <si>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</si>
  <si>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</si>
  <si>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</si>
  <si>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</si>
  <si>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</si>
  <si>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</si>
  <si>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</si>
  <si>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</si>
  <si>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</si>
  <si>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</si>
  <si>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</si>
  <si>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</si>
  <si>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</si>
  <si>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</si>
  <si>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</si>
  <si>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</si>
  <si>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</si>
  <si>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</si>
  <si>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</si>
  <si>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</si>
  <si>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</si>
  <si>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</si>
  <si>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</si>
  <si>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</si>
  <si>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</si>
  <si>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</si>
  <si>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</si>
  <si>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</si>
  <si>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</si>
  <si>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</si>
  <si>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</si>
  <si>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</si>
  <si>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</si>
  <si>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</si>
  <si>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</si>
  <si>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</si>
  <si>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</si>
  <si>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</si>
  <si>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</si>
  <si>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</si>
  <si>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</si>
  <si>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</si>
  <si>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</si>
  <si>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</si>
  <si>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</si>
  <si>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</si>
  <si>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</si>
  <si>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</si>
  <si>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</si>
  <si>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</si>
  <si>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</si>
  <si>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</si>
  <si>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</si>
  <si>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</si>
  <si>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</si>
  <si>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</si>
  <si>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</si>
  <si>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</si>
  <si>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</si>
  <si>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</si>
  <si>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</si>
  <si>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</si>
  <si>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</si>
  <si>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</si>
  <si>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</si>
  <si>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</si>
  <si>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</si>
  <si>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</si>
  <si>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</si>
  <si>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</si>
  <si>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</si>
  <si>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</si>
  <si>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</si>
  <si>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</si>
  <si>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</si>
  <si>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</si>
  <si>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</si>
  <si>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</si>
  <si>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</si>
  <si>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</si>
  <si>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</si>
  <si>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</si>
  <si>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</si>
  <si>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</si>
  <si>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</si>
  <si>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</si>
  <si>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</si>
  <si>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</si>
  <si>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</si>
  <si>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</si>
  <si>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</si>
  <si>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</si>
  <si>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</si>
  <si>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</si>
  <si>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</si>
  <si>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</si>
  <si>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</si>
  <si>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</si>
  <si>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</si>
  <si>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</si>
  <si>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</si>
  <si>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</si>
  <si>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</si>
  <si>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</si>
  <si>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</si>
  <si>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</si>
  <si>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</si>
  <si>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</si>
  <si>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</si>
  <si>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</si>
  <si>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</si>
  <si>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</si>
  <si>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</si>
  <si>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</si>
  <si>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</si>
  <si>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</si>
  <si>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</si>
  <si>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</si>
  <si>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</si>
  <si>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</si>
  <si>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</si>
  <si>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</si>
  <si>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</si>
  <si>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</si>
  <si>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</si>
  <si>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</si>
  <si>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</si>
  <si>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</si>
  <si>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</si>
  <si>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</si>
  <si>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</si>
  <si>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</si>
  <si>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</si>
  <si>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</si>
  <si>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</si>
  <si>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</si>
  <si>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</si>
  <si>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</si>
  <si>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</si>
  <si>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</si>
  <si>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</si>
  <si>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</si>
  <si>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</si>
  <si>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</si>
  <si>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</si>
  <si>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</si>
  <si>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</si>
  <si>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</si>
  <si>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</si>
  <si>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</si>
  <si>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</si>
  <si>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</si>
  <si>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</si>
  <si>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</si>
  <si>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</si>
  <si>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</si>
  <si>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</si>
  <si>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</si>
  <si>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</si>
  <si>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</si>
  <si>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</si>
  <si>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</si>
  <si>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</si>
  <si>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</si>
  <si>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</si>
  <si>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</si>
  <si>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</si>
  <si>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</si>
  <si>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</si>
  <si>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</si>
  <si>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</si>
  <si>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</si>
  <si>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</si>
  <si>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</si>
  <si>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</si>
  <si>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</si>
  <si>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</si>
  <si>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</si>
  <si>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</si>
  <si>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</si>
  <si>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</si>
  <si>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</si>
  <si>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</si>
  <si>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</si>
  <si>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</si>
  <si>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</si>
  <si>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</si>
  <si>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</si>
  <si>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</si>
  <si>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</si>
  <si>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</si>
  <si>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</si>
  <si>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</si>
  <si>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</si>
  <si>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</si>
  <si>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</si>
  <si>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</si>
  <si>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</si>
  <si>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</si>
  <si>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</si>
  <si>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</si>
  <si>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</si>
  <si>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</si>
  <si>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</si>
  <si>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</si>
  <si>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</si>
  <si>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</si>
  <si>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</si>
  <si>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</si>
  <si>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</si>
  <si>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</si>
  <si>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</si>
  <si>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</si>
  <si>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</si>
  <si>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</si>
  <si>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</si>
  <si>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</si>
  <si>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</si>
  <si>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</si>
  <si>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</si>
  <si>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</si>
  <si>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</si>
  <si>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</si>
  <si>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</si>
  <si>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</si>
  <si>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</si>
  <si>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</si>
  <si>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</si>
  <si>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</si>
  <si>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</si>
  <si>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</si>
  <si>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</si>
  <si>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</si>
  <si>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</si>
  <si>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</si>
  <si>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</si>
  <si>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</si>
  <si>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</si>
  <si>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</si>
  <si>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</si>
  <si>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</si>
  <si>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</si>
  <si>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</si>
  <si>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</si>
  <si>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</si>
  <si>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</si>
  <si>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</si>
  <si>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</si>
  <si>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</si>
  <si>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</si>
  <si>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</si>
  <si>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</si>
  <si>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</si>
  <si>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</si>
  <si>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</si>
  <si>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</si>
  <si>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</si>
  <si>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</si>
  <si>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</si>
  <si>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</si>
  <si>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</si>
  <si>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</si>
  <si>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</si>
  <si>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</si>
  <si>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</si>
  <si>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</si>
  <si>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</si>
  <si>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</si>
  <si>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</si>
  <si>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</si>
  <si>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</si>
  <si>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</si>
  <si>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</si>
  <si>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</si>
  <si>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</si>
  <si>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</si>
  <si>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</si>
  <si>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</si>
  <si>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</si>
  <si>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</si>
  <si>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</si>
  <si>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</si>
  <si>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</si>
  <si>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</si>
  <si>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</si>
  <si>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</si>
  <si>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</si>
  <si>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</si>
  <si>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</si>
  <si>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</si>
  <si>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</si>
  <si>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</si>
  <si>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</si>
  <si>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</si>
  <si>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</si>
  <si>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</si>
  <si>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</si>
  <si>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</si>
  <si>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</si>
  <si>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</si>
  <si>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</si>
  <si>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</si>
  <si>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</si>
  <si>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</si>
  <si>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</si>
  <si>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</si>
  <si>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</si>
  <si>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</si>
  <si>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</si>
  <si>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</si>
  <si>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</si>
  <si>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</si>
  <si>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</si>
  <si>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</si>
  <si>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</si>
  <si>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</si>
  <si>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</si>
  <si>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</si>
  <si>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</si>
  <si>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</si>
  <si>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</si>
  <si>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</si>
  <si>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</si>
  <si>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</si>
  <si>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</si>
  <si>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</si>
  <si>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</si>
  <si>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</si>
  <si>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</si>
  <si>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</si>
  <si>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</si>
  <si>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</si>
  <si>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</si>
  <si>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</si>
  <si>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</si>
  <si>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</si>
  <si>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</si>
  <si>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</si>
  <si>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</si>
  <si>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</si>
  <si>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</si>
  <si>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</si>
  <si>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</si>
  <si>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</si>
  <si>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</si>
  <si>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</si>
  <si>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</si>
  <si>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</si>
  <si>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</si>
  <si>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</si>
  <si>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</si>
  <si>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</si>
  <si>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</si>
  <si>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</si>
  <si>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</si>
  <si>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</si>
  <si>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</si>
  <si>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</si>
  <si>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</si>
  <si>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</si>
  <si>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</si>
  <si>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</si>
  <si>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</si>
  <si>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</si>
  <si>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</si>
  <si>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</si>
  <si>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</si>
  <si>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</si>
  <si>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</si>
  <si>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</si>
  <si>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</si>
  <si>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</si>
  <si>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</si>
  <si>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</si>
  <si>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</si>
  <si>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</si>
  <si>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</si>
  <si>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</si>
  <si>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</si>
  <si>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</si>
  <si>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</si>
  <si>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</si>
  <si>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</si>
  <si>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</si>
  <si>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</si>
  <si>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</si>
  <si>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</si>
  <si>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</si>
  <si>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</si>
  <si>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</si>
  <si>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</si>
  <si>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</si>
  <si>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</si>
  <si>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</si>
  <si>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</si>
  <si>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</si>
  <si>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</si>
  <si>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</si>
  <si>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</si>
  <si>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</si>
  <si>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</si>
  <si>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</si>
  <si>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</si>
  <si>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</si>
  <si>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</si>
  <si>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</si>
  <si>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</si>
  <si>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</si>
  <si>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</si>
  <si>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</si>
  <si>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</si>
  <si>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</si>
  <si>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</si>
  <si>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</si>
  <si>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</si>
  <si>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</si>
  <si>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</si>
  <si>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</si>
  <si>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</si>
  <si>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</si>
  <si>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</si>
  <si>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</si>
  <si>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</si>
  <si>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</si>
  <si>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</si>
  <si>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</si>
  <si>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</si>
  <si>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</si>
  <si>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</si>
  <si>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</si>
  <si>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</si>
  <si>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</si>
  <si>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</si>
  <si>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</si>
  <si>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</si>
  <si>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</si>
  <si>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</si>
  <si>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</si>
  <si>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</si>
  <si>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</si>
  <si>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</si>
  <si>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</si>
  <si>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</si>
  <si>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</si>
  <si>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</si>
  <si>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</si>
  <si>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</si>
  <si>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</si>
  <si>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</si>
  <si>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</si>
  <si>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</si>
  <si>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</si>
  <si>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</si>
  <si>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</si>
  <si>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</si>
  <si>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</si>
  <si>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</si>
  <si>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</si>
  <si>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</si>
  <si>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</si>
  <si>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</si>
  <si>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</si>
  <si>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</si>
  <si>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</si>
  <si>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</si>
  <si>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</si>
  <si>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</si>
  <si>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</si>
  <si>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</si>
  <si>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</si>
  <si>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</si>
  <si>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</si>
  <si>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</si>
  <si>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</si>
  <si>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</si>
  <si>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</si>
  <si>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</si>
  <si>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</si>
  <si>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</si>
  <si>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</si>
  <si>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</si>
  <si>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</si>
  <si>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</si>
  <si>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</si>
  <si>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</si>
  <si>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</si>
  <si>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</si>
  <si>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</si>
  <si>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</si>
  <si>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</si>
  <si>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</si>
  <si>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</si>
  <si>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</si>
  <si>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</si>
  <si>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</si>
  <si>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</si>
  <si>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</si>
  <si>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</si>
  <si>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</si>
  <si>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</si>
  <si>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</si>
  <si>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</si>
  <si>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</si>
  <si>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</si>
  <si>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</si>
  <si>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</si>
  <si>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</si>
  <si>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</si>
  <si>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</si>
  <si>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</si>
  <si>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</si>
  <si>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</si>
  <si>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</si>
  <si>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</si>
  <si>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</si>
  <si>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</si>
  <si>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</si>
  <si>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</si>
  <si>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</si>
  <si>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</si>
  <si>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</si>
  <si>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</si>
  <si>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</si>
  <si>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</si>
  <si>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</si>
  <si>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</si>
  <si>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</si>
  <si>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</si>
  <si>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</si>
  <si>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</si>
  <si>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</si>
  <si>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</si>
  <si>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</si>
  <si>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</si>
  <si>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</si>
  <si>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</si>
  <si>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</si>
  <si>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</si>
  <si>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</si>
  <si>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</si>
  <si>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</si>
  <si>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</si>
  <si>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</si>
  <si>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</si>
  <si>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</si>
  <si>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</si>
  <si>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</si>
  <si>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</si>
  <si>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</si>
  <si>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</si>
  <si>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</si>
  <si>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</si>
  <si>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</si>
  <si>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</si>
  <si>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</si>
  <si>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</si>
  <si>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</si>
  <si>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</si>
  <si>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</si>
  <si>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</si>
  <si>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</si>
  <si>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</si>
  <si>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</si>
  <si>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</si>
  <si>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</si>
  <si>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</si>
  <si>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</si>
  <si>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</si>
  <si>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</si>
  <si>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</si>
  <si>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</si>
  <si>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</si>
  <si>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</si>
  <si>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</si>
  <si>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</si>
  <si>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</si>
  <si>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</si>
  <si>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</si>
  <si>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</si>
  <si>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</si>
  <si>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</si>
  <si>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</si>
  <si>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</si>
  <si>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</si>
  <si>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</si>
  <si>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</si>
  <si>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</si>
  <si>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</si>
  <si>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</si>
  <si>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</si>
  <si>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</si>
  <si>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</si>
  <si>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</si>
  <si>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</si>
  <si>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</si>
  <si>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</si>
  <si>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</si>
  <si>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</si>
  <si>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</si>
  <si>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</si>
  <si>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</si>
  <si>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</si>
  <si>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</si>
  <si>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</si>
  <si>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</si>
  <si>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</si>
  <si>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</si>
  <si>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</si>
  <si>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</si>
  <si>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</si>
  <si>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</si>
  <si>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</si>
  <si>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</si>
  <si>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</si>
  <si>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</si>
  <si>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</si>
  <si>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</si>
  <si>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</si>
  <si>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</si>
  <si>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</si>
  <si>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</si>
  <si>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</si>
  <si>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</si>
  <si>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</si>
  <si>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</si>
  <si>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</si>
  <si>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</si>
  <si>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</si>
  <si>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</si>
  <si>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</si>
  <si>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</si>
  <si>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</si>
  <si>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</si>
  <si>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</si>
  <si>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</si>
  <si>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</si>
  <si>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</si>
  <si>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</si>
  <si>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</si>
  <si>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</si>
  <si>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</si>
  <si>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</si>
  <si>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</si>
  <si>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</si>
  <si>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</si>
  <si>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</si>
  <si>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</si>
  <si>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</si>
  <si>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</si>
  <si>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</si>
  <si>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</si>
  <si>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</si>
  <si>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</si>
  <si>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</si>
  <si>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</si>
  <si>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</si>
  <si>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</si>
  <si>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</si>
  <si>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</si>
  <si>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</si>
  <si>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</si>
  <si>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</si>
  <si>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</si>
  <si>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</si>
  <si>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</si>
  <si>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</si>
  <si>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</si>
  <si>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</si>
  <si>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</si>
  <si>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</si>
  <si>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</si>
  <si>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</si>
  <si>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</si>
  <si>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</si>
  <si>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</si>
  <si>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</si>
  <si>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</si>
  <si>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</si>
  <si>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</si>
  <si>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</si>
  <si>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</si>
  <si>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</si>
  <si>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</si>
  <si>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</si>
  <si>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</si>
  <si>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</si>
  <si>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</si>
  <si>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</si>
  <si>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</si>
  <si>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</si>
  <si>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</si>
  <si>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</si>
  <si>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</si>
  <si>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</si>
  <si>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</si>
  <si>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</si>
  <si>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</si>
  <si>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</si>
  <si>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</si>
  <si>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</si>
  <si>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</si>
  <si>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</si>
  <si>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</si>
  <si>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</si>
  <si>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</si>
  <si>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</si>
  <si>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</si>
  <si>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</si>
  <si>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</si>
  <si>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</si>
  <si>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</si>
  <si>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</si>
  <si>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</si>
  <si>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</si>
  <si>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</si>
  <si>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</si>
  <si>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</si>
  <si>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</si>
  <si>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</si>
  <si>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</si>
  <si>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</si>
  <si>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</si>
  <si>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</si>
  <si>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</si>
  <si>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</si>
  <si>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</si>
  <si>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</si>
  <si>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</si>
  <si>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</si>
  <si>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</si>
  <si>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</si>
  <si>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</si>
  <si>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</si>
  <si>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</si>
  <si>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</si>
  <si>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</si>
  <si>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</si>
  <si>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</si>
  <si>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</si>
  <si>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</si>
  <si>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</si>
  <si>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</si>
  <si>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</si>
  <si>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</si>
  <si>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</si>
  <si>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</si>
  <si>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</si>
  <si>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</si>
  <si>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</si>
  <si>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</si>
  <si>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</si>
  <si>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</si>
  <si>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</si>
  <si>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</si>
  <si>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</si>
  <si>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</si>
  <si>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</si>
  <si>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</si>
  <si>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</si>
  <si>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</si>
  <si>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</si>
  <si>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</si>
  <si>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</si>
  <si>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</si>
  <si>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</si>
  <si>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</si>
  <si>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</si>
  <si>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</si>
  <si>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</si>
  <si>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</si>
  <si>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</si>
  <si>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</si>
  <si>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</si>
  <si>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</si>
  <si>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</si>
  <si>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</si>
  <si>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</si>
  <si>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</si>
  <si>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</si>
  <si>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</si>
  <si>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</si>
  <si>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</si>
  <si>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</si>
  <si>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</si>
  <si>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</si>
  <si>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</si>
  <si>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</si>
  <si>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</si>
  <si>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</si>
  <si>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</si>
  <si>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</si>
  <si>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</si>
  <si>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</si>
  <si>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</si>
  <si>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</si>
  <si>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</si>
  <si>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</si>
  <si>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</si>
  <si>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</si>
  <si>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</si>
  <si>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</si>
  <si>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</si>
  <si>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</si>
  <si>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</si>
  <si>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</si>
  <si>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</si>
  <si>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</si>
  <si>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</si>
  <si>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</si>
  <si>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</si>
  <si>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</si>
  <si>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</si>
  <si>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</si>
  <si>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</si>
  <si>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</si>
  <si>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</si>
  <si>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</si>
  <si>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</si>
  <si>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</si>
  <si>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</si>
  <si>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</si>
  <si>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</si>
  <si>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</si>
  <si>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</si>
  <si>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</si>
  <si>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</si>
  <si>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</si>
  <si>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</si>
  <si>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</si>
  <si>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</si>
  <si>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</si>
  <si>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</si>
  <si>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</si>
  <si>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</si>
  <si>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</si>
  <si>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</si>
  <si>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</si>
  <si>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</si>
  <si>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</si>
  <si>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</si>
  <si>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</si>
  <si>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</si>
  <si>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</si>
  <si>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</si>
  <si>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</si>
  <si>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</si>
  <si>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</si>
  <si>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</si>
  <si>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</si>
  <si>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</si>
  <si>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</si>
  <si>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</si>
  <si>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</si>
  <si>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</si>
  <si>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</si>
  <si>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</si>
  <si>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</si>
  <si>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</si>
  <si>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</si>
  <si>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</si>
  <si>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</si>
  <si>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</si>
  <si>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</si>
  <si>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</si>
  <si>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</si>
  <si>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</si>
  <si>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</si>
  <si>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</si>
  <si>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</si>
  <si>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</si>
  <si>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</si>
  <si>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</si>
  <si>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</si>
  <si>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</si>
  <si>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</si>
  <si>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</si>
  <si>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</si>
  <si>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</si>
  <si>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</si>
  <si>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</si>
  <si>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</si>
  <si>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</si>
  <si>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</si>
  <si>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</si>
  <si>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</si>
  <si>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</si>
  <si>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</si>
  <si>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</si>
  <si>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</si>
  <si>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</si>
  <si>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</si>
  <si>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</si>
  <si>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</si>
  <si>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</si>
  <si>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</si>
  <si>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</si>
  <si>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</si>
  <si>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</si>
  <si>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</si>
  <si>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</si>
  <si>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</si>
  <si>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</si>
  <si>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</si>
  <si>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</si>
  <si>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</si>
  <si>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</si>
  <si>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</si>
  <si>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</si>
  <si>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</si>
  <si>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</si>
  <si>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</si>
  <si>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</si>
  <si>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</si>
  <si>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</si>
  <si>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</si>
  <si>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</si>
  <si>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</si>
  <si>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</si>
  <si>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</si>
  <si>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</si>
  <si>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</si>
  <si>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</si>
  <si>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</si>
  <si>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</si>
  <si>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</si>
  <si>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</si>
  <si>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</si>
  <si>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</si>
  <si>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</si>
  <si>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</si>
  <si>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</si>
  <si>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</si>
  <si>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</si>
  <si>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</si>
  <si>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</si>
  <si>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</si>
  <si>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</si>
  <si>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</si>
  <si>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</si>
  <si>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</si>
  <si>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</si>
  <si>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</si>
  <si>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</si>
  <si>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</si>
  <si>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</si>
  <si>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</si>
  <si>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</si>
  <si>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</si>
  <si>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</si>
  <si>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</si>
  <si>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</si>
  <si>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</si>
  <si>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</si>
  <si>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</si>
  <si>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</si>
  <si>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</si>
  <si>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</si>
  <si>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</si>
  <si>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</si>
  <si>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</si>
  <si>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</si>
  <si>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</si>
  <si>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</si>
  <si>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</si>
  <si>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</si>
  <si>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</si>
  <si>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</si>
  <si>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</si>
  <si>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</si>
  <si>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</si>
  <si>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</si>
  <si>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</si>
  <si>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</si>
  <si>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</si>
  <si>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</si>
  <si>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</si>
  <si>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</si>
  <si>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</si>
  <si>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</si>
  <si>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</si>
  <si>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</si>
  <si>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</si>
  <si>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</si>
  <si>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</si>
  <si>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</si>
  <si>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</si>
  <si>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</si>
  <si>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</si>
  <si>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</si>
  <si>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</si>
  <si>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</si>
  <si>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</si>
  <si>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</si>
  <si>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</si>
  <si>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</si>
  <si>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</si>
  <si>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</si>
  <si>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</si>
  <si>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</si>
  <si>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</si>
  <si>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</si>
  <si>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</si>
  <si>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</si>
  <si>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</si>
  <si>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</si>
  <si>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</si>
  <si>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</si>
  <si>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</si>
  <si>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</si>
  <si>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</si>
  <si>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</si>
  <si>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</si>
  <si>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</si>
  <si>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</si>
  <si>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</si>
  <si>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</si>
  <si>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</si>
  <si>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</si>
  <si>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</si>
  <si>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</si>
  <si>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</si>
  <si>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</si>
  <si>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</si>
  <si>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</si>
  <si>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</si>
  <si>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</si>
  <si>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</si>
  <si>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</si>
  <si>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</si>
  <si>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</si>
  <si>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</si>
  <si>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</si>
  <si>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</si>
  <si>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</si>
  <si>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</si>
  <si>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</si>
  <si>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</si>
  <si>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</si>
  <si>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</si>
  <si>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</si>
  <si>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</si>
  <si>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</si>
  <si>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</si>
  <si>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</si>
  <si>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</si>
  <si>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</si>
  <si>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</si>
  <si>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</si>
  <si>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</si>
  <si>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</si>
  <si>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</si>
  <si>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</si>
  <si>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</si>
  <si>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</si>
  <si>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</si>
  <si>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</si>
  <si>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</si>
  <si>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</si>
  <si>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</si>
  <si>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</si>
  <si>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</si>
  <si>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</si>
  <si>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</si>
  <si>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</si>
  <si>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</si>
  <si>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</si>
  <si>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</si>
  <si>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</si>
  <si>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</si>
  <si>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</si>
  <si>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</si>
  <si>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</si>
  <si>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</si>
  <si>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</si>
  <si>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</si>
  <si>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</si>
  <si>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</si>
  <si>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</si>
  <si>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</si>
  <si>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</si>
  <si>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</si>
  <si>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</si>
  <si>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</si>
  <si>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</si>
  <si>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</si>
  <si>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</si>
  <si>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</si>
  <si>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</si>
  <si>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</si>
  <si>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</si>
  <si>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</si>
  <si>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</si>
  <si>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</si>
  <si>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</si>
  <si>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</si>
  <si>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</si>
  <si>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</si>
  <si>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</si>
  <si>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</si>
  <si>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</si>
  <si>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</si>
  <si>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</si>
  <si>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</si>
  <si>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</si>
  <si>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</si>
  <si>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</si>
  <si>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</si>
  <si>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</si>
  <si>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</si>
  <si>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</si>
  <si>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</si>
  <si>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</si>
  <si>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</si>
  <si>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</si>
  <si>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</si>
  <si>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</si>
  <si>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</si>
  <si>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</si>
  <si>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</si>
  <si>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</si>
  <si>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</si>
  <si>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</si>
  <si>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</si>
  <si>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</si>
  <si>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</si>
  <si>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</si>
  <si>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</si>
  <si>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</si>
  <si>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</si>
  <si>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</si>
  <si>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</si>
  <si>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</si>
  <si>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</si>
  <si>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</si>
  <si>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</si>
  <si>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</si>
  <si>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</si>
  <si>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</si>
  <si>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</si>
  <si>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</si>
  <si>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</si>
  <si>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</si>
  <si>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</si>
  <si>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</si>
  <si>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</si>
  <si>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</si>
  <si>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</si>
  <si>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</si>
  <si>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</si>
  <si>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</si>
  <si>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</si>
  <si>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</si>
  <si>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</si>
  <si>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</si>
  <si>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</si>
  <si>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</si>
  <si>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</si>
  <si>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</si>
  <si>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</si>
  <si>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</si>
  <si>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</si>
  <si>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</si>
  <si>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</si>
  <si>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</si>
  <si>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</si>
  <si>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</si>
  <si>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</si>
  <si>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</si>
  <si>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</si>
  <si>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</si>
  <si>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</si>
  <si>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</si>
  <si>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</si>
  <si>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</si>
  <si>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</si>
  <si>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</si>
  <si>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</si>
  <si>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</si>
  <si>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</si>
  <si>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</si>
  <si>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</si>
  <si>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</si>
  <si>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</si>
  <si>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</si>
  <si>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</si>
  <si>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</si>
  <si>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</si>
  <si>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</si>
  <si>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</si>
  <si>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</si>
  <si>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</si>
  <si>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</si>
  <si>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</si>
  <si>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</si>
  <si>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</si>
  <si>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</si>
  <si>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</si>
  <si>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</si>
  <si>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</si>
  <si>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</si>
  <si>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</si>
  <si>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</si>
  <si>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</si>
  <si>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</si>
  <si>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</si>
  <si>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</si>
  <si>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</si>
  <si>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</si>
  <si>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</si>
  <si>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</si>
  <si>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</si>
  <si>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</si>
  <si>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</si>
  <si>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</si>
  <si>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</si>
  <si>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</si>
  <si>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</si>
  <si>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</si>
  <si>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</si>
  <si>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</si>
  <si>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</si>
  <si>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</si>
  <si>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</si>
  <si>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</si>
  <si>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</si>
  <si>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</si>
  <si>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</si>
  <si>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</si>
  <si>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</si>
  <si>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</si>
  <si>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</si>
  <si>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</si>
  <si>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</si>
  <si>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</si>
  <si>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</si>
  <si>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</si>
  <si>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</si>
  <si>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</si>
  <si>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</si>
  <si>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</si>
  <si>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</si>
  <si>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</si>
  <si>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</si>
  <si>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</si>
  <si>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</si>
  <si>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</si>
  <si>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</si>
  <si>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</si>
  <si>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</si>
  <si>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</si>
  <si>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</si>
  <si>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</si>
  <si>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</si>
  <si>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</si>
  <si>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</si>
  <si>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</si>
  <si>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</si>
  <si>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</si>
  <si>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</si>
  <si>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</si>
  <si>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</si>
  <si>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</si>
  <si>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</si>
  <si>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</si>
  <si>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</si>
  <si>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</si>
  <si>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</si>
  <si>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</si>
  <si>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</si>
  <si>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</si>
  <si>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</si>
  <si>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</si>
  <si>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</si>
  <si>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</si>
  <si>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</si>
  <si>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</si>
  <si>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</si>
  <si>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</si>
  <si>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</si>
  <si>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</si>
  <si>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</si>
  <si>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</si>
  <si>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</si>
  <si>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</si>
  <si>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</si>
  <si>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</si>
  <si>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</si>
  <si>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</si>
  <si>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</si>
  <si>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</si>
  <si>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</si>
  <si>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</si>
  <si>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</si>
  <si>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</si>
  <si>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</si>
  <si>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</si>
  <si>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</si>
  <si>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</si>
  <si>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</si>
  <si>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</si>
  <si>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</si>
  <si>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</si>
  <si>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</si>
  <si>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</si>
  <si>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</si>
  <si>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</si>
  <si>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</si>
  <si>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</si>
  <si>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</si>
  <si>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</si>
  <si>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</si>
  <si>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</si>
  <si>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</si>
  <si>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</si>
  <si>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</si>
  <si>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</si>
  <si>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</si>
  <si>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</si>
  <si>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</si>
  <si>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</si>
  <si>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</si>
  <si>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</si>
  <si>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</si>
  <si>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</si>
  <si>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</si>
  <si>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</si>
  <si>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</si>
  <si>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</si>
  <si>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</si>
  <si>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</si>
  <si>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</si>
  <si>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</si>
  <si>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</si>
  <si>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</si>
  <si>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</si>
  <si>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</si>
  <si>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</si>
  <si>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</si>
  <si>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</si>
  <si>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</si>
  <si>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</si>
  <si>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</si>
  <si>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</si>
  <si>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</si>
  <si>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</si>
  <si>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</si>
  <si>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</si>
  <si>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</si>
  <si>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</si>
  <si>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</si>
  <si>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</si>
  <si>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</si>
  <si>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</si>
  <si>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</si>
  <si>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</si>
  <si>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</si>
  <si>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</si>
  <si>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</si>
  <si>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</si>
  <si>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</si>
  <si>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</si>
  <si>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</si>
  <si>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</si>
  <si>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</si>
  <si>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</si>
  <si>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</si>
  <si>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</si>
  <si>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</si>
  <si>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</si>
  <si>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</si>
  <si>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</si>
  <si>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</si>
  <si>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</si>
  <si>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</si>
  <si>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</si>
  <si>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</si>
  <si>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</si>
  <si>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</si>
  <si>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</si>
  <si>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</si>
  <si>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</si>
  <si>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</si>
  <si>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</si>
  <si>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</si>
  <si>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</si>
  <si>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</si>
  <si>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</si>
  <si>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</si>
  <si>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</si>
  <si>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</si>
  <si>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</si>
  <si>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</si>
  <si>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</si>
  <si>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</si>
  <si>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</si>
  <si>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</si>
  <si>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</si>
  <si>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</si>
  <si>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</si>
  <si>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</si>
  <si>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</si>
  <si>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</si>
  <si>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</si>
  <si>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</si>
  <si>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</si>
  <si>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</si>
  <si>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</si>
  <si>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</si>
  <si>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</si>
  <si>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</si>
  <si>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</si>
  <si>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</si>
  <si>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</si>
  <si>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</si>
  <si>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</si>
  <si>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</si>
  <si>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</si>
  <si>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</si>
  <si>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</si>
  <si>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</si>
  <si>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</si>
  <si>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</si>
  <si>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</si>
  <si>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</si>
  <si>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</si>
  <si>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</si>
  <si>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</si>
  <si>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</si>
  <si>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</si>
  <si>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</si>
  <si>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</si>
  <si>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</si>
  <si>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</si>
  <si>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</si>
  <si>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</si>
  <si>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</si>
  <si>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</si>
  <si>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</si>
  <si>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</si>
  <si>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</si>
  <si>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</si>
  <si>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</si>
  <si>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</si>
  <si>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</si>
  <si>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</si>
  <si>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</si>
  <si>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</si>
  <si>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</si>
  <si>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</si>
  <si>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</si>
  <si>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</si>
  <si>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</si>
  <si>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</si>
  <si>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</si>
  <si>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</si>
  <si>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</si>
  <si>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</si>
  <si>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</si>
  <si>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</si>
  <si>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</si>
  <si>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</si>
  <si>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</si>
  <si>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</si>
  <si>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</si>
  <si>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</si>
  <si>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</si>
  <si>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</si>
  <si>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</si>
  <si>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</si>
  <si>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</si>
  <si>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</si>
  <si>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</si>
  <si>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</si>
  <si>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</si>
  <si>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</si>
  <si>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</si>
  <si>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</si>
  <si>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</si>
  <si>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</si>
  <si>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</si>
  <si>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</si>
  <si>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</si>
  <si>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</si>
  <si>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</si>
  <si>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</si>
  <si>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</si>
  <si>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</si>
  <si>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</si>
  <si>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</si>
  <si>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</si>
  <si>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</si>
  <si>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</si>
  <si>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</si>
  <si>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</si>
  <si>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</si>
  <si>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</si>
  <si>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</si>
  <si>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</si>
  <si>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</si>
  <si>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</si>
  <si>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</si>
  <si>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</si>
  <si>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</si>
  <si>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</si>
  <si>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</si>
  <si>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</si>
  <si>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</si>
  <si>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</si>
  <si>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</si>
  <si>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</si>
  <si>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</si>
  <si>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</si>
  <si>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</si>
  <si>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</si>
  <si>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</si>
  <si>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</si>
  <si>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</si>
  <si>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</si>
  <si>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</si>
  <si>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</si>
  <si>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</si>
  <si>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</si>
  <si>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</si>
  <si>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</si>
  <si>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</si>
  <si>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</si>
  <si>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</si>
  <si>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</si>
  <si>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</si>
  <si>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</si>
  <si>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</si>
  <si>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</si>
  <si>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</si>
  <si>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</si>
  <si>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</si>
  <si>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</si>
  <si>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</si>
  <si>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</si>
  <si>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</si>
  <si>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</si>
  <si>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</si>
  <si>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</si>
  <si>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</si>
  <si>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</si>
  <si>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</si>
  <si>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</si>
  <si>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</si>
  <si>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</si>
  <si>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</si>
  <si>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</si>
  <si>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</si>
  <si>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</si>
  <si>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</si>
  <si>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</si>
  <si>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</si>
  <si>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</si>
  <si>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</si>
  <si>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</si>
  <si>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</si>
  <si>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</si>
  <si>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</si>
  <si>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</si>
  <si>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</si>
  <si>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</si>
  <si>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</si>
  <si>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</si>
  <si>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</si>
  <si>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</si>
  <si>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</si>
  <si>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</si>
  <si>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</si>
  <si>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</si>
  <si>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</si>
  <si>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</si>
  <si>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</si>
  <si>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</si>
  <si>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</si>
  <si>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</si>
  <si>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</si>
  <si>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</si>
  <si>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</si>
  <si>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</si>
  <si>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</si>
  <si>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</si>
  <si>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</si>
  <si>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</si>
  <si>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</si>
  <si>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</si>
  <si>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</si>
  <si>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</si>
  <si>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</si>
  <si>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</si>
  <si>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</si>
  <si>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</si>
  <si>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</si>
  <si>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</si>
  <si>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</si>
  <si>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</si>
  <si>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</si>
  <si>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</si>
  <si>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</si>
  <si>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</si>
  <si>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</si>
  <si>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</si>
  <si>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</si>
  <si>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</si>
  <si>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</si>
  <si>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</si>
  <si>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</si>
  <si>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</si>
  <si>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</si>
  <si>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</si>
  <si>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</si>
  <si>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</si>
  <si>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</si>
  <si>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</si>
  <si>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</si>
  <si>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</si>
  <si>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</si>
  <si>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</si>
  <si>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</si>
  <si>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</si>
  <si>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</si>
  <si>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</si>
  <si>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</si>
  <si>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</si>
  <si>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</si>
  <si>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</si>
  <si>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</si>
  <si>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</si>
  <si>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</si>
  <si>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</si>
  <si>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</si>
  <si>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</si>
  <si>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</si>
  <si>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</si>
  <si>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</si>
  <si>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</si>
  <si>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</si>
  <si>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</si>
  <si>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</si>
  <si>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</si>
  <si>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</si>
  <si>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</si>
  <si>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</si>
  <si>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</si>
  <si>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</si>
  <si>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</si>
  <si>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</si>
  <si>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</si>
  <si>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</si>
  <si>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</si>
  <si>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</si>
  <si>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</si>
  <si>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</si>
  <si>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</si>
  <si>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</si>
  <si>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</si>
  <si>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</si>
  <si>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</si>
  <si>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</si>
  <si>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</si>
  <si>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</si>
  <si>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</si>
  <si>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</si>
  <si>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</si>
  <si>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</si>
  <si>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</si>
  <si>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</si>
  <si>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</si>
  <si>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</si>
  <si>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</si>
  <si>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</si>
  <si>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</si>
  <si>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</si>
  <si>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</si>
  <si>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</si>
  <si>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</si>
  <si>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</si>
  <si>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</si>
  <si>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</si>
  <si>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</si>
  <si>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</si>
  <si>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</si>
  <si>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</si>
  <si>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</si>
  <si>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</si>
  <si>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</si>
  <si>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</si>
  <si>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</si>
  <si>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</si>
  <si>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</si>
  <si>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</si>
  <si>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</si>
  <si>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</si>
  <si>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</si>
  <si>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</si>
  <si>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</si>
  <si>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</si>
  <si>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</si>
  <si>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</si>
  <si>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</si>
  <si>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</si>
  <si>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</si>
  <si>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</si>
  <si>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</si>
  <si>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</si>
  <si>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</si>
  <si>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</si>
  <si>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</si>
  <si>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</si>
  <si>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</si>
  <si>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</si>
  <si>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</si>
  <si>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</si>
  <si>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</si>
  <si>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</si>
  <si>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</si>
  <si>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</si>
  <si>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</si>
  <si>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</si>
  <si>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</si>
  <si>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</si>
  <si>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</si>
  <si>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</si>
  <si>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</si>
  <si>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</si>
  <si>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</si>
  <si>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</si>
  <si>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</si>
  <si>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</si>
  <si>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</si>
  <si>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</si>
  <si>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</si>
  <si>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</si>
  <si>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</si>
  <si>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</si>
  <si>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</si>
  <si>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</si>
  <si>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</si>
  <si>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</si>
  <si>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</si>
  <si>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</si>
  <si>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</si>
  <si>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</si>
  <si>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</si>
  <si>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</si>
  <si>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</si>
  <si>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</si>
  <si>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</si>
  <si>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</si>
  <si>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</si>
  <si>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</si>
  <si>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</si>
  <si>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</si>
  <si>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</si>
  <si>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</si>
  <si>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</si>
  <si>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</si>
  <si>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</si>
  <si>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</si>
  <si>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</si>
  <si>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</si>
  <si>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</si>
  <si>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</si>
  <si>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</si>
  <si>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</si>
  <si>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</si>
  <si>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</si>
  <si>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</si>
  <si>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</si>
  <si>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</si>
  <si>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</si>
  <si>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</si>
  <si>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</si>
  <si>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</si>
  <si>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</si>
  <si>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</si>
  <si>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</si>
  <si>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</si>
  <si>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</si>
  <si>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</si>
  <si>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</si>
  <si>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</si>
  <si>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</si>
  <si>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</si>
  <si>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</si>
  <si>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</si>
  <si>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</si>
  <si>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</si>
  <si>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</si>
  <si>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</si>
  <si>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</si>
  <si>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</si>
  <si>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</si>
  <si>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</si>
  <si>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</si>
  <si>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</si>
  <si>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</si>
  <si>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</si>
  <si>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</si>
  <si>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</si>
  <si>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</si>
  <si>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</si>
  <si>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</si>
  <si>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</si>
  <si>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</si>
  <si>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</si>
  <si>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</si>
  <si>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</si>
  <si>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</si>
  <si>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</si>
  <si>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</si>
  <si>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</si>
  <si>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</si>
  <si>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</si>
  <si>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</si>
  <si>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</si>
  <si>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</si>
  <si>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</si>
  <si>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</si>
  <si>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</si>
  <si>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</si>
  <si>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</si>
  <si>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</si>
  <si>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</si>
  <si>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</si>
  <si>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</si>
  <si>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</si>
  <si>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</si>
  <si>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</si>
  <si>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</si>
  <si>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</si>
  <si>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</si>
  <si>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</si>
  <si>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</si>
  <si>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</si>
  <si>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</si>
  <si>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</si>
  <si>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</si>
  <si>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</si>
  <si>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</si>
  <si>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</si>
  <si>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</si>
  <si>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</si>
  <si>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</si>
  <si>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</si>
  <si>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</si>
  <si>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</si>
  <si>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</si>
  <si>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</si>
  <si>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</si>
  <si>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</si>
  <si>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</si>
  <si>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</si>
  <si>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</si>
  <si>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</si>
  <si>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</si>
  <si>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</si>
  <si>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</si>
  <si>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</si>
  <si>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</si>
  <si>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</si>
  <si>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</si>
  <si>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</si>
  <si>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</si>
  <si>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</si>
  <si>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</si>
  <si>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</si>
  <si>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</si>
  <si>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</si>
  <si>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</si>
  <si>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</si>
  <si>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</si>
  <si>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</si>
  <si>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</si>
  <si>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</si>
  <si>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</si>
  <si>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</si>
  <si>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</si>
  <si>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</si>
  <si>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</si>
  <si>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</si>
  <si>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</si>
  <si>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</si>
  <si>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</si>
  <si>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</si>
  <si>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</si>
  <si>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</si>
  <si>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</si>
  <si>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</si>
  <si>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</si>
  <si>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</si>
  <si>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</si>
  <si>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</si>
  <si>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</si>
  <si>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</si>
  <si>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</si>
  <si>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</si>
  <si>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</si>
  <si>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</si>
  <si>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</si>
  <si>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</si>
  <si>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</si>
  <si>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</si>
  <si>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</si>
  <si>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</si>
  <si>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</si>
  <si>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</si>
  <si>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</si>
  <si>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</si>
  <si>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</si>
  <si>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</si>
  <si>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</si>
  <si>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</si>
  <si>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</si>
  <si>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</si>
  <si>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</si>
  <si>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</si>
  <si>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</si>
  <si>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</si>
  <si>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</si>
  <si>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</si>
  <si>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</si>
  <si>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</si>
  <si>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</si>
  <si>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</si>
  <si>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</si>
  <si>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</si>
  <si>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</si>
  <si>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</si>
  <si>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</si>
  <si>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</si>
  <si>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</si>
  <si>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</si>
  <si>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</si>
  <si>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</si>
  <si>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</si>
  <si>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</si>
  <si>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</si>
  <si>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</si>
  <si>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</si>
  <si>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</si>
  <si>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</si>
  <si>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</si>
  <si>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</si>
  <si>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</si>
  <si>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</si>
  <si>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</si>
  <si>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</si>
  <si>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</si>
  <si>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</si>
  <si>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</si>
  <si>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</si>
  <si>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</si>
  <si>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</si>
  <si>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</si>
  <si>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</si>
  <si>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</si>
  <si>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</si>
  <si>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</si>
  <si>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</si>
  <si>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</si>
  <si>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</si>
  <si>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</si>
  <si>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</si>
  <si>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</si>
  <si>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</si>
  <si>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</si>
  <si>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</si>
  <si>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</si>
  <si>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</si>
  <si>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</si>
  <si>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</si>
  <si>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</si>
  <si>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</si>
  <si>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</si>
  <si>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</si>
  <si>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</si>
  <si>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</si>
  <si>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</si>
  <si>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</si>
  <si>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</si>
  <si>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</si>
  <si>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</si>
  <si>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</si>
  <si>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</si>
  <si>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</si>
  <si>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</si>
  <si>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</si>
  <si>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</si>
  <si>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</si>
  <si>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</si>
  <si>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</si>
  <si>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</si>
  <si>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</si>
  <si>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</si>
  <si>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</si>
  <si>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</si>
  <si>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</si>
  <si>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</si>
  <si>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</si>
  <si>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</si>
  <si>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</si>
  <si>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</si>
  <si>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</si>
  <si>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</si>
  <si>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</si>
  <si>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</si>
  <si>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</si>
  <si>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</si>
  <si>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</si>
  <si>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</si>
  <si>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</si>
  <si>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</si>
  <si>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</si>
  <si>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</si>
  <si>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</si>
  <si>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</si>
  <si>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</si>
  <si>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</si>
  <si>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</si>
  <si>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</si>
  <si>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</si>
  <si>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</si>
  <si>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</si>
  <si>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</si>
  <si>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</si>
  <si>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</si>
  <si>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</si>
  <si>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</si>
  <si>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</si>
  <si>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</si>
  <si>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</si>
  <si>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</si>
  <si>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</si>
  <si>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</si>
  <si>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</si>
  <si>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</si>
  <si>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</si>
  <si>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</si>
  <si>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</si>
  <si>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</si>
  <si>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</si>
  <si>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</si>
  <si>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</si>
  <si>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</si>
  <si>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</si>
  <si>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</si>
  <si>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</si>
  <si>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</si>
  <si>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</si>
  <si>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</si>
  <si>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</si>
  <si>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</si>
  <si>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</si>
  <si>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</si>
  <si>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</si>
  <si>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</si>
  <si>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</si>
  <si>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</si>
  <si>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</si>
  <si>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</si>
  <si>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</si>
  <si>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</si>
  <si>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</si>
  <si>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</si>
  <si>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</si>
  <si>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</si>
  <si>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</si>
  <si>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</si>
  <si>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</si>
  <si>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</si>
  <si>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</si>
  <si>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</si>
  <si>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</si>
  <si>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</si>
  <si>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</si>
  <si>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</si>
  <si>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</si>
  <si>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</si>
  <si>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</si>
  <si>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</si>
  <si>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</si>
  <si>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</si>
  <si>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</si>
  <si>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</si>
  <si>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</si>
  <si>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</si>
  <si>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</si>
  <si>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</si>
  <si>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</si>
  <si>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</si>
  <si>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</si>
  <si>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</si>
  <si>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</si>
  <si>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</si>
  <si>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</si>
  <si>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</si>
  <si>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</si>
  <si>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</si>
  <si>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</si>
  <si>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</si>
  <si>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</si>
  <si>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</si>
  <si>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</si>
  <si>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</si>
  <si>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</si>
  <si>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</si>
  <si>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</si>
  <si>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</si>
  <si>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</si>
  <si>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</si>
  <si>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</si>
  <si>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</si>
  <si>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</si>
  <si>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</si>
  <si>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</si>
  <si>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</si>
  <si>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</si>
  <si>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</si>
  <si>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</si>
  <si>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</si>
  <si>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</si>
  <si>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</si>
  <si>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</si>
  <si>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</si>
  <si>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</si>
  <si>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</si>
  <si>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</si>
  <si>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</si>
  <si>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</si>
  <si>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</si>
  <si>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</si>
  <si>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</si>
  <si>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</si>
  <si>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</si>
  <si>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</si>
  <si>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</si>
  <si>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</si>
  <si>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</si>
  <si>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</si>
  <si>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</si>
  <si>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</si>
  <si>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</si>
  <si>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</si>
  <si>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</si>
  <si>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</si>
  <si>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</si>
  <si>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</si>
  <si>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</si>
  <si>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</si>
  <si>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</si>
  <si>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</si>
  <si>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</si>
  <si>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</si>
  <si>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</si>
  <si>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</si>
  <si>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</si>
  <si>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</si>
  <si>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</si>
  <si>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</si>
  <si>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</si>
  <si>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</si>
  <si>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</si>
  <si>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</si>
  <si>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</si>
  <si>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</si>
  <si>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</si>
  <si>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</si>
  <si>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</si>
  <si>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</si>
  <si>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</si>
  <si>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</si>
  <si>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</si>
  <si>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</si>
  <si>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</si>
  <si>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</si>
  <si>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</si>
  <si>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</si>
  <si>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</si>
  <si>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</si>
  <si>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</si>
  <si>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</si>
  <si>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</si>
  <si>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</si>
  <si>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</si>
  <si>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</si>
  <si>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</si>
  <si>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</si>
  <si>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</si>
  <si>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</si>
  <si>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</si>
  <si>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</si>
  <si>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</si>
  <si>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</si>
  <si>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</si>
  <si>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</si>
  <si>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</si>
  <si>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</si>
  <si>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</si>
  <si>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</si>
  <si>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</si>
  <si>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</si>
  <si>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</si>
  <si>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</si>
  <si>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</si>
  <si>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</si>
  <si>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</si>
  <si>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</si>
  <si>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</si>
  <si>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</si>
  <si>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</si>
  <si>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</si>
  <si>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</si>
  <si>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</si>
  <si>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</si>
  <si>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</si>
  <si>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</si>
  <si>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</si>
  <si>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</si>
  <si>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</si>
  <si>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</si>
  <si>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</si>
  <si>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</si>
  <si>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</si>
  <si>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</si>
  <si>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</si>
  <si>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</si>
  <si>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</si>
  <si>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</si>
  <si>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</si>
  <si>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</si>
  <si>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</si>
  <si>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</si>
  <si>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</si>
  <si>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</si>
  <si>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</si>
  <si>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</si>
  <si>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</si>
  <si>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</si>
  <si>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</si>
  <si>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</si>
  <si>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</si>
  <si>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</si>
  <si>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</si>
  <si>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</si>
  <si>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</si>
  <si>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</si>
  <si>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</si>
  <si>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</si>
  <si>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</si>
  <si>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</si>
  <si>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</si>
  <si>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</si>
  <si>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</si>
  <si>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</si>
  <si>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</si>
  <si>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</si>
  <si>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</si>
  <si>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</si>
  <si>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</si>
  <si>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</si>
  <si>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</si>
  <si>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</si>
  <si>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</si>
  <si>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</si>
  <si>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</si>
  <si>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</si>
  <si>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</si>
  <si>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</si>
  <si>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</si>
  <si>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</si>
  <si>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</si>
  <si>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</si>
  <si>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</si>
  <si>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</si>
  <si>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</si>
  <si>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</si>
  <si>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</si>
  <si>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</si>
  <si>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</si>
  <si>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</si>
  <si>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</si>
  <si>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</si>
  <si>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</si>
  <si>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</si>
  <si>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</si>
  <si>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</si>
  <si>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</si>
  <si>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</si>
  <si>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</si>
  <si>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</si>
  <si>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</si>
  <si>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</si>
  <si>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</si>
  <si>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</si>
  <si>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</si>
  <si>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</si>
  <si>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</si>
  <si>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</si>
  <si>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</si>
  <si>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</si>
  <si>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</si>
  <si>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</si>
  <si>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</si>
  <si>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</si>
  <si>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</si>
  <si>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</si>
  <si>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</si>
  <si>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</si>
  <si>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</si>
  <si>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</si>
  <si>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</si>
  <si>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</si>
  <si>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</si>
  <si>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</si>
  <si>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</si>
  <si>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</si>
  <si>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</si>
  <si>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</si>
  <si>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</si>
  <si>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</si>
  <si>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</si>
  <si>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</si>
  <si>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</si>
  <si>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</si>
  <si>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</si>
  <si>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</si>
  <si>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</si>
  <si>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</si>
  <si>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</si>
  <si>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</si>
  <si>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</si>
  <si>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</si>
  <si>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</si>
  <si>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</si>
  <si>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</si>
  <si>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</si>
  <si>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</si>
  <si>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</si>
  <si>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</si>
  <si>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</si>
  <si>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</si>
  <si>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</si>
  <si>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</si>
  <si>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</si>
  <si>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</si>
  <si>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</si>
  <si>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</si>
  <si>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</si>
  <si>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</si>
  <si>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</si>
  <si>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</si>
  <si>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</si>
  <si>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</si>
  <si>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</si>
  <si>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</si>
  <si>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</si>
  <si>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</si>
  <si>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</si>
  <si>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</si>
  <si>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</si>
  <si>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</si>
  <si>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</si>
  <si>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</si>
  <si>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</si>
  <si>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</si>
  <si>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</si>
  <si>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</si>
  <si>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</si>
  <si>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</si>
  <si>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</si>
  <si>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</si>
  <si>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</si>
  <si>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</si>
  <si>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</si>
  <si>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</si>
  <si>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</si>
  <si>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</si>
  <si>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</si>
  <si>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</si>
  <si>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</si>
  <si>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</si>
  <si>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</si>
  <si>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</si>
  <si>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</si>
  <si>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</si>
  <si>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</si>
  <si>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</si>
  <si>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</si>
  <si>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</si>
  <si>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</si>
  <si>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</si>
  <si>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</si>
  <si>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</si>
  <si>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</si>
  <si>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</si>
  <si>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</si>
  <si>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</si>
  <si>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</si>
  <si>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</si>
  <si>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</si>
  <si>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</si>
  <si>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</si>
  <si>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</si>
  <si>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</si>
  <si>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</si>
  <si>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</si>
  <si>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</si>
  <si>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</si>
  <si>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</si>
  <si>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</si>
  <si>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</si>
  <si>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</si>
  <si>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</si>
  <si>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</si>
  <si>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</si>
  <si>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</si>
  <si>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</si>
  <si>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</si>
  <si>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</si>
  <si>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</si>
  <si>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</si>
  <si>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</si>
  <si>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</si>
  <si>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</si>
  <si>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</si>
  <si>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</si>
  <si>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</si>
  <si>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</si>
  <si>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</si>
  <si>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</si>
  <si>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</si>
  <si>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</si>
  <si>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</si>
  <si>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</si>
  <si>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</si>
  <si>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</si>
  <si>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</si>
  <si>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</si>
  <si>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</si>
  <si>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</si>
  <si>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</si>
  <si>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</si>
  <si>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</si>
  <si>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</si>
  <si>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</si>
  <si>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</si>
  <si>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</si>
  <si>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</si>
  <si>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</si>
  <si>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</si>
  <si>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</si>
  <si>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</si>
  <si>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</si>
  <si>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</si>
  <si>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</si>
  <si>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</si>
  <si>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</si>
  <si>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</si>
  <si>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</si>
  <si>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</si>
  <si>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</si>
  <si>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</si>
  <si>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</si>
  <si>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</si>
  <si>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</si>
  <si>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</si>
  <si>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</si>
  <si>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</si>
  <si>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</si>
  <si>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</si>
  <si>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</si>
  <si>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</si>
  <si>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</si>
  <si>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</si>
  <si>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</si>
  <si>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</si>
  <si>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</si>
  <si>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</si>
  <si>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</si>
  <si>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</si>
  <si>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</si>
  <si>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</si>
  <si>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</si>
  <si>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</si>
  <si>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</si>
  <si>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</si>
  <si>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</si>
  <si>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</si>
  <si>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</si>
  <si>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</si>
  <si>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</si>
  <si>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</si>
  <si>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</si>
  <si>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</si>
  <si>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</si>
  <si>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</si>
  <si>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</si>
  <si>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</si>
  <si>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</si>
  <si>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</si>
  <si>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</si>
  <si>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</si>
  <si>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</si>
  <si>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</si>
  <si>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</si>
  <si>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</si>
  <si>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</si>
  <si>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</si>
  <si>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</si>
  <si>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</si>
  <si>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</si>
  <si>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</si>
  <si>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</si>
  <si>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</si>
  <si>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</si>
  <si>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</si>
  <si>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</si>
  <si>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</si>
  <si>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</si>
  <si>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</si>
  <si>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</si>
  <si>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</si>
  <si>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</si>
  <si>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</si>
  <si>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</si>
  <si>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</si>
  <si>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</si>
  <si>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</si>
  <si>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</si>
  <si>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</si>
  <si>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</si>
  <si>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</si>
  <si>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</si>
  <si>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</si>
  <si>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</si>
  <si>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</si>
  <si>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</si>
  <si>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</si>
  <si>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</si>
  <si>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</si>
  <si>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</si>
  <si>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</si>
  <si>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</si>
  <si>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</si>
  <si>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</si>
  <si>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</si>
  <si>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</si>
  <si>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</si>
  <si>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</si>
  <si>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</si>
  <si>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</si>
  <si>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</si>
  <si>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</si>
  <si>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</si>
  <si>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</si>
  <si>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</si>
  <si>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</si>
  <si>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</si>
  <si>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</si>
  <si>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</si>
  <si>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</si>
  <si>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</si>
  <si>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</si>
  <si>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</si>
  <si>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</si>
  <si>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</si>
  <si>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</si>
  <si>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</si>
  <si>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</si>
  <si>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</si>
  <si>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</si>
  <si>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</si>
  <si>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</si>
  <si>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</si>
  <si>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</si>
  <si>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</si>
  <si>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</si>
  <si>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</si>
  <si>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</si>
  <si>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</si>
  <si>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</si>
  <si>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</si>
  <si>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</si>
  <si>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</si>
  <si>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</si>
  <si>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</si>
  <si>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</si>
  <si>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</si>
  <si>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</si>
  <si>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</si>
  <si>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</si>
  <si>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</si>
  <si>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</si>
  <si>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</si>
  <si>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</si>
  <si>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</si>
  <si>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</si>
  <si>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</si>
  <si>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</si>
  <si>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</si>
  <si>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</si>
  <si>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</si>
  <si>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</si>
  <si>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</si>
  <si>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</si>
  <si>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</si>
  <si>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</si>
  <si>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</si>
  <si>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</si>
  <si>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</si>
  <si>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</si>
  <si>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</si>
  <si>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</si>
  <si>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</si>
  <si>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</si>
  <si>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</si>
  <si>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</si>
  <si>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</si>
  <si>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</si>
  <si>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</si>
  <si>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</si>
  <si>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</si>
  <si>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</si>
  <si>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</si>
  <si>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</si>
  <si>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</si>
  <si>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</si>
  <si>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</si>
  <si>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</si>
  <si>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</si>
  <si>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</si>
  <si>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</si>
  <si>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</si>
  <si>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</si>
  <si>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</si>
  <si>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</si>
  <si>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</si>
  <si>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</si>
  <si>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</si>
  <si>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</si>
  <si>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</si>
  <si>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</si>
  <si>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</si>
  <si>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</si>
  <si>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</si>
  <si>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</si>
  <si>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</si>
  <si>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</si>
  <si>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</si>
  <si>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</si>
  <si>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</si>
  <si>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</si>
  <si>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</si>
  <si>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</si>
  <si>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</si>
  <si>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</si>
  <si>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</si>
  <si>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</si>
  <si>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</si>
  <si>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</si>
  <si>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</si>
  <si>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</si>
  <si>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</si>
  <si>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</si>
  <si>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</si>
  <si>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</si>
  <si>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</si>
  <si>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</si>
  <si>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</si>
  <si>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</si>
  <si>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</si>
  <si>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</si>
  <si>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</si>
  <si>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</si>
  <si>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</si>
  <si>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</si>
  <si>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</si>
  <si>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</si>
  <si>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</si>
  <si>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</si>
  <si>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</si>
  <si>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</si>
  <si>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</si>
  <si>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</si>
  <si>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</si>
  <si>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</si>
  <si>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</si>
  <si>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</si>
  <si>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</si>
  <si>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</si>
  <si>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</si>
  <si>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</si>
  <si>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</si>
  <si>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</si>
  <si>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</si>
  <si>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</si>
  <si>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</si>
  <si>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</si>
  <si>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</si>
  <si>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</si>
  <si>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</si>
  <si>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</si>
  <si>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</si>
  <si>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</si>
  <si>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</si>
  <si>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</si>
  <si>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</si>
  <si>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</si>
  <si>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</si>
  <si>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</si>
  <si>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</si>
  <si>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</si>
  <si>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</si>
  <si>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</si>
  <si>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</si>
  <si>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</si>
  <si>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</si>
  <si>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</si>
  <si>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</si>
  <si>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</si>
  <si>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</si>
  <si>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</si>
  <si>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</si>
  <si>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</si>
  <si>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</si>
  <si>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</si>
  <si>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</si>
  <si>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</si>
  <si>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</si>
  <si>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</si>
  <si>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</si>
  <si>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</si>
  <si>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</si>
  <si>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</si>
  <si>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</si>
  <si>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</si>
  <si>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</si>
  <si>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</si>
  <si>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</si>
  <si>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</si>
  <si>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</si>
  <si>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</si>
  <si>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</si>
  <si>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</si>
  <si>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</si>
  <si>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</si>
  <si>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</si>
  <si>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</si>
  <si>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</si>
  <si>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</si>
  <si>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</si>
  <si>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</si>
  <si>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</si>
  <si>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</si>
  <si>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</si>
  <si>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</si>
  <si>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</si>
  <si>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</si>
  <si>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</si>
  <si>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</si>
  <si>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</si>
  <si>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</si>
  <si>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</si>
  <si>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</si>
  <si>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</si>
  <si>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</si>
  <si>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</si>
  <si>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</si>
  <si>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</si>
  <si>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</si>
  <si>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</si>
  <si>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</si>
  <si>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</si>
  <si>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</si>
  <si>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</si>
  <si>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</si>
  <si>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</si>
  <si>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</si>
  <si>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</si>
  <si>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</si>
  <si>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</si>
  <si>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</si>
  <si>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</si>
  <si>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</si>
  <si>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</si>
  <si>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</si>
  <si>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</si>
  <si>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</si>
  <si>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</si>
  <si>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</si>
  <si>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</si>
  <si>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</si>
  <si>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</si>
  <si>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</si>
  <si>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</si>
  <si>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</si>
  <si>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</si>
  <si>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</si>
  <si>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</si>
  <si>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</si>
  <si>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</si>
  <si>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</si>
  <si>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</si>
  <si>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</si>
  <si>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</si>
  <si>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</si>
  <si>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</si>
  <si>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</si>
  <si>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</si>
  <si>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</si>
  <si>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</si>
  <si>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</si>
  <si>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</si>
  <si>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</si>
  <si>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</si>
  <si>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</si>
  <si>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</si>
  <si>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</si>
  <si>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</si>
  <si>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</si>
  <si>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</si>
  <si>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</si>
  <si>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</si>
  <si>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</si>
  <si>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</si>
  <si>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</si>
  <si>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</si>
  <si>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</si>
  <si>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</si>
  <si>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</si>
  <si>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</si>
  <si>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</si>
  <si>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</si>
  <si>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</si>
  <si>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</si>
  <si>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</si>
  <si>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</si>
  <si>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</si>
  <si>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</si>
  <si>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</si>
  <si>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</si>
  <si>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</si>
  <si>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</si>
  <si>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</si>
  <si>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</si>
  <si>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</si>
  <si>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</si>
  <si>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</si>
  <si>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</si>
  <si>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</si>
  <si>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</si>
  <si>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</si>
  <si>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</si>
  <si>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</si>
  <si>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</si>
  <si>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</si>
  <si>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</si>
  <si>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</si>
  <si>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</si>
  <si>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</si>
  <si>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</si>
  <si>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</si>
  <si>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</si>
  <si>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</si>
  <si>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</si>
  <si>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</si>
  <si>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</si>
  <si>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</si>
  <si>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</si>
  <si>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</si>
  <si>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</si>
  <si>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</si>
  <si>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</si>
  <si>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</si>
  <si>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</si>
  <si>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</si>
  <si>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</si>
  <si>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</si>
  <si>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</si>
  <si>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</si>
  <si>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</si>
  <si>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</si>
  <si>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</si>
  <si>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</si>
  <si>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</si>
  <si>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</si>
  <si>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</si>
  <si>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</si>
  <si>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</si>
  <si>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</si>
  <si>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</si>
  <si>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</si>
  <si>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</si>
  <si>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</si>
  <si>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</si>
  <si>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</si>
  <si>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</si>
  <si>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</si>
  <si>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</si>
  <si>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</si>
  <si>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</si>
  <si>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</si>
  <si>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</si>
  <si>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</si>
  <si>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</si>
  <si>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</si>
  <si>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</si>
  <si>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</si>
  <si>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</si>
  <si>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</si>
  <si>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</si>
  <si>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</si>
  <si>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</si>
  <si>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</si>
  <si>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</si>
  <si>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</si>
  <si>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</si>
  <si>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</si>
  <si>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</si>
  <si>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</si>
  <si>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</si>
  <si>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</si>
  <si>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</si>
  <si>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</si>
  <si>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</si>
  <si>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</si>
  <si>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</si>
  <si>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</si>
  <si>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</si>
  <si>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</si>
  <si>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</si>
  <si>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</si>
  <si>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</si>
  <si>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</si>
  <si>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</si>
  <si>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</si>
  <si>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</si>
  <si>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</si>
  <si>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</si>
  <si>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</si>
  <si>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</si>
  <si>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</si>
  <si>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</si>
  <si>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</si>
  <si>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</si>
  <si>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</si>
  <si>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</si>
  <si>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</si>
  <si>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</si>
  <si>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</si>
  <si>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</si>
  <si>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</si>
  <si>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</si>
  <si>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</si>
  <si>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</si>
  <si>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</si>
  <si>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</si>
  <si>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</si>
  <si>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</si>
  <si>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</si>
  <si>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</si>
  <si>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</si>
  <si>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</si>
  <si>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</si>
  <si>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</si>
  <si>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</si>
  <si>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</si>
  <si>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</si>
  <si>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</si>
  <si>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</si>
  <si>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</si>
  <si>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</si>
  <si>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</si>
  <si>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</si>
  <si>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</si>
  <si>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</si>
  <si>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</si>
  <si>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</si>
  <si>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</si>
  <si>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</si>
  <si>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</si>
  <si>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</si>
  <si>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</si>
  <si>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</si>
  <si>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</si>
  <si>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</si>
  <si>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</si>
  <si>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</si>
  <si>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</si>
  <si>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</si>
  <si>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</si>
  <si>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</si>
  <si>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</si>
  <si>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</si>
  <si>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</si>
  <si>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</si>
  <si>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</si>
  <si>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</si>
  <si>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</si>
  <si>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</si>
  <si>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</si>
  <si>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</si>
  <si>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</si>
  <si>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</si>
  <si>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</si>
  <si>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</si>
  <si>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</si>
  <si>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</si>
  <si>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</si>
  <si>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</si>
  <si>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</si>
  <si>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</si>
  <si>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</si>
  <si>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</si>
  <si>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</si>
  <si>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</si>
  <si>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</si>
  <si>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</si>
  <si>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</si>
  <si>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</si>
  <si>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</si>
  <si>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</si>
  <si>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</si>
  <si>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</si>
  <si>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</si>
  <si>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</si>
  <si>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</si>
  <si>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</si>
  <si>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</si>
  <si>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</si>
  <si>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</si>
  <si>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</si>
  <si>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</si>
  <si>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</si>
  <si>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</si>
  <si>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</si>
  <si>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</si>
  <si>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</si>
  <si>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</si>
  <si>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</si>
  <si>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</si>
  <si>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</si>
  <si>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</si>
  <si>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</si>
  <si>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</si>
  <si>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</si>
  <si>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</si>
  <si>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</si>
  <si>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</si>
  <si>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</si>
  <si>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</si>
  <si>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</si>
  <si>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</si>
  <si>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</si>
  <si>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</si>
  <si>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</si>
  <si>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</si>
  <si>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</si>
  <si>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</si>
  <si>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</si>
  <si>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</si>
  <si>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</si>
  <si>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</si>
  <si>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</si>
  <si>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</si>
  <si>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</si>
  <si>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</si>
  <si>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</si>
  <si>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</si>
  <si>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</si>
  <si>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</si>
  <si>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</si>
  <si>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</si>
  <si>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</si>
  <si>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</si>
  <si>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</si>
  <si>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</si>
  <si>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</si>
  <si>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</si>
  <si>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</si>
  <si>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</si>
  <si>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</si>
  <si>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</si>
  <si>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</si>
  <si>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</si>
  <si>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</si>
  <si>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</si>
  <si>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</si>
  <si>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</si>
  <si>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</si>
  <si>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</si>
  <si>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</si>
  <si>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</si>
  <si>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</si>
  <si>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</si>
  <si>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</si>
  <si>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</si>
  <si>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</si>
  <si>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</si>
  <si>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</si>
  <si>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</si>
  <si>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</si>
  <si>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</si>
  <si>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</si>
  <si>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</si>
  <si>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</si>
  <si>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</si>
  <si>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</si>
  <si>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</si>
  <si>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</si>
  <si>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</si>
  <si>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</si>
  <si>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</si>
  <si>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</si>
  <si>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</si>
  <si>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</si>
  <si>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</si>
  <si>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</si>
  <si>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</si>
  <si>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</si>
  <si>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</si>
  <si>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</si>
  <si>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</si>
  <si>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</si>
  <si>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</si>
  <si>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</si>
  <si>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</si>
  <si>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</si>
  <si>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</si>
  <si>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</si>
  <si>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</si>
  <si>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</si>
  <si>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</si>
  <si>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</si>
  <si>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</si>
  <si>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</si>
  <si>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</si>
  <si>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</si>
  <si>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</si>
  <si>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</si>
  <si>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</si>
  <si>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</si>
  <si>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</si>
  <si>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</si>
  <si>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</si>
  <si>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</si>
  <si>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</si>
  <si>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</si>
  <si>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</si>
  <si>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</si>
  <si>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</si>
  <si>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</si>
  <si>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</si>
  <si>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</si>
  <si>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</si>
  <si>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</si>
  <si>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</si>
  <si>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</si>
  <si>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</si>
  <si>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</si>
  <si>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</si>
  <si>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</si>
  <si>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</si>
  <si>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</si>
  <si>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</si>
  <si>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</si>
  <si>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</si>
  <si>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</si>
  <si>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</si>
  <si>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</si>
  <si>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</si>
  <si>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</si>
  <si>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</si>
  <si>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</si>
  <si>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</si>
  <si>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</si>
  <si>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</si>
  <si>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</si>
  <si>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</si>
  <si>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</si>
  <si>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</si>
  <si>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</si>
  <si>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</si>
  <si>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</si>
  <si>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</si>
  <si>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</si>
  <si>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</si>
  <si>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</si>
  <si>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</si>
  <si>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</si>
  <si>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</si>
  <si>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</si>
  <si>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</si>
  <si>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</si>
  <si>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</si>
  <si>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</si>
  <si>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</si>
  <si>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</si>
  <si>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</si>
  <si>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</si>
  <si>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</si>
  <si>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</si>
  <si>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</si>
  <si>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</si>
  <si>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</si>
  <si>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</si>
  <si>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</si>
  <si>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</si>
  <si>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</si>
  <si>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</si>
  <si>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</si>
  <si>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</si>
  <si>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</si>
  <si>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</si>
  <si>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</si>
  <si>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</si>
  <si>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</si>
  <si>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</si>
  <si>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</si>
  <si>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</si>
  <si>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</si>
  <si>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</si>
  <si>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</si>
  <si>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</si>
  <si>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</si>
  <si>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</si>
  <si>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</si>
  <si>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</si>
  <si>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</si>
  <si>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</si>
  <si>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</si>
  <si>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</si>
  <si>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</si>
  <si>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</si>
  <si>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</si>
  <si>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</si>
  <si>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</si>
  <si>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</si>
  <si>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</si>
  <si>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</si>
  <si>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</si>
  <si>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</si>
  <si>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</si>
  <si>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</si>
  <si>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</si>
  <si>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</si>
  <si>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</si>
  <si>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</si>
  <si>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</si>
  <si>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</si>
  <si>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</si>
  <si>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</si>
  <si>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</si>
  <si>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</si>
  <si>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</si>
  <si>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</si>
  <si>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</si>
  <si>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</si>
  <si>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</si>
  <si>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</si>
  <si>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</si>
  <si>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</si>
  <si>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</si>
  <si>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</si>
  <si>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</si>
  <si>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</si>
  <si>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</si>
  <si>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</si>
  <si>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</si>
  <si>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</si>
  <si>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</si>
  <si>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</si>
  <si>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</si>
  <si>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</si>
  <si>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</si>
  <si>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</si>
  <si>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</si>
  <si>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</si>
  <si>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</si>
  <si>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</si>
  <si>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</si>
  <si>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</si>
  <si>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</si>
  <si>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</si>
  <si>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</si>
  <si>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</si>
  <si>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</si>
  <si>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</si>
  <si>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</si>
  <si>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</si>
  <si>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</si>
  <si>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</si>
  <si>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</si>
  <si>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</si>
  <si>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</si>
  <si>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</si>
  <si>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</si>
  <si>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</si>
  <si>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</si>
  <si>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</si>
  <si>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</si>
  <si>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</si>
  <si>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</si>
  <si>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</si>
  <si>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</si>
  <si>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</si>
  <si>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</si>
  <si>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</si>
  <si>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</si>
  <si>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</si>
  <si>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</si>
  <si>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</si>
  <si>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</si>
  <si>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</si>
  <si>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</si>
  <si>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</si>
  <si>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</si>
  <si>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</si>
  <si>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</si>
  <si>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</si>
  <si>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</si>
  <si>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</si>
  <si>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</si>
  <si>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</si>
  <si>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</si>
  <si>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</si>
  <si>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</si>
  <si>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</si>
  <si>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</si>
  <si>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</si>
  <si>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</si>
  <si>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</si>
  <si>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</si>
  <si>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</si>
  <si>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</si>
  <si>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</si>
  <si>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</si>
  <si>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</si>
  <si>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</si>
  <si>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</si>
  <si>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</si>
  <si>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</si>
  <si>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</si>
  <si>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</si>
  <si>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</si>
  <si>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</si>
  <si>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</si>
  <si>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</si>
  <si>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</si>
  <si>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</si>
  <si>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</si>
  <si>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</si>
  <si>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</si>
  <si>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</si>
  <si>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</si>
  <si>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</si>
  <si>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</si>
  <si>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</si>
  <si>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</si>
  <si>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</si>
  <si>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</si>
  <si>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</si>
  <si>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</si>
  <si>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</si>
  <si>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</si>
  <si>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</si>
  <si>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</si>
  <si>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</si>
  <si>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</si>
  <si>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</si>
  <si>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</si>
  <si>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</si>
  <si>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</si>
  <si>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</si>
  <si>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</si>
  <si>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</si>
  <si>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</si>
  <si>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</si>
  <si>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</si>
  <si>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</si>
  <si>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</si>
  <si>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</si>
  <si>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</si>
  <si>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</si>
  <si>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</si>
  <si>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</si>
  <si>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</si>
  <si>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</si>
  <si>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</si>
  <si>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</si>
  <si>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</si>
  <si>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</si>
  <si>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</si>
  <si>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</si>
  <si>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</si>
  <si>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</si>
  <si>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</si>
  <si>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</si>
  <si>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</si>
  <si>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</si>
  <si>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</si>
  <si>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</si>
  <si>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</si>
  <si>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</si>
  <si>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</si>
  <si>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</si>
  <si>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</si>
  <si>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</si>
  <si>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</si>
  <si>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</si>
  <si>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</si>
  <si>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</si>
  <si>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</si>
  <si>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</si>
  <si>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</si>
  <si>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</si>
  <si>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</si>
  <si>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</si>
  <si>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</si>
  <si>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</si>
  <si>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</si>
  <si>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</si>
  <si>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</si>
  <si>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</si>
  <si>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</si>
  <si>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</si>
  <si>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</si>
  <si>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</si>
  <si>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</si>
  <si>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</si>
  <si>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</si>
  <si>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</si>
  <si>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</si>
  <si>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</si>
  <si>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</si>
  <si>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</si>
  <si>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</si>
  <si>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</si>
  <si>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</si>
  <si>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</si>
  <si>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</si>
  <si>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</si>
  <si>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</si>
  <si>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</si>
  <si>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</si>
  <si>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</si>
  <si>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</si>
  <si>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</si>
  <si>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</si>
  <si>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</si>
  <si>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</si>
  <si>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</si>
  <si>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</si>
  <si>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</si>
  <si>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</si>
  <si>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</si>
  <si>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</si>
  <si>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</si>
  <si>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</si>
  <si>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</si>
  <si>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</si>
  <si>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</si>
  <si>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</si>
  <si>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</si>
  <si>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</si>
  <si>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</si>
  <si>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</si>
  <si>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</si>
  <si>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</si>
  <si>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</si>
  <si>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</si>
  <si>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</si>
  <si>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</si>
  <si>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</si>
  <si>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</si>
  <si>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</si>
  <si>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</si>
  <si>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</si>
  <si>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</si>
  <si>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</si>
  <si>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</si>
  <si>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</si>
  <si>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</si>
  <si>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</si>
  <si>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</si>
  <si>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</si>
  <si>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</si>
  <si>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</si>
  <si>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</si>
  <si>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</si>
  <si>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</si>
  <si>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</si>
  <si>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</si>
  <si>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</si>
  <si>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</si>
  <si>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</si>
  <si>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</si>
  <si>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</si>
  <si>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</si>
  <si>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</si>
  <si>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</si>
  <si>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</si>
  <si>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</si>
  <si>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</si>
  <si>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</si>
  <si>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</si>
  <si>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</si>
  <si>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</si>
  <si>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</si>
  <si>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</si>
  <si>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</si>
  <si>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</si>
  <si>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</si>
  <si>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</si>
  <si>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</si>
  <si>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</si>
  <si>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</si>
  <si>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</si>
  <si>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</si>
  <si>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</si>
  <si>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</si>
  <si>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</si>
  <si>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</si>
  <si>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</si>
  <si>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</si>
  <si>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</si>
  <si>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</si>
  <si>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</si>
  <si>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</si>
  <si>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</si>
  <si>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</si>
  <si>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</si>
  <si>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</si>
  <si>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</si>
  <si>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</si>
  <si>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</si>
  <si>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</si>
  <si>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</si>
  <si>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</si>
  <si>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</si>
  <si>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</si>
  <si>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</si>
  <si>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</si>
  <si>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</si>
  <si>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</si>
  <si>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</si>
  <si>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</si>
  <si>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</si>
  <si>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</si>
  <si>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</si>
  <si>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</si>
  <si>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</si>
  <si>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</si>
  <si>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</si>
  <si>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</si>
  <si>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</si>
  <si>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</si>
  <si>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</si>
  <si>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</si>
  <si>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</si>
  <si>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</si>
  <si>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</si>
  <si>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</si>
  <si>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</si>
  <si>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</si>
  <si>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</si>
  <si>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</si>
  <si>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</si>
  <si>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</si>
  <si>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</si>
  <si>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</si>
  <si>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</si>
  <si>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</si>
  <si>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</si>
  <si>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</si>
  <si>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</si>
  <si>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</si>
  <si>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</si>
  <si>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</si>
  <si>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</si>
  <si>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</si>
  <si>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</si>
  <si>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</si>
  <si>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</si>
  <si>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</si>
  <si>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</si>
  <si>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</si>
  <si>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</si>
  <si>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</si>
  <si>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</si>
  <si>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</si>
  <si>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</si>
  <si>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</si>
  <si>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</si>
  <si>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</si>
  <si>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</si>
  <si>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</si>
  <si>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</si>
  <si>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</si>
  <si>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</si>
  <si>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</si>
  <si>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</si>
  <si>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</si>
  <si>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</si>
  <si>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</si>
  <si>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</si>
  <si>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</si>
  <si>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</si>
  <si>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</si>
  <si>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</si>
  <si>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</si>
  <si>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</si>
  <si>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</si>
  <si>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</si>
  <si>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</si>
  <si>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</si>
  <si>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</si>
  <si>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</si>
  <si>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</si>
  <si>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</si>
  <si>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</si>
  <si>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</si>
  <si>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</si>
  <si>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</si>
  <si>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</si>
  <si>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</si>
  <si>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</si>
  <si>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</si>
  <si>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</si>
  <si>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</si>
  <si>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</si>
  <si>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</si>
  <si>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</si>
  <si>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</si>
  <si>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</si>
  <si>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</si>
  <si>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</si>
  <si>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</si>
  <si>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</si>
  <si>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</si>
  <si>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</si>
  <si>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</si>
  <si>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</si>
  <si>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</si>
  <si>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</si>
  <si>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</si>
  <si>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</si>
  <si>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</si>
  <si>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</si>
  <si>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</si>
  <si>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</si>
  <si>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</si>
  <si>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</si>
  <si>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</si>
  <si>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</si>
  <si>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</si>
  <si>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</si>
  <si>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</si>
  <si>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</si>
  <si>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</si>
  <si>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</si>
  <si>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</si>
  <si>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</si>
  <si>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</si>
  <si>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</si>
  <si>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</si>
  <si>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</si>
  <si>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</si>
  <si>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</si>
  <si>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</si>
  <si>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</si>
  <si>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</si>
  <si>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</si>
  <si>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</si>
  <si>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</si>
  <si>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</si>
  <si>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</si>
  <si>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</si>
  <si>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</si>
  <si>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</si>
  <si>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</si>
  <si>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</si>
  <si>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</si>
  <si>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</si>
  <si>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</si>
  <si>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</si>
  <si>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</si>
  <si>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</si>
  <si>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</si>
  <si>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</si>
  <si>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</si>
  <si>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</si>
  <si>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</si>
  <si>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</si>
  <si>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</si>
  <si>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</si>
  <si>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</si>
  <si>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</si>
  <si>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</si>
  <si>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</si>
  <si>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</si>
  <si>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</si>
  <si>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</si>
  <si>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</si>
  <si>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</si>
  <si>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</si>
  <si>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</si>
  <si>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</si>
  <si>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</si>
  <si>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</si>
  <si>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</si>
  <si>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</si>
  <si>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</si>
  <si>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</si>
  <si>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</si>
  <si>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</si>
  <si>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</si>
  <si>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</si>
  <si>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</si>
  <si>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</si>
  <si>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</si>
  <si>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</si>
  <si>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</si>
  <si>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</si>
  <si>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</si>
  <si>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</si>
  <si>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</si>
  <si>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</si>
  <si>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</si>
  <si>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</si>
  <si>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</si>
  <si>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</si>
  <si>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</si>
  <si>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</si>
  <si>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</si>
  <si>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</si>
  <si>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</si>
  <si>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</si>
  <si>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</si>
  <si>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</si>
  <si>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</si>
  <si>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</si>
  <si>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</si>
  <si>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</si>
  <si>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</si>
  <si>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</si>
  <si>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</si>
  <si>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</si>
  <si>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</si>
  <si>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</si>
  <si>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</si>
  <si>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</si>
  <si>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</si>
  <si>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</si>
  <si>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</si>
  <si>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</si>
  <si>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</si>
  <si>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</si>
  <si>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</si>
  <si>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</si>
  <si>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</si>
  <si>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</si>
  <si>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</si>
  <si>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</si>
  <si>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</si>
  <si>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</si>
  <si>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</si>
  <si>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</si>
  <si>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</si>
  <si>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</si>
  <si>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</si>
  <si>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</si>
  <si>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</si>
  <si>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</si>
  <si>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</si>
  <si>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</si>
  <si>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</si>
  <si>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</si>
  <si>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</si>
  <si>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</si>
  <si>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</si>
  <si>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</si>
  <si>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</si>
  <si>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</si>
  <si>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</si>
  <si>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</si>
  <si>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</si>
  <si>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</si>
  <si>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</si>
  <si>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</si>
  <si>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</si>
  <si>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</si>
  <si>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</si>
  <si>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</si>
  <si>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</si>
  <si>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</si>
  <si>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</si>
  <si>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</si>
  <si>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</si>
  <si>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</si>
  <si>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</si>
  <si>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</si>
  <si>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</si>
  <si>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</si>
  <si>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</si>
  <si>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</si>
  <si>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</si>
  <si>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</si>
  <si>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</si>
  <si>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</si>
  <si>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</si>
  <si>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</si>
  <si>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</si>
  <si>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</si>
  <si>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</si>
  <si>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</si>
  <si>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</si>
  <si>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</si>
  <si>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</si>
  <si>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</si>
  <si>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</si>
  <si>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</si>
  <si>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</si>
  <si>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</si>
  <si>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</si>
  <si>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</si>
  <si>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</si>
  <si>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</si>
  <si>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</si>
  <si>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</si>
  <si>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</si>
  <si>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</si>
  <si>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</si>
  <si>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</si>
  <si>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</si>
  <si>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</si>
  <si>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</si>
  <si>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</si>
  <si>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</si>
  <si>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</si>
  <si>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</si>
  <si>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</si>
  <si>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</si>
  <si>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</si>
  <si>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</si>
  <si>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</si>
  <si>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</si>
  <si>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</si>
  <si>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</si>
  <si>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</si>
  <si>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</si>
  <si>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</si>
  <si>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</si>
  <si>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</si>
  <si>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</si>
  <si>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</si>
  <si>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</si>
  <si>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</si>
  <si>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</si>
  <si>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</si>
  <si>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</si>
  <si>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</si>
  <si>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</si>
  <si>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</si>
  <si>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</si>
  <si>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</si>
  <si>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</si>
  <si>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</si>
  <si>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</si>
  <si>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</si>
  <si>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</si>
  <si>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</si>
  <si>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</si>
  <si>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</si>
  <si>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</si>
  <si>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</si>
  <si>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</si>
  <si>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</si>
  <si>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</si>
  <si>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</si>
  <si>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</si>
  <si>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</si>
  <si>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</si>
  <si>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</si>
  <si>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</si>
  <si>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</si>
  <si>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</si>
  <si>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</si>
  <si>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</si>
  <si>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</si>
  <si>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</si>
  <si>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</si>
  <si>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</si>
  <si>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</si>
  <si>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</si>
  <si>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</si>
  <si>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</si>
  <si>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</si>
  <si>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</si>
  <si>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</si>
  <si>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</si>
  <si>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</si>
  <si>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</si>
  <si>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</si>
  <si>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</si>
  <si>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</si>
  <si>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</si>
  <si>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</si>
  <si>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</si>
  <si>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</si>
  <si>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</si>
  <si>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</si>
  <si>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</si>
  <si>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</si>
  <si>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</si>
  <si>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</si>
  <si>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</si>
  <si>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</si>
  <si>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</si>
  <si>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</si>
  <si>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</si>
  <si>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</si>
  <si>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</si>
  <si>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</si>
  <si>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</si>
  <si>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</si>
  <si>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</si>
  <si>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</si>
  <si>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</si>
  <si>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</si>
  <si>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</si>
  <si>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</si>
  <si>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</si>
  <si>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</si>
  <si>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</si>
  <si>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</si>
  <si>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</si>
  <si>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</si>
  <si>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</si>
  <si>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</si>
  <si>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</si>
  <si>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</si>
  <si>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</si>
  <si>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</si>
  <si>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</si>
  <si>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</si>
  <si>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</si>
  <si>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</si>
  <si>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</si>
  <si>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</si>
  <si>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</si>
  <si>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</si>
  <si>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</si>
  <si>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</si>
  <si>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</si>
  <si>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</si>
  <si>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</si>
  <si>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</si>
  <si>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</si>
  <si>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</si>
  <si>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</si>
  <si>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</si>
  <si>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</si>
  <si>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</si>
  <si>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</si>
  <si>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</si>
  <si>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</si>
  <si>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</si>
  <si>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</si>
  <si>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</si>
  <si>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</si>
  <si>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</si>
  <si>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</si>
  <si>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</si>
  <si>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</si>
  <si>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</si>
  <si>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</si>
  <si>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</si>
  <si>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</si>
  <si>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</si>
  <si>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</si>
  <si>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</si>
  <si>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</si>
  <si>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</si>
  <si>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</si>
  <si>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</si>
  <si>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</si>
  <si>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</si>
  <si>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</si>
  <si>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</si>
  <si>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</si>
  <si>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</si>
  <si>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</si>
  <si>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</si>
  <si>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</si>
  <si>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</si>
  <si>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</si>
  <si>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</si>
  <si>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</si>
  <si>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</si>
  <si>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</si>
  <si>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</si>
  <si>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</si>
  <si>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</si>
  <si>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</si>
  <si>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</si>
  <si>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</si>
  <si>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</si>
  <si>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</si>
  <si>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</si>
  <si>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</si>
  <si>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</si>
  <si>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</si>
  <si>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</si>
  <si>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</si>
  <si>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</si>
  <si>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</si>
  <si>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</si>
  <si>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</si>
  <si>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</si>
  <si>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</si>
  <si>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</si>
  <si>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</si>
  <si>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</si>
  <si>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</si>
  <si>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</si>
  <si>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</si>
  <si>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</si>
  <si>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</si>
  <si>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</si>
  <si>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</si>
  <si>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</si>
  <si>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</si>
  <si>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</si>
  <si>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</si>
  <si>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</si>
  <si>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</si>
  <si>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</si>
  <si>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</si>
  <si>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</si>
  <si>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</si>
  <si>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</si>
  <si>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</si>
  <si>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</si>
  <si>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</si>
  <si>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</si>
  <si>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</si>
  <si>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</si>
  <si>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</si>
  <si>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</si>
  <si>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</si>
  <si>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</si>
  <si>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</si>
  <si>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</si>
  <si>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</si>
  <si>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</si>
  <si>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</si>
  <si>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</si>
  <si>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</si>
  <si>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</si>
  <si>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</si>
  <si>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</si>
  <si>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</si>
  <si>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</si>
  <si>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</si>
  <si>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</si>
  <si>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</si>
  <si>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</si>
  <si>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</si>
  <si>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</si>
  <si>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</si>
  <si>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</si>
  <si>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</si>
  <si>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</si>
  <si>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</si>
  <si>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</si>
  <si>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</si>
  <si>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</si>
  <si>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</si>
  <si>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</si>
  <si>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</si>
  <si>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</si>
  <si>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</si>
  <si>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</si>
  <si>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</si>
  <si>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</si>
  <si>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</si>
  <si>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</si>
  <si>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</si>
  <si>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</si>
  <si>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</si>
  <si>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</si>
  <si>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</si>
  <si>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</si>
  <si>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</si>
  <si>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</si>
  <si>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</si>
  <si>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</si>
  <si>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</si>
  <si>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</si>
  <si>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</si>
  <si>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</si>
  <si>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</si>
  <si>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</si>
  <si>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</si>
  <si>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</si>
  <si>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</si>
  <si>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</si>
  <si>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</si>
  <si>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</si>
  <si>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</si>
  <si>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</si>
  <si>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</si>
  <si>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</si>
  <si>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</si>
  <si>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</si>
  <si>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</si>
  <si>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</si>
  <si>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</si>
  <si>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</si>
  <si>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</si>
  <si>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</si>
  <si>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</si>
  <si>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</si>
  <si>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</si>
  <si>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</si>
  <si>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</si>
  <si>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</si>
  <si>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</si>
  <si>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</si>
  <si>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</si>
  <si>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</si>
  <si>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</si>
  <si>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</si>
  <si>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</si>
  <si>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</si>
  <si>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</si>
  <si>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</si>
  <si>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</si>
  <si>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</si>
  <si>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</si>
  <si>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</si>
  <si>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</si>
  <si>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</si>
  <si>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</si>
  <si>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</si>
  <si>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</si>
  <si>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</si>
  <si>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</si>
  <si>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</si>
  <si>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</si>
  <si>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</si>
  <si>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</si>
  <si>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</si>
  <si>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</si>
  <si>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</si>
  <si>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</si>
  <si>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</si>
  <si>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</si>
  <si>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</si>
  <si>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</si>
  <si>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</si>
  <si>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</si>
  <si>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</si>
  <si>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</si>
  <si>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</si>
  <si>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</si>
  <si>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</si>
  <si>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</si>
  <si>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</si>
  <si>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</si>
  <si>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</si>
  <si>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</si>
  <si>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</si>
  <si>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</si>
  <si>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</si>
  <si>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</si>
  <si>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</si>
  <si>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</si>
  <si>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</si>
  <si>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</si>
  <si>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</si>
  <si>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</si>
  <si>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</si>
  <si>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</si>
  <si>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</si>
  <si>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</si>
  <si>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</si>
  <si>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</si>
  <si>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</si>
  <si>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</si>
  <si>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</si>
  <si>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</si>
  <si>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</si>
  <si>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</si>
  <si>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</si>
  <si>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</si>
  <si>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</si>
  <si>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</si>
  <si>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</si>
  <si>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</si>
  <si>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</si>
  <si>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</si>
  <si>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</si>
  <si>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</si>
  <si>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</si>
  <si>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</si>
  <si>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</si>
  <si>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</si>
  <si>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</si>
  <si>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</si>
  <si>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</si>
  <si>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</si>
  <si>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</si>
  <si>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</si>
  <si>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</si>
  <si>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</si>
  <si>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</si>
  <si>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</si>
  <si>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</si>
  <si>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</si>
  <si>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</si>
  <si>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</si>
  <si>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</si>
  <si>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</si>
  <si>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</si>
  <si>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</si>
  <si>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</si>
  <si>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</si>
  <si>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</si>
  <si>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</si>
  <si>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</si>
  <si>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</si>
  <si>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</si>
  <si>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</si>
  <si>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</si>
  <si>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</si>
  <si>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</si>
  <si>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</si>
  <si>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</si>
  <si>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</si>
  <si>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</si>
  <si>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</si>
  <si>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</si>
  <si>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</si>
  <si>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</si>
  <si>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</si>
  <si>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</si>
  <si>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</si>
  <si>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</si>
  <si>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</si>
  <si>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</si>
  <si>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</si>
  <si>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</si>
  <si>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</si>
  <si>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</si>
  <si>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</si>
  <si>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</si>
  <si>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</si>
  <si>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</si>
  <si>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</si>
  <si>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</si>
  <si>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</si>
  <si>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</si>
  <si>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</si>
  <si>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</si>
  <si>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</si>
  <si>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</si>
  <si>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</si>
  <si>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</si>
  <si>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</si>
  <si>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</si>
  <si>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</si>
  <si>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</si>
  <si>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</si>
  <si>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</si>
  <si>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</si>
  <si>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</si>
  <si>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</si>
  <si>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</si>
  <si>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</si>
  <si>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</si>
  <si>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</si>
  <si>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</si>
  <si>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</si>
  <si>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</si>
  <si>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</si>
  <si>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</si>
  <si>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</si>
  <si>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</si>
  <si>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</si>
  <si>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</si>
  <si>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</si>
  <si>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</si>
  <si>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</si>
  <si>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</si>
  <si>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</si>
  <si>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</si>
  <si>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</si>
  <si>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</si>
  <si>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</si>
  <si>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</si>
  <si>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</si>
  <si>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</si>
  <si>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</si>
  <si>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</si>
  <si>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</si>
  <si>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</si>
  <si>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</si>
  <si>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</si>
  <si>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</si>
  <si>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</si>
  <si>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</si>
  <si>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</si>
  <si>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</si>
  <si>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</si>
  <si>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</si>
  <si>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</si>
  <si>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</si>
  <si>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</si>
  <si>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</si>
  <si>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</si>
  <si>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</si>
  <si>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</si>
  <si>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</si>
  <si>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</si>
  <si>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</si>
  <si>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</si>
  <si>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</si>
  <si>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</si>
  <si>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</si>
  <si>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</si>
  <si>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</si>
  <si>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</si>
  <si>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</si>
  <si>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</si>
  <si>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</si>
  <si>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</si>
  <si>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</si>
  <si>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</si>
  <si>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</si>
  <si>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</si>
  <si>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</si>
  <si>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</si>
  <si>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</si>
  <si>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</si>
  <si>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</si>
  <si>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</si>
  <si>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</si>
  <si>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</si>
  <si>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</si>
  <si>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</si>
  <si>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</si>
  <si>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</si>
  <si>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</si>
  <si>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</si>
  <si>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</si>
  <si>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</si>
  <si>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</si>
  <si>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</si>
  <si>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</si>
  <si>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</si>
  <si>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</si>
  <si>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</si>
  <si>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</si>
  <si>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</si>
  <si>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</si>
  <si>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</si>
  <si>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</si>
  <si>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</si>
  <si>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</si>
  <si>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</si>
  <si>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</si>
  <si>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</si>
  <si>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</si>
  <si>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</si>
  <si>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</si>
  <si>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</si>
  <si>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</si>
  <si>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</si>
  <si>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</si>
  <si>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</si>
  <si>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</si>
  <si>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</si>
  <si>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</si>
  <si>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</si>
  <si>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</si>
  <si>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</si>
  <si>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</si>
  <si>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</si>
  <si>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</si>
  <si>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</si>
  <si>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</si>
  <si>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</si>
  <si>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</si>
  <si>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</si>
  <si>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</si>
  <si>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</si>
  <si>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</si>
  <si>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</si>
  <si>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</si>
  <si>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</si>
  <si>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</si>
  <si>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</si>
  <si>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</si>
  <si>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</si>
  <si>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</si>
  <si>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</si>
  <si>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</si>
  <si>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</si>
  <si>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</si>
  <si>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</si>
  <si>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</si>
  <si>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</si>
  <si>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</si>
  <si>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</si>
  <si>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</si>
  <si>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</si>
  <si>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</si>
  <si>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</si>
  <si>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</si>
  <si>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</si>
  <si>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</si>
  <si>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</si>
  <si>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</si>
  <si>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</si>
  <si>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</si>
  <si>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</si>
  <si>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</si>
  <si>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</si>
  <si>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</si>
  <si>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</si>
  <si>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</si>
  <si>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</si>
  <si>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</si>
  <si>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</si>
  <si>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</si>
  <si>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</si>
  <si>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</si>
  <si>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</si>
  <si>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</si>
  <si>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</si>
  <si>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</si>
  <si>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</si>
  <si>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</si>
  <si>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</si>
  <si>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</si>
  <si>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</si>
  <si>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</si>
  <si>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</si>
  <si>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</si>
  <si>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</si>
  <si>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</si>
  <si>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</si>
  <si>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</si>
  <si>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</si>
  <si>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</si>
  <si>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</si>
  <si>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</si>
  <si>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</si>
  <si>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</si>
  <si>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</si>
  <si>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</si>
  <si>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</si>
  <si>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</si>
  <si>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</si>
  <si>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</si>
  <si>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</si>
  <si>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</si>
  <si>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</si>
  <si>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</si>
  <si>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</si>
  <si>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</si>
  <si>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</si>
  <si>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</si>
  <si>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</si>
  <si>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</si>
  <si>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</si>
  <si>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</si>
  <si>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</si>
  <si>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</si>
  <si>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</si>
  <si>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</si>
  <si>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</si>
  <si>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</si>
  <si>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</si>
  <si>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</si>
  <si>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</si>
  <si>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</si>
  <si>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</si>
  <si>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</si>
  <si>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</si>
  <si>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</si>
  <si>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</si>
  <si>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</si>
  <si>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</si>
  <si>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</si>
  <si>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</si>
  <si>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</si>
  <si>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</si>
  <si>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</si>
  <si>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</si>
  <si>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</si>
  <si>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</si>
  <si>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</si>
  <si>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</si>
  <si>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</si>
  <si>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</si>
  <si>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</si>
  <si>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</si>
  <si>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</si>
  <si>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</si>
  <si>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</si>
  <si>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</si>
  <si>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</si>
  <si>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</si>
  <si>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</si>
  <si>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</si>
  <si>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</si>
  <si>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</si>
  <si>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</si>
  <si>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</si>
  <si>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</si>
  <si>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</si>
  <si>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</si>
  <si>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</si>
  <si>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</si>
  <si>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</si>
  <si>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</si>
  <si>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</si>
  <si>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</si>
  <si>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</si>
  <si>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</si>
  <si>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</si>
  <si>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</si>
  <si>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</si>
  <si>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</si>
  <si>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</si>
  <si>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</si>
  <si>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</si>
  <si>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</si>
  <si>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</si>
  <si>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</si>
  <si>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</si>
  <si>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</si>
  <si>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</si>
  <si>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</si>
  <si>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</si>
  <si>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</si>
  <si>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</si>
  <si>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</si>
  <si>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</si>
  <si>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</si>
  <si>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</si>
  <si>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</si>
  <si>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</si>
  <si>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</si>
  <si>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</si>
  <si>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</si>
  <si>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</si>
  <si>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</si>
  <si>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</si>
  <si>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</si>
  <si>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</si>
  <si>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</si>
  <si>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</si>
  <si>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</si>
  <si>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</si>
  <si>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</si>
  <si>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</si>
  <si>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</si>
  <si>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</si>
  <si>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</si>
  <si>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</si>
  <si>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</si>
  <si>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</si>
  <si>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</si>
  <si>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</si>
  <si>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</si>
  <si>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</si>
  <si>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</si>
  <si>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</si>
  <si>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</si>
  <si>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</si>
  <si>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</si>
  <si>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</si>
  <si>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</si>
  <si>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</si>
  <si>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</si>
  <si>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</si>
  <si>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</si>
  <si>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</si>
  <si>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</si>
  <si>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</si>
  <si>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</si>
  <si>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</si>
  <si>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</si>
  <si>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</si>
  <si>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</si>
  <si>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</si>
  <si>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</si>
  <si>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</si>
  <si>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</si>
  <si>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</si>
  <si>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</si>
  <si>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</si>
  <si>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</si>
  <si>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</si>
  <si>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</si>
  <si>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</si>
  <si>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</si>
  <si>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</si>
  <si>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</si>
  <si>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</si>
  <si>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</si>
  <si>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</si>
  <si>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</si>
  <si>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</si>
  <si>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</si>
  <si>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</si>
  <si>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</si>
  <si>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</si>
  <si>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</si>
  <si>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</si>
  <si>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</si>
  <si>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</si>
  <si>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</si>
  <si>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</si>
  <si>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</si>
  <si>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</si>
  <si>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</si>
  <si>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</si>
  <si>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</si>
  <si>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</si>
  <si>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</si>
  <si>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</si>
  <si>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</si>
  <si>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</si>
  <si>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</si>
  <si>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</si>
  <si>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</si>
  <si>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</si>
  <si>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</si>
  <si>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</si>
  <si>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</si>
  <si>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</si>
  <si>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</si>
  <si>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</si>
  <si>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</si>
  <si>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</si>
  <si>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</si>
  <si>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</si>
  <si>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</si>
  <si>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</si>
  <si>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</si>
  <si>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</si>
  <si>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</si>
  <si>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</si>
  <si>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</si>
  <si>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</si>
  <si>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</si>
  <si>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</si>
  <si>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</si>
  <si>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</si>
  <si>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</si>
  <si>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</si>
  <si>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</si>
  <si>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</si>
  <si>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</si>
  <si>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</si>
  <si>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</si>
  <si>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</si>
  <si>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</si>
  <si>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</si>
  <si>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</si>
  <si>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</si>
  <si>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</si>
  <si>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</si>
  <si>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</si>
  <si>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</si>
  <si>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</si>
  <si>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</si>
  <si>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</si>
  <si>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</si>
  <si>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</si>
  <si>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</si>
  <si>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</si>
  <si>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</si>
  <si>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</si>
  <si>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</si>
  <si>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</si>
  <si>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</si>
  <si>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</si>
  <si>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</si>
  <si>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</si>
  <si>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</si>
  <si>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</si>
  <si>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</si>
  <si>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</si>
  <si>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</si>
  <si>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</si>
  <si>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</si>
  <si>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</si>
  <si>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</si>
  <si>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</si>
  <si>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</si>
  <si>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</si>
  <si>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</si>
  <si>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</si>
  <si>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</si>
  <si>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</si>
  <si>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</si>
  <si>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</si>
  <si>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</si>
  <si>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</si>
  <si>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</si>
  <si>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</si>
  <si>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</si>
  <si>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</si>
  <si>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</si>
  <si>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</si>
  <si>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</si>
  <si>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</si>
  <si>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</si>
  <si>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</si>
  <si>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</si>
  <si>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</si>
  <si>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</si>
  <si>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</si>
  <si>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</si>
  <si>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</si>
  <si>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</si>
  <si>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</si>
  <si>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</si>
  <si>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</si>
  <si>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</si>
  <si>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</si>
  <si>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</si>
  <si>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</si>
  <si>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</si>
  <si>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</si>
  <si>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</si>
  <si>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</si>
  <si>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</si>
  <si>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</si>
  <si>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</si>
  <si>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</si>
  <si>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</si>
  <si>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</si>
  <si>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</si>
  <si>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</si>
  <si>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</si>
  <si>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</si>
  <si>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</si>
  <si>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</si>
  <si>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</si>
  <si>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</si>
  <si>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</si>
  <si>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</si>
  <si>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</si>
  <si>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</si>
  <si>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</si>
  <si>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</si>
  <si>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</si>
  <si>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</si>
  <si>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</si>
  <si>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</si>
  <si>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</si>
  <si>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</si>
  <si>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</si>
  <si>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</si>
  <si>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</si>
  <si>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</si>
  <si>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</si>
  <si>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</si>
  <si>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</si>
  <si>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</si>
  <si>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</si>
  <si>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</si>
  <si>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</si>
  <si>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</si>
  <si>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</si>
  <si>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</si>
  <si>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</si>
  <si>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</si>
  <si>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</si>
  <si>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</si>
  <si>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</si>
  <si>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</si>
  <si>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</si>
  <si>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</si>
  <si>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</si>
  <si>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</si>
  <si>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</si>
  <si>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</si>
  <si>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</si>
  <si>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</si>
  <si>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</si>
  <si>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</si>
  <si>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</si>
  <si>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</si>
  <si>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</si>
  <si>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</si>
  <si>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</si>
  <si>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</si>
  <si>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</si>
  <si>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</si>
  <si>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</si>
  <si>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</si>
  <si>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</si>
  <si>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</si>
  <si>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</si>
  <si>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</si>
  <si>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</si>
  <si>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</si>
  <si>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</si>
  <si>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</si>
  <si>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</si>
  <si>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</si>
  <si>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</si>
  <si>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</si>
  <si>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</si>
  <si>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</si>
  <si>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</si>
  <si>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</si>
  <si>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</si>
  <si>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</si>
  <si>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</si>
  <si>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</si>
  <si>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</si>
  <si>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</si>
  <si>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</si>
  <si>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</si>
  <si>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</si>
  <si>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</si>
  <si>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</si>
  <si>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</si>
  <si>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</si>
  <si>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</si>
  <si>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</si>
  <si>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</si>
  <si>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</si>
  <si>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</si>
  <si>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</si>
  <si>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</si>
  <si>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</si>
  <si>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</si>
  <si>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</si>
  <si>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</si>
  <si>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</si>
  <si>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</si>
  <si>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</si>
  <si>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</si>
  <si>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</si>
  <si>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</si>
  <si>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</si>
  <si>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</si>
  <si>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</si>
  <si>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</si>
  <si>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</si>
  <si>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</si>
  <si>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</si>
  <si>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</si>
  <si>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</si>
  <si>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</si>
  <si>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</si>
  <si>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</si>
  <si>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</si>
  <si>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</si>
  <si>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</si>
  <si>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</si>
  <si>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</si>
  <si>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</si>
  <si>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</si>
  <si>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</si>
  <si>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</si>
  <si>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</si>
  <si>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</si>
  <si>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</si>
  <si>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</si>
  <si>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</si>
  <si>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</si>
  <si>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</si>
  <si>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</si>
  <si>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</si>
  <si>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</si>
  <si>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</si>
  <si>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</si>
  <si>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</si>
  <si>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</si>
  <si>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</si>
  <si>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</si>
  <si>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</si>
  <si>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</si>
  <si>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</si>
  <si>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</si>
  <si>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</si>
  <si>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</si>
  <si>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</si>
  <si>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</si>
  <si>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</si>
  <si>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</si>
  <si>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</si>
  <si>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</si>
  <si>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</si>
  <si>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</si>
  <si>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</si>
  <si>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</si>
  <si>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</si>
  <si>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</si>
  <si>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</si>
  <si>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</si>
  <si>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</si>
  <si>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</si>
  <si>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</si>
  <si>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</si>
  <si>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</si>
  <si>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</si>
  <si>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</si>
  <si>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</si>
  <si>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</si>
  <si>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</si>
  <si>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</si>
  <si>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</si>
  <si>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</si>
  <si>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</si>
  <si>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</si>
  <si>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</si>
  <si>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</si>
  <si>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</si>
  <si>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</si>
  <si>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</si>
  <si>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</si>
  <si>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</si>
  <si>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</si>
  <si>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</si>
  <si>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</si>
  <si>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</si>
  <si>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</si>
  <si>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</si>
  <si>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</si>
  <si>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</si>
  <si>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</si>
  <si>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</si>
  <si>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</si>
  <si>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</si>
  <si>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</si>
  <si>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</si>
  <si>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</si>
  <si>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</si>
  <si>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</si>
  <si>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</si>
  <si>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</si>
  <si>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</si>
  <si>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</si>
  <si>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</si>
  <si>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</si>
  <si>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</si>
  <si>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</si>
  <si>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</si>
  <si>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</si>
  <si>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</si>
  <si>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</si>
  <si>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</si>
  <si>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</si>
  <si>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</si>
  <si>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</si>
  <si>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</si>
  <si>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</si>
  <si>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</si>
  <si>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</si>
  <si>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</si>
  <si>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</si>
  <si>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</si>
  <si>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</si>
  <si>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</si>
  <si>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</si>
  <si>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</si>
  <si>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</si>
  <si>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</si>
  <si>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</si>
  <si>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</si>
  <si>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</si>
  <si>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</si>
  <si>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</si>
  <si>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</si>
  <si>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</si>
  <si>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</si>
  <si>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</si>
  <si>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</si>
  <si>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</si>
  <si>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</si>
  <si>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</si>
  <si>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</si>
  <si>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</si>
  <si>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</si>
  <si>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</si>
  <si>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</si>
  <si>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</si>
  <si>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</si>
  <si>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</si>
  <si>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</si>
  <si>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</si>
  <si>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</si>
  <si>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</si>
  <si>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</si>
  <si>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</si>
  <si>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</si>
  <si>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</si>
  <si>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</si>
  <si>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</si>
  <si>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</si>
  <si>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</si>
  <si>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</si>
  <si>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</si>
  <si>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</si>
  <si>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</si>
  <si>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</si>
  <si>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</si>
  <si>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</si>
  <si>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</si>
  <si>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</si>
  <si>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</si>
  <si>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</si>
  <si>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</si>
  <si>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</si>
  <si>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</si>
  <si>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</si>
  <si>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</si>
  <si>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</si>
  <si>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</si>
  <si>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</si>
  <si>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</si>
  <si>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</si>
  <si>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</si>
  <si>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</si>
  <si>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</si>
  <si>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</si>
  <si>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</si>
  <si>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</si>
  <si>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</si>
  <si>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</si>
  <si>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</si>
  <si>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</si>
  <si>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</si>
  <si>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</si>
  <si>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</si>
  <si>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</si>
  <si>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</si>
  <si>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</si>
  <si>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</si>
  <si>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</si>
  <si>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</si>
  <si>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</si>
  <si>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</si>
  <si>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</si>
  <si>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</si>
  <si>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</si>
  <si>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</si>
  <si>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</si>
  <si>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</si>
  <si>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</si>
  <si>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</si>
  <si>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</si>
  <si>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</si>
  <si>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</si>
  <si>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</si>
  <si>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</si>
  <si>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</si>
  <si>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</si>
  <si>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</si>
  <si>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</si>
  <si>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</si>
  <si>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</si>
  <si>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</si>
  <si>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</si>
  <si>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</si>
  <si>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</si>
  <si>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</si>
  <si>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</si>
  <si>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</si>
  <si>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</si>
  <si>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</si>
  <si>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</si>
  <si>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</si>
  <si>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</si>
  <si>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</si>
  <si>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</si>
  <si>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</si>
  <si>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</si>
  <si>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</si>
  <si>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</si>
  <si>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</si>
  <si>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</si>
  <si>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</si>
  <si>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</si>
  <si>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</si>
  <si>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</si>
  <si>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</si>
  <si>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</si>
  <si>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</si>
  <si>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</si>
  <si>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</si>
  <si>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</si>
  <si>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</si>
  <si>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</si>
  <si>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</si>
  <si>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</si>
  <si>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</si>
  <si>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</si>
  <si>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</si>
  <si>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</si>
  <si>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</si>
  <si>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</si>
  <si>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</si>
  <si>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</si>
  <si>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</si>
  <si>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</si>
  <si>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</si>
  <si>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</si>
  <si>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</si>
  <si>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</si>
  <si>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</si>
  <si>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</si>
  <si>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</si>
  <si>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</si>
  <si>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</si>
  <si>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</si>
  <si>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</si>
  <si>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</si>
  <si>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</si>
  <si>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</si>
  <si>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</si>
  <si>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</si>
  <si>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</si>
  <si>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</si>
  <si>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</si>
  <si>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</si>
  <si>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</si>
  <si>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</si>
  <si>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</si>
  <si>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</si>
  <si>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</si>
  <si>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</si>
  <si>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</si>
  <si>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</si>
  <si>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</si>
  <si>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</si>
  <si>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</si>
  <si>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</si>
  <si>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</si>
  <si>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</si>
  <si>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</si>
  <si>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</si>
  <si>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</si>
  <si>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</si>
  <si>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</si>
  <si>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</si>
  <si>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</si>
  <si>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</si>
  <si>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</si>
  <si>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</si>
  <si>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</si>
  <si>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</si>
  <si>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</si>
  <si>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</si>
  <si>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</si>
  <si>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</si>
  <si>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</si>
  <si>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</si>
  <si>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</si>
  <si>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</si>
  <si>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</si>
  <si>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</si>
  <si>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</si>
  <si>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</si>
  <si>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</si>
  <si>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</si>
  <si>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</si>
  <si>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</si>
  <si>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</si>
  <si>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</si>
  <si>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</si>
  <si>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</si>
  <si>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</si>
  <si>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</si>
  <si>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</si>
  <si>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</si>
  <si>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</si>
  <si>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</si>
  <si>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</si>
  <si>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</si>
  <si>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</si>
  <si>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</si>
  <si>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</si>
  <si>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</si>
  <si>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</si>
  <si>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</si>
  <si>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</si>
  <si>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</si>
  <si>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</si>
  <si>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</si>
  <si>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</si>
  <si>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</si>
  <si>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</si>
  <si>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</si>
  <si>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</si>
  <si>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</si>
  <si>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</si>
  <si>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</si>
  <si>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</si>
  <si>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</si>
  <si>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</si>
  <si>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</si>
  <si>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</si>
  <si>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</si>
  <si>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</si>
  <si>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</si>
  <si>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</si>
  <si>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</si>
  <si>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</si>
  <si>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</si>
  <si>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</si>
  <si>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</si>
  <si>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</si>
  <si>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</si>
  <si>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</si>
  <si>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</si>
  <si>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</si>
  <si>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</si>
  <si>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</si>
  <si>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</si>
  <si>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</si>
  <si>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</si>
  <si>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</si>
  <si>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</si>
  <si>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</si>
  <si>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</si>
  <si>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</si>
  <si>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</si>
  <si>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</si>
  <si>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</si>
  <si>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</si>
  <si>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</si>
  <si>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</si>
  <si>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</si>
  <si>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</si>
  <si>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</si>
  <si>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</si>
  <si>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</si>
  <si>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</si>
  <si>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</si>
  <si>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</si>
  <si>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</si>
  <si>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</si>
  <si>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</si>
  <si>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</si>
  <si>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</si>
  <si>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</si>
  <si>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</si>
  <si>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</si>
  <si>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</si>
  <si>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</si>
  <si>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</si>
  <si>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</si>
  <si>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</si>
  <si>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</si>
  <si>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</si>
  <si>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</si>
  <si>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</si>
  <si>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</si>
  <si>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</si>
  <si>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</si>
  <si>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</si>
  <si>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</si>
  <si>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</si>
  <si>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</si>
  <si>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</si>
  <si>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</si>
  <si>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</si>
  <si>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</si>
  <si>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</si>
  <si>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</si>
  <si>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</si>
  <si>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</si>
  <si>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</si>
  <si>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</si>
  <si>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</si>
  <si>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</si>
  <si>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</si>
  <si>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</si>
  <si>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</si>
  <si>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</si>
  <si>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</si>
  <si>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</si>
  <si>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</si>
  <si>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</si>
  <si>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</si>
  <si>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</si>
  <si>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</si>
  <si>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</si>
  <si>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</si>
  <si>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</si>
  <si>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</si>
  <si>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</si>
  <si>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</si>
  <si>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</si>
  <si>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</si>
  <si>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</si>
  <si>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</si>
  <si>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</si>
  <si>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</si>
  <si>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</si>
  <si>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</si>
  <si>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</si>
  <si>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</si>
  <si>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</si>
  <si>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</si>
  <si>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</si>
  <si>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</si>
  <si>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</si>
  <si>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</si>
  <si>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</si>
  <si>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</si>
  <si>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</si>
  <si>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</si>
  <si>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</si>
  <si>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</si>
  <si>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</si>
  <si>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</si>
  <si>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</si>
  <si>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</si>
  <si>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</si>
  <si>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</si>
  <si>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</si>
  <si>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</si>
  <si>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</si>
  <si>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</si>
  <si>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</si>
  <si>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</si>
  <si>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</si>
  <si>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</si>
  <si>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</si>
  <si>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</si>
  <si>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</si>
  <si>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</si>
  <si>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</si>
  <si>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</si>
  <si>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</si>
  <si>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</si>
  <si>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</si>
  <si>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</si>
  <si>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</si>
  <si>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</si>
  <si>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</si>
  <si>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</si>
  <si>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</si>
  <si>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</si>
  <si>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</si>
  <si>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</si>
  <si>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</si>
  <si>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</si>
  <si>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</si>
  <si>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</si>
  <si>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</si>
  <si>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</si>
  <si>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</si>
  <si>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</si>
  <si>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</si>
  <si>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</si>
  <si>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</si>
  <si>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</si>
  <si>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</si>
  <si>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</si>
  <si>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</si>
  <si>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</si>
  <si>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</si>
  <si>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</si>
  <si>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</si>
  <si>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</si>
  <si>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</si>
  <si>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</si>
  <si>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</si>
  <si>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</si>
  <si>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</si>
  <si>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</si>
  <si>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</si>
  <si>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</si>
  <si>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</si>
  <si>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</si>
  <si>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</si>
  <si>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</si>
  <si>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</si>
  <si>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</si>
  <si>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</si>
  <si>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</si>
  <si>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</si>
  <si>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</si>
  <si>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</si>
  <si>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</si>
  <si>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</si>
  <si>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</si>
  <si>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</si>
  <si>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</si>
  <si>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</si>
  <si>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</si>
  <si>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</si>
  <si>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</si>
  <si>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</si>
  <si>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</si>
  <si>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</si>
  <si>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</si>
  <si>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</si>
  <si>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</si>
  <si>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</si>
  <si>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</si>
  <si>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</si>
  <si>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</si>
  <si>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</si>
  <si>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</si>
  <si>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</si>
  <si>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</si>
  <si>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</si>
  <si>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</si>
  <si>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</si>
  <si>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</si>
  <si>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</si>
  <si>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</si>
  <si>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</si>
  <si>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</si>
  <si>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</si>
  <si>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</si>
  <si>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</si>
  <si>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</si>
  <si>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</si>
  <si>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</si>
  <si>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</si>
  <si>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</si>
  <si>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</si>
  <si>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</si>
  <si>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</si>
  <si>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</si>
  <si>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</si>
  <si>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</si>
  <si>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</si>
  <si>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</si>
  <si>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</si>
  <si>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</si>
  <si>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</si>
  <si>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</si>
  <si>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</si>
  <si>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</si>
  <si>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</si>
  <si>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</si>
  <si>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</si>
  <si>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</si>
  <si>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</si>
  <si>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</si>
  <si>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</si>
  <si>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</si>
  <si>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</si>
  <si>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</si>
  <si>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</si>
  <si>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</si>
  <si>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</si>
  <si>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</si>
  <si>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</si>
  <si>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</si>
  <si>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</si>
  <si>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</si>
  <si>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</si>
  <si>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</si>
  <si>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</si>
  <si>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</si>
  <si>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</si>
  <si>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</si>
  <si>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</si>
  <si>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</si>
  <si>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</si>
  <si>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</si>
  <si>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</si>
  <si>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</si>
  <si>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</si>
  <si>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</si>
  <si>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</si>
  <si>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</si>
  <si>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</si>
  <si>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</si>
  <si>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</si>
  <si>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</si>
  <si>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</si>
  <si>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</si>
  <si>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</si>
  <si>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</si>
  <si>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</si>
  <si>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</si>
  <si>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</si>
  <si>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</si>
  <si>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</si>
  <si>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</si>
  <si>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</si>
  <si>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</si>
  <si>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</si>
  <si>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</si>
  <si>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</si>
  <si>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</si>
  <si>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</si>
  <si>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</si>
  <si>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</si>
  <si>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</si>
  <si>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</si>
  <si>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</si>
  <si>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</si>
  <si>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</si>
  <si>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</si>
  <si>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</si>
  <si>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</si>
  <si>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</si>
  <si>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</si>
  <si>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</si>
  <si>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</si>
  <si>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</si>
  <si>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</si>
  <si>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</si>
  <si>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</si>
  <si>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</si>
  <si>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</si>
  <si>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</si>
  <si>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</si>
  <si>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</si>
  <si>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</si>
  <si>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</si>
  <si>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</si>
  <si>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</si>
  <si>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</si>
  <si>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</si>
  <si>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</si>
  <si>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</si>
  <si>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</si>
  <si>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</si>
  <si>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</si>
  <si>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</si>
  <si>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</si>
  <si>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</si>
  <si>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</si>
  <si>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</si>
  <si>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</si>
  <si>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</si>
  <si>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</si>
  <si>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</si>
  <si>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</si>
  <si>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</si>
  <si>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</si>
  <si>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</si>
  <si>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</si>
  <si>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</si>
  <si>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</si>
  <si>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</si>
  <si>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</si>
  <si>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</si>
  <si>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</si>
  <si>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</si>
  <si>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</si>
  <si>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</si>
  <si>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</si>
  <si>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</si>
  <si>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</si>
  <si>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</si>
  <si>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</si>
  <si>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</si>
  <si>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</si>
  <si>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</si>
  <si>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</si>
  <si>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</si>
  <si>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</si>
  <si>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</si>
  <si>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</si>
  <si>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</si>
  <si>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</si>
  <si>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</si>
  <si>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</si>
  <si>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</si>
  <si>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</si>
  <si>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</si>
  <si>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</si>
  <si>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</si>
  <si>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</si>
  <si>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</si>
  <si>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</si>
  <si>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</si>
  <si>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</si>
  <si>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</si>
  <si>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</si>
  <si>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</si>
  <si>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</si>
  <si>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</si>
  <si>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</si>
  <si>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</si>
  <si>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</si>
  <si>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</si>
  <si>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</si>
  <si>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</si>
  <si>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</si>
  <si>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</si>
  <si>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</si>
  <si>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</si>
  <si>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</si>
  <si>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</si>
  <si>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</si>
  <si>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</si>
  <si>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</si>
  <si>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</si>
  <si>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</si>
  <si>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</si>
  <si>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</si>
  <si>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</si>
  <si>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</si>
  <si>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</si>
  <si>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</si>
  <si>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</si>
  <si>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</si>
  <si>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</si>
  <si>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</si>
  <si>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</si>
  <si>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</si>
  <si>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</si>
  <si>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</si>
  <si>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</si>
  <si>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</si>
  <si>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</si>
  <si>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</si>
  <si>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</si>
  <si>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</si>
  <si>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</si>
  <si>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</si>
  <si>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</si>
  <si>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</si>
  <si>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</si>
  <si>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</si>
  <si>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</si>
  <si>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</si>
  <si>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</si>
  <si>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</si>
  <si>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</si>
  <si>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</si>
  <si>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</si>
  <si>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</si>
  <si>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</si>
  <si>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</si>
  <si>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</si>
  <si>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</si>
  <si>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</si>
  <si>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</si>
  <si>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</si>
  <si>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</si>
  <si>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</si>
  <si>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</si>
  <si>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</si>
  <si>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</si>
  <si>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</si>
  <si>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</si>
  <si>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</si>
  <si>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</si>
  <si>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</si>
  <si>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</si>
  <si>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</si>
  <si>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</si>
  <si>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</si>
  <si>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</si>
  <si>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</si>
  <si>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</si>
  <si>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</si>
  <si>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</si>
  <si>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</si>
  <si>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</si>
  <si>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</si>
  <si>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</si>
  <si>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</si>
  <si>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</si>
  <si>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</si>
  <si>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</si>
  <si>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</si>
  <si>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</si>
  <si>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</si>
  <si>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</si>
  <si>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</si>
  <si>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</si>
  <si>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</si>
  <si>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</si>
  <si>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</si>
  <si>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</si>
  <si>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</si>
  <si>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</si>
  <si>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</si>
  <si>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</si>
  <si>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</si>
  <si>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</si>
  <si>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</si>
  <si>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</si>
  <si>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</si>
  <si>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</si>
  <si>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</si>
  <si>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</si>
  <si>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</si>
  <si>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</si>
  <si>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</si>
  <si>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</si>
  <si>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</si>
  <si>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</si>
  <si>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</si>
  <si>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</si>
  <si>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</si>
  <si>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</si>
  <si>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</si>
  <si>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</si>
  <si>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</si>
  <si>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</si>
  <si>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</si>
  <si>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</si>
  <si>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</si>
  <si>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</si>
  <si>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</si>
  <si>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</si>
  <si>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</si>
  <si>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</si>
  <si>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</si>
  <si>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</si>
  <si>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</si>
  <si>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</si>
  <si>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</si>
  <si>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</si>
  <si>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</si>
  <si>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</si>
  <si>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</si>
  <si>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</si>
  <si>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</si>
  <si>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</si>
  <si>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</si>
  <si>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</si>
  <si>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</si>
  <si>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</si>
  <si>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</si>
  <si>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</si>
  <si>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</si>
  <si>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</si>
  <si>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</si>
  <si>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</si>
  <si>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</si>
  <si>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</si>
  <si>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</si>
  <si>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</si>
  <si>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</si>
  <si>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</si>
  <si>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</si>
  <si>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</si>
  <si>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</si>
  <si>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</si>
  <si>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</si>
  <si>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</si>
  <si>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</si>
  <si>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</si>
  <si>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</si>
  <si>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</si>
  <si>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</si>
  <si>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</si>
  <si>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</si>
  <si>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</si>
  <si>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</si>
  <si>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</si>
  <si>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</si>
  <si>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</si>
  <si>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</si>
  <si>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</si>
  <si>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</si>
  <si>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</si>
  <si>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</si>
  <si>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</si>
  <si>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</si>
  <si>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</si>
  <si>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</si>
  <si>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</si>
  <si>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</si>
  <si>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</si>
  <si>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</si>
  <si>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</si>
  <si>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</si>
  <si>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</si>
  <si>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</si>
  <si>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</si>
  <si>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</si>
  <si>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</si>
  <si>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</si>
  <si>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</si>
  <si>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</si>
  <si>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</si>
  <si>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</si>
  <si>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</si>
  <si>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</si>
  <si>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</si>
  <si>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</si>
  <si>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</si>
  <si>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</si>
  <si>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</si>
  <si>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</si>
  <si>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</si>
  <si>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</si>
  <si>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</si>
  <si>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</si>
  <si>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</si>
  <si>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</si>
  <si>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</si>
  <si>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</si>
  <si>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</si>
  <si>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</si>
  <si>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</si>
  <si>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</si>
  <si>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</si>
  <si>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</si>
  <si>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</si>
  <si>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</si>
  <si>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</si>
  <si>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</si>
  <si>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</si>
  <si>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</si>
  <si>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</si>
  <si>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</si>
  <si>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</si>
  <si>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</si>
  <si>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</si>
  <si>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</si>
  <si>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</si>
  <si>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</si>
  <si>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</si>
  <si>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</si>
  <si>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</si>
  <si>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</si>
  <si>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</si>
  <si>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</si>
  <si>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</si>
  <si>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</si>
  <si>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</si>
  <si>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</si>
  <si>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</si>
  <si>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</si>
  <si>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</si>
  <si>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</si>
  <si>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</si>
  <si>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</si>
  <si>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</si>
  <si>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</si>
  <si>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</si>
  <si>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</si>
  <si>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</si>
  <si>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</si>
  <si>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</si>
  <si>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</si>
  <si>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</si>
  <si>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</si>
  <si>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</si>
  <si>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</si>
  <si>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</si>
  <si>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</si>
  <si>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</si>
  <si>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</si>
  <si>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</si>
  <si>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</si>
  <si>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</si>
  <si>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</si>
  <si>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</si>
  <si>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</si>
  <si>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</si>
  <si>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</si>
  <si>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</si>
  <si>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</si>
  <si>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</si>
  <si>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</si>
  <si>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</si>
  <si>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</si>
  <si>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</si>
  <si>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</si>
  <si>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</si>
  <si>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</si>
  <si>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</si>
  <si>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</si>
  <si>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</si>
  <si>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</si>
  <si>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</si>
  <si>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</si>
  <si>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</si>
  <si>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</si>
  <si>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</si>
  <si>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</si>
  <si>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</si>
  <si>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</si>
  <si>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</si>
  <si>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</si>
  <si>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</si>
  <si>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</si>
  <si>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</si>
  <si>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</si>
  <si>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</si>
  <si>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</si>
  <si>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</si>
  <si>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</si>
  <si>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</si>
  <si>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</si>
  <si>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</si>
  <si>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</si>
  <si>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</si>
  <si>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</si>
  <si>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</si>
  <si>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</si>
  <si>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</si>
  <si>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</si>
  <si>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</si>
  <si>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</si>
  <si>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</si>
  <si>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</si>
  <si>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</si>
  <si>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</si>
  <si>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</si>
  <si>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</si>
  <si>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</si>
  <si>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</si>
  <si>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</si>
  <si>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</si>
  <si>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</si>
  <si>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</si>
  <si>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</si>
  <si>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</si>
  <si>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</si>
  <si>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</si>
  <si>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</si>
  <si>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</si>
  <si>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</si>
  <si>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</si>
  <si>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</si>
  <si>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</si>
  <si>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</si>
  <si>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</si>
  <si>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</si>
  <si>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</si>
  <si>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</si>
  <si>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</si>
  <si>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</si>
  <si>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</si>
  <si>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</si>
  <si>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</si>
  <si>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</si>
  <si>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</si>
  <si>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</si>
  <si>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</si>
  <si>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</si>
  <si>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</si>
  <si>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</si>
  <si>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</si>
  <si>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</si>
  <si>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</si>
  <si>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</si>
  <si>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</si>
  <si>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</si>
  <si>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</si>
  <si>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</si>
  <si>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</si>
  <si>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</si>
  <si>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</si>
  <si>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</si>
  <si>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</si>
  <si>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</si>
  <si>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</si>
  <si>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</si>
  <si>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</si>
  <si>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</si>
  <si>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</si>
  <si>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</si>
  <si>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</si>
  <si>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</si>
  <si>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</si>
  <si>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</si>
  <si>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</si>
  <si>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</si>
  <si>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</si>
  <si>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</si>
  <si>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</si>
  <si>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</si>
  <si>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</si>
  <si>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</si>
  <si>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</si>
  <si>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</si>
  <si>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</si>
  <si>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</si>
  <si>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</si>
  <si>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</si>
  <si>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</si>
  <si>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</si>
  <si>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</si>
  <si>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</si>
  <si>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</si>
  <si>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</si>
  <si>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</si>
  <si>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</si>
  <si>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</si>
  <si>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</si>
  <si>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</si>
  <si>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</si>
  <si>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</si>
  <si>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</si>
  <si>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</si>
  <si>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</si>
  <si>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</si>
  <si>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</si>
  <si>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</si>
  <si>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</si>
  <si>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</si>
  <si>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</si>
  <si>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</si>
  <si>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</si>
  <si>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</si>
  <si>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</si>
  <si>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</si>
  <si>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</si>
  <si>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</si>
  <si>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</si>
  <si>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</si>
  <si>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</si>
  <si>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</si>
  <si>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</si>
  <si>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</si>
  <si>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</si>
  <si>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</si>
  <si>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</si>
  <si>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</si>
  <si>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</si>
  <si>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</si>
  <si>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</si>
  <si>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</si>
  <si>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</si>
  <si>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</si>
  <si>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</si>
  <si>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</si>
  <si>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</si>
  <si>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</si>
  <si>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</si>
  <si>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</si>
  <si>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</si>
  <si>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</si>
  <si>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</si>
  <si>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</si>
  <si>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</si>
  <si>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</si>
  <si>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</si>
  <si>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</si>
  <si>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</si>
  <si>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</si>
  <si>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</si>
  <si>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</si>
  <si>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</si>
  <si>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</si>
  <si>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</si>
  <si>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</si>
  <si>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</si>
  <si>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</si>
  <si>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</si>
  <si>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</si>
  <si>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</si>
  <si>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</si>
  <si>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</si>
  <si>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</si>
  <si>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</si>
  <si>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</si>
  <si>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</si>
  <si>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</si>
  <si>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</si>
  <si>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</si>
  <si>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</si>
  <si>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</si>
  <si>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</si>
  <si>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</si>
  <si>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</si>
  <si>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</si>
  <si>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</si>
  <si>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</si>
  <si>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</si>
  <si>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</si>
  <si>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</si>
  <si>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</si>
  <si>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</si>
  <si>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</si>
  <si>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</si>
  <si>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</si>
  <si>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</si>
  <si>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</si>
  <si>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</si>
  <si>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</si>
  <si>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</si>
  <si>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</si>
  <si>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</si>
  <si>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</si>
  <si>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</si>
  <si>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</si>
  <si>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</si>
  <si>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</si>
  <si>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</si>
  <si>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</si>
  <si>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</si>
  <si>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</si>
  <si>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</si>
  <si>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</si>
  <si>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</si>
  <si>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</si>
  <si>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</si>
  <si>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</si>
  <si>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</si>
  <si>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</si>
  <si>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</si>
  <si>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</si>
  <si>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</si>
  <si>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</si>
  <si>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</si>
  <si>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</si>
  <si>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</si>
  <si>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</si>
  <si>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</si>
  <si>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</si>
  <si>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</si>
  <si>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</si>
  <si>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</si>
  <si>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</si>
  <si>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</si>
  <si>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</si>
  <si>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</si>
  <si>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</si>
  <si>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</si>
  <si>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</si>
  <si>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</si>
  <si>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</si>
  <si>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</si>
  <si>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</si>
  <si>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</si>
  <si>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</si>
  <si>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</si>
  <si>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</si>
  <si>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</si>
  <si>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</si>
  <si>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</si>
  <si>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</si>
  <si>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</si>
  <si>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</si>
  <si>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</si>
  <si>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</si>
  <si>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</si>
  <si>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</si>
  <si>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</si>
  <si>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</si>
  <si>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</si>
  <si>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</si>
  <si>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</si>
  <si>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</si>
  <si>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</si>
  <si>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</si>
  <si>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</si>
  <si>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</si>
  <si>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</si>
  <si>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</si>
  <si>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</si>
  <si>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</si>
  <si>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</si>
  <si>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</si>
  <si>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</si>
  <si>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</si>
  <si>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</si>
  <si>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</si>
  <si>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</si>
  <si>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</si>
  <si>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</si>
  <si>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</si>
  <si>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</si>
  <si>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</si>
  <si>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</si>
  <si>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</si>
  <si>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</si>
  <si>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</si>
  <si>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</si>
  <si>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</si>
  <si>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</si>
  <si>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</si>
  <si>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</si>
  <si>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</si>
  <si>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</si>
  <si>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</si>
  <si>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</si>
  <si>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</si>
  <si>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</si>
  <si>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</si>
  <si>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</si>
  <si>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</si>
  <si>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</si>
  <si>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</si>
  <si>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</si>
  <si>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</si>
  <si>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</si>
  <si>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</si>
  <si>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</si>
  <si>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</si>
  <si>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</si>
  <si>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</si>
  <si>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</si>
  <si>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</si>
  <si>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</si>
  <si>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</si>
  <si>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</si>
  <si>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</si>
  <si>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</si>
  <si>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</si>
  <si>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</si>
  <si>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</si>
  <si>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</si>
  <si>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</si>
  <si>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</si>
  <si>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</si>
  <si>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</si>
  <si>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</si>
  <si>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</si>
  <si>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</si>
  <si>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</si>
  <si>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</si>
  <si>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</si>
  <si>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</si>
  <si>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</si>
  <si>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</si>
  <si>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</si>
  <si>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</si>
  <si>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</si>
  <si>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</si>
  <si>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</si>
  <si>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</si>
  <si>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</si>
  <si>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</si>
  <si>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</si>
  <si>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</si>
  <si>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</si>
  <si>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</si>
  <si>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</si>
  <si>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</si>
  <si>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</si>
  <si>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</si>
  <si>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</si>
  <si>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</si>
  <si>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</si>
  <si>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</si>
  <si>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</si>
  <si>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</si>
  <si>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</si>
  <si>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</si>
  <si>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</si>
  <si>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</si>
  <si>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</si>
  <si>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</si>
  <si>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</si>
  <si>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</si>
  <si>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</si>
  <si>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</si>
  <si>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</si>
  <si>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</si>
  <si>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</si>
  <si>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</si>
  <si>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</si>
  <si>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</si>
  <si>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</si>
  <si>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</si>
  <si>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</si>
  <si>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</si>
  <si>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</si>
  <si>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</si>
  <si>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</si>
  <si>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</si>
  <si>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</si>
  <si>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</si>
  <si>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</si>
  <si>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</si>
  <si>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</si>
  <si>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</si>
  <si>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</si>
  <si>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</si>
  <si>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</si>
  <si>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</si>
  <si>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</si>
  <si>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</si>
  <si>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</si>
  <si>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</si>
  <si>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</si>
  <si>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</si>
  <si>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</si>
  <si>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</si>
  <si>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</si>
  <si>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</si>
  <si>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</si>
  <si>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</si>
  <si>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</si>
  <si>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</si>
  <si>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</si>
  <si>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</si>
  <si>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</si>
  <si>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</si>
  <si>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</si>
  <si>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</si>
  <si>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</si>
  <si>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</si>
  <si>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</si>
  <si>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</si>
  <si>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</si>
  <si>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</si>
  <si>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</si>
  <si>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</si>
  <si>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</si>
  <si>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</si>
  <si>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</si>
  <si>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</si>
  <si>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</si>
  <si>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</si>
  <si>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</si>
  <si>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</si>
  <si>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</si>
  <si>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</si>
  <si>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</si>
  <si>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</si>
  <si>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</si>
  <si>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</si>
  <si>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</si>
  <si>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</si>
  <si>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</si>
  <si>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</si>
  <si>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</si>
  <si>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</si>
  <si>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</si>
  <si>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</si>
  <si>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</si>
  <si>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</si>
  <si>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</si>
  <si>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</si>
  <si>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</si>
  <si>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</si>
  <si>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</si>
  <si>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</si>
  <si>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</si>
  <si>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</si>
  <si>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</si>
  <si>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</si>
  <si>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</si>
  <si>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</si>
  <si>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</si>
  <si>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</si>
  <si>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</si>
  <si>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</si>
  <si>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</si>
  <si>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</si>
  <si>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</si>
  <si>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</si>
  <si>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</si>
  <si>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</si>
  <si>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</si>
  <si>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</si>
  <si>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</si>
  <si>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</si>
  <si>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</si>
  <si>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</si>
  <si>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</si>
  <si>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</si>
  <si>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</si>
  <si>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</si>
  <si>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</si>
  <si>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</si>
  <si>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</si>
  <si>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</si>
  <si>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</si>
  <si>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</si>
  <si>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</si>
  <si>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</si>
  <si>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</si>
  <si>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</si>
  <si>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</si>
  <si>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</si>
  <si>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</si>
  <si>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</si>
  <si>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</si>
  <si>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</si>
  <si>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</si>
  <si>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</si>
  <si>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</si>
  <si>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</si>
  <si>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</si>
  <si>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</si>
  <si>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</si>
  <si>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</si>
  <si>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</si>
  <si>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</si>
  <si>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</si>
  <si>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</si>
  <si>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</si>
  <si>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</si>
  <si>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</si>
  <si>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</si>
  <si>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</si>
  <si>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</si>
  <si>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</si>
  <si>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</si>
  <si>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</si>
  <si>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</si>
  <si>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</si>
  <si>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</si>
  <si>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</si>
  <si>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</si>
  <si>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</si>
  <si>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</si>
  <si>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</si>
  <si>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</si>
  <si>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</si>
  <si>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</si>
  <si>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</si>
  <si>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</si>
  <si>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</si>
  <si>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</si>
  <si>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</si>
  <si>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</si>
  <si>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</si>
  <si>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</si>
  <si>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</si>
  <si>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</si>
  <si>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</si>
  <si>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</si>
  <si>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</si>
  <si>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</si>
  <si>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</si>
  <si>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</si>
  <si>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</si>
  <si>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</si>
  <si>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</si>
  <si>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</si>
  <si>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</si>
  <si>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</si>
  <si>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</si>
  <si>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</si>
  <si>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</si>
  <si>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</si>
  <si>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</si>
  <si>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</si>
  <si>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</si>
  <si>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</si>
  <si>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</si>
  <si>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</si>
  <si>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</si>
  <si>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</si>
  <si>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</si>
  <si>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</si>
  <si>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</si>
  <si>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</si>
  <si>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</si>
  <si>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</si>
  <si>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</si>
  <si>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</si>
  <si>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</si>
  <si>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</si>
  <si>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</si>
  <si>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</si>
  <si>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</si>
  <si>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</si>
  <si>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</si>
  <si>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</si>
  <si>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</si>
  <si>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</si>
  <si>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</si>
  <si>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</si>
  <si>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</si>
  <si>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</si>
  <si>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</si>
  <si>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</si>
  <si>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</si>
  <si>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</si>
  <si>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</si>
  <si>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</si>
  <si>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</si>
  <si>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</si>
  <si>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</si>
  <si>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</si>
  <si>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</si>
  <si>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</si>
  <si>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</si>
  <si>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</si>
  <si>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</si>
  <si>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</si>
  <si>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</si>
  <si>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</si>
  <si>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</si>
  <si>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</si>
  <si>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</si>
  <si>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</si>
  <si>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</si>
  <si>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</si>
  <si>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</si>
  <si>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</si>
  <si>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</si>
  <si>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</si>
  <si>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</si>
  <si>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</si>
  <si>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</si>
  <si>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</si>
  <si>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</si>
  <si>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</si>
  <si>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</si>
  <si>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</si>
  <si>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</si>
  <si>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</si>
  <si>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</si>
  <si>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</si>
  <si>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</si>
  <si>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</si>
  <si>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</si>
  <si>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</si>
  <si>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</si>
  <si>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</si>
  <si>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</si>
  <si>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</si>
  <si>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</si>
  <si>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</si>
  <si>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</si>
  <si>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</si>
  <si>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</si>
  <si>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</si>
  <si>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</si>
  <si>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</si>
  <si>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</si>
  <si>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</si>
  <si>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</si>
  <si>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</si>
  <si>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</si>
  <si>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</si>
  <si>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</si>
  <si>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</si>
  <si>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</si>
  <si>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</si>
  <si>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</si>
  <si>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</si>
  <si>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</si>
  <si>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</si>
  <si>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</si>
  <si>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</si>
  <si>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</si>
  <si>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</si>
  <si>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</si>
  <si>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</si>
  <si>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</si>
  <si>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</si>
  <si>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</si>
  <si>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</si>
  <si>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</si>
  <si>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</si>
  <si>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</si>
  <si>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</si>
  <si>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</si>
  <si>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</si>
  <si>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</si>
  <si>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</si>
  <si>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</si>
  <si>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</si>
  <si>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</si>
  <si>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</si>
  <si>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</si>
  <si>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</si>
  <si>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</si>
  <si>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</si>
  <si>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</si>
  <si>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</si>
  <si>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</si>
  <si>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</si>
  <si>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</si>
  <si>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</si>
  <si>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</si>
  <si>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</si>
  <si>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</si>
  <si>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</si>
  <si>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</si>
  <si>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</si>
  <si>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</si>
  <si>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</si>
  <si>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</si>
  <si>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</si>
  <si>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</si>
  <si>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</si>
  <si>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</si>
  <si>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</si>
  <si>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</si>
  <si>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</si>
  <si>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</si>
  <si>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</si>
  <si>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</si>
  <si>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</si>
  <si>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</si>
  <si>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</si>
  <si>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</si>
  <si>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</si>
  <si>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</si>
  <si>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</si>
  <si>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</si>
  <si>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</si>
  <si>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</si>
  <si>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</si>
  <si>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</si>
  <si>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</si>
  <si>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</si>
  <si>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</si>
  <si>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</si>
  <si>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</si>
  <si>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</si>
  <si>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</si>
  <si>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</si>
  <si>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</si>
  <si>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</si>
  <si>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</si>
  <si>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</si>
  <si>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</si>
  <si>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</si>
  <si>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</si>
  <si>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</si>
  <si>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</si>
  <si>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</si>
  <si>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</si>
  <si>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</si>
  <si>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</si>
  <si>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</si>
  <si>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</si>
  <si>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</si>
  <si>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</si>
  <si>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</si>
  <si>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</si>
  <si>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</si>
  <si>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</si>
  <si>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</si>
  <si>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</si>
  <si>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</si>
  <si>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</si>
  <si>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</si>
  <si>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</si>
  <si>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</si>
  <si>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</si>
  <si>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</si>
  <si>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</si>
  <si>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</si>
  <si>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</si>
  <si>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</si>
  <si>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</si>
  <si>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</si>
  <si>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</si>
  <si>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</si>
  <si>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</si>
  <si>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</si>
  <si>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</si>
  <si>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</si>
  <si>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</si>
  <si>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</si>
  <si>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</si>
  <si>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</si>
  <si>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</si>
  <si>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</si>
  <si>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</si>
  <si>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</si>
  <si>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</si>
  <si>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</si>
  <si>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</si>
  <si>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</si>
  <si>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</si>
  <si>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</si>
  <si>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</si>
  <si>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</si>
  <si>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</si>
  <si>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</si>
  <si>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</si>
  <si>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</si>
  <si>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</si>
  <si>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</si>
  <si>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</si>
  <si>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</si>
  <si>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</si>
  <si>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</si>
  <si>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</si>
  <si>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</si>
  <si>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</si>
  <si>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</si>
  <si>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</si>
  <si>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</si>
  <si>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</si>
  <si>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</si>
  <si>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</si>
  <si>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</si>
  <si>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</si>
  <si>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</si>
  <si>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</si>
  <si>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</si>
  <si>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</si>
  <si>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</si>
  <si>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</si>
  <si>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</si>
  <si>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</si>
  <si>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</si>
  <si>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</si>
  <si>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</si>
  <si>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</si>
  <si>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</si>
  <si>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</si>
  <si>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</si>
  <si>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</si>
  <si>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</si>
  <si>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</si>
  <si>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</si>
  <si>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</si>
  <si>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</si>
  <si>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</si>
  <si>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</si>
  <si>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</si>
  <si>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</si>
  <si>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</si>
  <si>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</si>
  <si>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</si>
  <si>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</si>
  <si>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</si>
  <si>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</si>
  <si>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</si>
  <si>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</si>
  <si>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</si>
  <si>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</si>
  <si>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</si>
  <si>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</si>
  <si>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</si>
  <si>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</si>
  <si>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</si>
  <si>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</si>
  <si>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</si>
  <si>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</si>
  <si>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</si>
  <si>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</si>
  <si>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</si>
  <si>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</si>
  <si>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</si>
  <si>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</si>
  <si>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</si>
  <si>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</si>
  <si>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</si>
  <si>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</si>
  <si>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</si>
  <si>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</si>
  <si>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</si>
  <si>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</si>
  <si>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</si>
  <si>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</si>
  <si>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</si>
  <si>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</si>
  <si>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</si>
  <si>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</si>
  <si>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</si>
  <si>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</si>
  <si>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</si>
  <si>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</si>
  <si>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</si>
  <si>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</si>
  <si>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</si>
  <si>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</si>
  <si>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</si>
  <si>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</si>
  <si>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</si>
  <si>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</si>
  <si>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</si>
  <si>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</si>
  <si>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</si>
  <si>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</si>
  <si>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</si>
  <si>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</si>
  <si>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</si>
  <si>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</si>
  <si>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</si>
  <si>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</si>
  <si>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</si>
  <si>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</si>
  <si>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</si>
  <si>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</si>
  <si>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</si>
  <si>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</si>
  <si>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</si>
  <si>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</si>
  <si>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</si>
  <si>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</si>
  <si>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</si>
  <si>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</si>
  <si>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</si>
  <si>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</si>
  <si>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</si>
  <si>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</si>
  <si>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</si>
  <si>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</si>
  <si>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</si>
  <si>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</si>
  <si>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</si>
  <si>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</si>
  <si>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</si>
  <si>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</si>
  <si>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</si>
  <si>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</si>
  <si>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</si>
  <si>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</si>
  <si>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</si>
  <si>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</si>
  <si>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</si>
  <si>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</si>
  <si>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</si>
  <si>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</si>
  <si>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</si>
  <si>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</si>
  <si>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</si>
  <si>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</si>
  <si>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</si>
  <si>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</si>
  <si>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</si>
  <si>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</si>
  <si>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</si>
  <si>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</si>
  <si>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</si>
  <si>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</si>
  <si>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</si>
  <si>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</si>
  <si>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</si>
  <si>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</si>
  <si>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</si>
  <si>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</si>
  <si>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</si>
  <si>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</si>
  <si>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</si>
  <si>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</si>
  <si>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</si>
  <si>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</si>
  <si>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</si>
  <si>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</si>
  <si>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</si>
  <si>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</si>
  <si>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</si>
  <si>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</si>
  <si>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</si>
  <si>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</si>
  <si>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</si>
  <si>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</si>
  <si>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</si>
  <si>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</si>
  <si>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</si>
  <si>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</si>
  <si>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</si>
  <si>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</si>
  <si>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</si>
  <si>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</si>
  <si>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</si>
  <si>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</si>
  <si>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</si>
  <si>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</si>
  <si>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</si>
  <si>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</si>
  <si>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</si>
  <si>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</si>
  <si>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</si>
  <si>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</si>
  <si>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</si>
  <si>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</si>
  <si>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</si>
  <si>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</si>
  <si>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</si>
  <si>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</si>
  <si>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</si>
  <si>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</si>
  <si>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</si>
  <si>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</si>
  <si>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</si>
  <si>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</si>
  <si>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</si>
  <si>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</si>
  <si>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</si>
  <si>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</si>
  <si>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</si>
  <si>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</si>
  <si>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</si>
  <si>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</si>
  <si>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</si>
  <si>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</si>
  <si>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</si>
  <si>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</si>
  <si>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</si>
  <si>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</si>
  <si>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</si>
  <si>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</si>
  <si>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</si>
  <si>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</si>
  <si>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</si>
  <si>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</si>
  <si>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</si>
  <si>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</si>
  <si>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</si>
  <si>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</si>
  <si>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</si>
  <si>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</si>
  <si>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</si>
  <si>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</si>
  <si>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</si>
  <si>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</si>
  <si>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</si>
  <si>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</si>
  <si>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</si>
  <si>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</si>
  <si>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</si>
  <si>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</si>
  <si>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</si>
  <si>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</si>
  <si>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</si>
  <si>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</si>
  <si>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</si>
  <si>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</si>
  <si>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</si>
  <si>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</si>
  <si>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</si>
  <si>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</si>
  <si>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</si>
  <si>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</si>
  <si>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</si>
  <si>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</si>
  <si>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</si>
  <si>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</si>
  <si>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</si>
  <si>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</si>
  <si>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</si>
  <si>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</si>
  <si>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</si>
  <si>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</si>
  <si>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</si>
  <si>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</si>
  <si>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</si>
  <si>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</si>
  <si>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</si>
  <si>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</si>
  <si>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</si>
  <si>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</si>
  <si>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</si>
  <si>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</si>
  <si>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</si>
  <si>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</si>
  <si>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</si>
  <si>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</si>
  <si>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</si>
  <si>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</si>
  <si>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</si>
  <si>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</si>
  <si>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</si>
  <si>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</si>
  <si>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</si>
  <si>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</si>
  <si>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</si>
  <si>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</si>
  <si>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</si>
  <si>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</si>
  <si>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</si>
  <si>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</si>
  <si>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</si>
  <si>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</si>
  <si>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</si>
  <si>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</si>
  <si>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</si>
  <si>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</si>
  <si>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</si>
  <si>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</si>
  <si>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</si>
  <si>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</si>
  <si>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</si>
  <si>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</si>
  <si>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</si>
  <si>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</si>
  <si>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</si>
  <si>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</si>
  <si>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</si>
  <si>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</si>
  <si>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</si>
  <si>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</si>
  <si>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</si>
  <si>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</si>
  <si>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</si>
  <si>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</si>
  <si>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</si>
  <si>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</si>
  <si>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</si>
  <si>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</si>
  <si>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</si>
  <si>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</si>
  <si>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</si>
  <si>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</si>
  <si>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</si>
  <si>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</si>
  <si>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</si>
  <si>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</si>
  <si>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</si>
  <si>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</si>
  <si>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</si>
  <si>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</si>
  <si>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</si>
  <si>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</si>
  <si>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</si>
  <si>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</si>
  <si>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</si>
  <si>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</si>
  <si>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</si>
  <si>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</si>
  <si>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</si>
  <si>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</si>
  <si>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</si>
  <si>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</si>
  <si>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</si>
  <si>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</si>
  <si>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</si>
  <si>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</si>
  <si>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</si>
  <si>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</si>
  <si>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</si>
  <si>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</si>
  <si>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</si>
  <si>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</si>
  <si>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</si>
  <si>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</si>
  <si>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</si>
  <si>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</si>
  <si>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</si>
  <si>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</si>
  <si>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</si>
  <si>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</si>
  <si>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</si>
  <si>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</si>
  <si>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</si>
  <si>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</si>
  <si>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</si>
  <si>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</si>
  <si>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</si>
  <si>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</si>
  <si>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</si>
  <si>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</si>
  <si>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</si>
  <si>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</si>
  <si>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</si>
  <si>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</si>
  <si>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</si>
  <si>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</si>
  <si>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</si>
  <si>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</si>
  <si>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</si>
  <si>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</si>
  <si>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</si>
  <si>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</si>
  <si>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</si>
  <si>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</si>
  <si>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</si>
  <si>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</si>
  <si>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</si>
  <si>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</si>
  <si>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</si>
  <si>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</si>
  <si>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</si>
  <si>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</si>
  <si>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</si>
  <si>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</si>
  <si>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</si>
  <si>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</si>
  <si>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</si>
  <si>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</si>
  <si>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</si>
  <si>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</si>
  <si>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</si>
  <si>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</si>
  <si>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</si>
  <si>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</si>
  <si>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</si>
  <si>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</si>
  <si>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</si>
  <si>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</si>
  <si>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</si>
  <si>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</si>
  <si>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</si>
  <si>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</si>
  <si>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</si>
  <si>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</si>
  <si>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</si>
  <si>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</si>
  <si>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</si>
  <si>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</si>
  <si>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</si>
  <si>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</si>
  <si>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</si>
  <si>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</si>
  <si>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</si>
  <si>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</si>
  <si>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</si>
  <si>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</si>
  <si>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</si>
  <si>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</si>
  <si>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</si>
  <si>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</si>
  <si>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</si>
  <si>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</si>
  <si>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</si>
  <si>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</si>
  <si>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</si>
  <si>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</si>
  <si>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</si>
  <si>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</si>
  <si>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</si>
  <si>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</si>
  <si>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</si>
  <si>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</si>
  <si>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</si>
  <si>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</si>
  <si>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</si>
  <si>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</si>
  <si>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</si>
  <si>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</si>
  <si>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</si>
  <si>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</si>
  <si>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</si>
  <si>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</si>
  <si>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</si>
  <si>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</si>
  <si>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</si>
  <si>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</si>
  <si>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</si>
  <si>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</si>
  <si>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</si>
  <si>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</si>
  <si>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</si>
  <si>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</si>
  <si>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</si>
  <si>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</si>
  <si>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</si>
  <si>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</si>
  <si>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</si>
  <si>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</si>
  <si>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</si>
  <si>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</si>
  <si>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</si>
  <si>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</si>
  <si>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</si>
  <si>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</si>
  <si>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</si>
  <si>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</si>
  <si>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</si>
  <si>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</si>
  <si>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</si>
  <si>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</si>
  <si>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</si>
  <si>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</si>
  <si>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</si>
  <si>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</si>
  <si>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</si>
  <si>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</si>
  <si>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</si>
  <si>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</si>
  <si>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</si>
  <si>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</si>
  <si>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</si>
  <si>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</si>
  <si>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</si>
  <si>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</si>
  <si>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</si>
  <si>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</si>
  <si>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</si>
  <si>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</si>
  <si>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</si>
  <si>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</si>
  <si>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</si>
  <si>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</si>
  <si>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</si>
  <si>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</si>
  <si>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</si>
  <si>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</si>
  <si>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</si>
  <si>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</si>
  <si>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</si>
  <si>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</si>
  <si>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</si>
  <si>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</si>
  <si>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</si>
  <si>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</si>
  <si>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</si>
  <si>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</si>
  <si>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</si>
  <si>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</si>
  <si>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</si>
  <si>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</si>
  <si>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</si>
  <si>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</si>
  <si>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</si>
  <si>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</si>
  <si>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</si>
  <si>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</si>
  <si>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</si>
  <si>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</si>
  <si>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</si>
  <si>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</si>
  <si>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</si>
  <si>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</si>
  <si>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</si>
  <si>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</si>
  <si>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</si>
  <si>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</si>
  <si>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</si>
  <si>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</si>
  <si>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</si>
  <si>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</si>
  <si>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</si>
  <si>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</si>
  <si>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</si>
  <si>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</si>
  <si>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</si>
  <si>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</si>
  <si>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</si>
  <si>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</si>
  <si>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</si>
  <si>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</si>
  <si>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</si>
  <si>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</si>
  <si>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</si>
  <si>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</si>
  <si>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</si>
  <si>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</si>
  <si>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</si>
  <si>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</si>
  <si>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</si>
  <si>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</si>
  <si>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</si>
  <si>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</si>
  <si>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</si>
  <si>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</si>
  <si>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</si>
  <si>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</si>
  <si>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</si>
  <si>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</si>
  <si>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</si>
  <si>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</si>
  <si>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</si>
  <si>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</si>
  <si>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</si>
  <si>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</si>
  <si>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</si>
  <si>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</si>
  <si>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</si>
  <si>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</si>
  <si>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</si>
  <si>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</si>
  <si>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</si>
  <si>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</si>
  <si>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</si>
  <si>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</si>
  <si>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</si>
  <si>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</si>
  <si>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</si>
  <si>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</si>
  <si>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</si>
  <si>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</si>
  <si>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</si>
  <si>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</si>
  <si>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</si>
  <si>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</si>
  <si>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</si>
  <si>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</si>
  <si>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</si>
  <si>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</si>
  <si>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</si>
  <si>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</si>
  <si>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</si>
  <si>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</si>
  <si>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</si>
  <si>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</si>
  <si>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</si>
  <si>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</si>
  <si>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</si>
  <si>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</si>
  <si>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</si>
  <si>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</si>
  <si>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</si>
  <si>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</si>
  <si>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</si>
  <si>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</si>
  <si>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</si>
  <si>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</si>
  <si>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</si>
  <si>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</si>
  <si>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</si>
  <si>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</si>
  <si>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</si>
  <si>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</si>
  <si>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</si>
  <si>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</si>
  <si>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</si>
  <si>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</si>
  <si>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</si>
  <si>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</si>
  <si>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</si>
  <si>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</si>
  <si>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</si>
  <si>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</si>
  <si>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</si>
  <si>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</si>
  <si>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</si>
  <si>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</si>
  <si>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</si>
  <si>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</si>
  <si>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</si>
  <si>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</si>
  <si>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</si>
  <si>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</si>
  <si>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</si>
  <si>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</si>
  <si>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</si>
  <si>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</si>
  <si>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</si>
  <si>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</si>
  <si>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</si>
  <si>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</si>
  <si>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</si>
  <si>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</si>
  <si>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</si>
  <si>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</si>
  <si>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</si>
  <si>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</si>
  <si>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</si>
  <si>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</si>
  <si>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</si>
  <si>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</si>
  <si>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</si>
  <si>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</si>
  <si>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</si>
  <si>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Day Cr Conv</t>
  </si>
  <si>
    <t>Da End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</si>
  <si>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</si>
  <si>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</si>
  <si>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</si>
  <si>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</si>
  <si>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</si>
  <si>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</si>
  <si>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</si>
  <si>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</si>
  <si>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</si>
  <si>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</si>
  <si>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</si>
  <si>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</si>
  <si>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</si>
  <si>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</si>
  <si>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</si>
  <si>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Blurb</t>
  </si>
  <si>
    <t>Play</t>
  </si>
  <si>
    <t>AVG Donation</t>
  </si>
  <si>
    <t>Numb Back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</si>
  <si>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</si>
  <si>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</si>
  <si>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</si>
  <si>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</si>
  <si>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</si>
  <si>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</si>
  <si>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</si>
  <si>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</si>
  <si>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</si>
  <si>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</si>
  <si>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 of Pledge</t>
  </si>
  <si>
    <t>Upper Quartile of Pledge</t>
  </si>
  <si>
    <t>Lower Quartile of Pledge</t>
  </si>
  <si>
    <t>IQR of Pledge</t>
  </si>
  <si>
    <t>(blank)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</si>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</sst>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 vertical="center" wrapText="1" indent="1"/>
    </xf>
    <xf numFmtId="16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[Kickstarter_Challenge.xlsx]CatStat!PivotTable1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3274782959823E-2"/>
          <c:y val="0.13737783816523974"/>
          <c:w val="0.79005364148485968"/>
          <c:h val="0.657146692422282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CatStat!$B$3:$B$4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CatStat!$B$5:$B$15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C-41AD-A9E6-26557F2CA139}"/>
            </c:ext>
          </c:extLst>
        </c:ser>
        <c:ser>
          <c:idx val="1"/>
          <c:order val="1"/>
          <c:tx>
            <c:strRef>
              <c:f>CatStat!$C$3:$C$4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CatStat!$C$5:$C$15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C-41AD-A9E6-26557F2CA139}"/>
            </c:ext>
          </c:extLst>
        </c:ser>
        <c:ser>
          <c:idx val="2"/>
          <c:order val="2"/>
          <c:tx>
            <c:strRef>
              <c:f>CatStat!$D$3:$D$4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CatStat!$D$5:$D$15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C-41AD-A9E6-26557F2CA139}"/>
            </c:ext>
          </c:extLst>
        </c:ser>
        <c:ser>
          <c:idx val="3"/>
          <c:order val="3"/>
          <c:tx>
            <c:strRef>
              <c:f>CatStat!$E$3:$E$4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CatStat!$E$5:$E$15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C-41AD-A9E6-26557F2CA139}"/>
            </c:ext>
          </c:extLst>
        </c:ser>
        <c:ser>
          <c:idx val="4"/>
          <c:order val="4"/>
          <c:tx>
            <c:strRef>
              <c:f>CatStat!$F$3:$F$4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CatStat!$F$5:$F$15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106E-444B-92A1-E1D1BC76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870256"/>
        <c:axId val="61955552"/>
      </c:barChart>
      <c:catAx>
        <c:axId val="20187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5552"/>
        <c:crosses val="autoZero"/>
        <c:auto val="1"/>
        <c:lblAlgn val="ctr"/>
        <c:lblOffset val="100"/>
        <c:noMultiLvlLbl val="0"/>
      </c:catAx>
      <c:valAx>
        <c:axId val="619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7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[Kickstarter_Challenge.xlsx]SubCatStat!PivotTable2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SubCatStat!$B$6:$B$48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D-449B-8776-B0FDD1402966}"/>
            </c:ext>
          </c:extLst>
        </c:ser>
        <c:ser>
          <c:idx val="1"/>
          <c:order val="1"/>
          <c:tx>
            <c:strRef>
              <c:f>SubCatStat!$C$4:$C$5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SubCatStat!$C$6:$C$48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D-449B-8776-B0FDD1402966}"/>
            </c:ext>
          </c:extLst>
        </c:ser>
        <c:ser>
          <c:idx val="2"/>
          <c:order val="2"/>
          <c:tx>
            <c:strRef>
              <c:f>SubCatStat!$D$4:$D$5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SubCatStat!$A$6:$A$48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SubCatStat!$D$6:$D$48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D-449B-8776-B0FDD1402966}"/>
            </c:ext>
          </c:extLst>
        </c:ser>
        <c:ser>
          <c:idx val="3"/>
          <c:order val="3"/>
          <c:tx>
            <c:strRef>
              <c:f>SubCatStat!$E$4:$E$5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SubCatStat!$A$6:$A$48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SubCatStat!$E$6:$E$48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7-4817-A1D9-EABCA258B5B1}"/>
            </c:ext>
          </c:extLst>
        </c:ser>
        <c:ser>
          <c:idx val="4"/>
          <c:order val="4"/>
          <c:tx>
            <c:strRef>
              <c:f>SubCatStat!$F$4:$F$5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SubCatStat!$F$6:$F$48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FC37-43B4-9ECD-FF3A19507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9546400"/>
        <c:axId val="459548480"/>
      </c:barChart>
      <c:catAx>
        <c:axId val="45954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48480"/>
        <c:crosses val="autoZero"/>
        <c:auto val="1"/>
        <c:lblAlgn val="ctr"/>
        <c:lblOffset val="100"/>
        <c:noMultiLvlLbl val="0"/>
      </c:catAx>
      <c:valAx>
        <c:axId val="4595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4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2-448F-A9EE-975B41E5FB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2-448F-A9EE-975B41E5FB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2-448F-A9EE-975B41E5FB2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2-448F-A9EE-975B41E5FB2C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E-46B3-AE79-4B86B27DD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575520"/>
        <c:axId val="459584256"/>
      </c:lineChart>
      <c:catAx>
        <c:axId val="4595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84256"/>
        <c:crosses val="autoZero"/>
        <c:auto val="1"/>
        <c:lblAlgn val="ctr"/>
        <c:lblOffset val="100"/>
        <c:noMultiLvlLbl val="0"/>
      </c:catAx>
      <c:valAx>
        <c:axId val="4595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0-4E7D-9D32-940C246A79C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0-4E7D-9D32-940C246A79C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0-4E7D-9D32-940C246A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109887"/>
        <c:axId val="1743105727"/>
      </c:lineChart>
      <c:catAx>
        <c:axId val="174310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105727"/>
        <c:crosses val="autoZero"/>
        <c:auto val="1"/>
        <c:lblAlgn val="ctr"/>
        <c:lblOffset val="100"/>
        <c:noMultiLvlLbl val="0"/>
      </c:catAx>
      <c:valAx>
        <c:axId val="174310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10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0.66381766381766383</c:v>
                </c:pt>
                <c:pt idx="2">
                  <c:v>0.55057803468208089</c:v>
                </c:pt>
                <c:pt idx="3">
                  <c:v>0.51851851851851849</c:v>
                </c:pt>
                <c:pt idx="4">
                  <c:v>0.5</c:v>
                </c:pt>
                <c:pt idx="5">
                  <c:v>0.45925925925925926</c:v>
                </c:pt>
                <c:pt idx="6">
                  <c:v>0.45833333333333331</c:v>
                </c:pt>
                <c:pt idx="7">
                  <c:v>0.45714285714285713</c:v>
                </c:pt>
                <c:pt idx="8">
                  <c:v>0.52</c:v>
                </c:pt>
                <c:pt idx="9">
                  <c:v>0.56756756756756754</c:v>
                </c:pt>
                <c:pt idx="10">
                  <c:v>0.31578947368421051</c:v>
                </c:pt>
                <c:pt idx="11">
                  <c:v>0.20140515222482436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3-48BE-9012-E275DA9267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0.29914529914529914</c:v>
                </c:pt>
                <c:pt idx="2">
                  <c:v>0.40895953757225434</c:v>
                </c:pt>
                <c:pt idx="3">
                  <c:v>0.44444444444444442</c:v>
                </c:pt>
                <c:pt idx="4">
                  <c:v>0.47872340425531917</c:v>
                </c:pt>
                <c:pt idx="5">
                  <c:v>0.53333333333333333</c:v>
                </c:pt>
                <c:pt idx="6">
                  <c:v>0.53333333333333333</c:v>
                </c:pt>
                <c:pt idx="7">
                  <c:v>0.52857142857142858</c:v>
                </c:pt>
                <c:pt idx="8">
                  <c:v>0.44</c:v>
                </c:pt>
                <c:pt idx="9">
                  <c:v>0.43243243243243246</c:v>
                </c:pt>
                <c:pt idx="10">
                  <c:v>0.57894736842105265</c:v>
                </c:pt>
                <c:pt idx="11">
                  <c:v>0.60421545667447307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3-48BE-9012-E275DA9267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3.7037037037037035E-2</c:v>
                </c:pt>
                <c:pt idx="2">
                  <c:v>4.046242774566474E-2</c:v>
                </c:pt>
                <c:pt idx="3">
                  <c:v>3.7037037037037035E-2</c:v>
                </c:pt>
                <c:pt idx="4">
                  <c:v>2.1276595744680851E-2</c:v>
                </c:pt>
                <c:pt idx="5">
                  <c:v>7.4074074074074077E-3</c:v>
                </c:pt>
                <c:pt idx="6">
                  <c:v>8.3333333333333332E-3</c:v>
                </c:pt>
                <c:pt idx="7">
                  <c:v>1.4285714285714285E-2</c:v>
                </c:pt>
                <c:pt idx="8">
                  <c:v>0.04</c:v>
                </c:pt>
                <c:pt idx="9">
                  <c:v>0</c:v>
                </c:pt>
                <c:pt idx="10">
                  <c:v>0.10526315789473684</c:v>
                </c:pt>
                <c:pt idx="11">
                  <c:v>0.19437939110070257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43-48BE-9012-E275DA926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434879"/>
        <c:axId val="1643435295"/>
      </c:lineChart>
      <c:catAx>
        <c:axId val="164343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35295"/>
        <c:crosses val="autoZero"/>
        <c:auto val="1"/>
        <c:lblAlgn val="ctr"/>
        <c:lblOffset val="100"/>
        <c:noMultiLvlLbl val="0"/>
      </c:catAx>
      <c:valAx>
        <c:axId val="16434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3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3</xdr:row>
      <xdr:rowOff>19049</xdr:rowOff>
    </xdr:from>
    <xdr:to>
      <xdr:col>18</xdr:col>
      <xdr:colOff>133349</xdr:colOff>
      <xdr:row>27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383CB-4931-5214-22EB-EF10FD3FB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7</xdr:row>
      <xdr:rowOff>95250</xdr:rowOff>
    </xdr:from>
    <xdr:to>
      <xdr:col>20</xdr:col>
      <xdr:colOff>47624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7F9EC-CE52-E2C7-181D-F331C59F5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6</xdr:row>
      <xdr:rowOff>133350</xdr:rowOff>
    </xdr:from>
    <xdr:to>
      <xdr:col>17</xdr:col>
      <xdr:colOff>542925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9B43C-BA94-2CB8-0CFE-17FE9F111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19049</xdr:rowOff>
    </xdr:from>
    <xdr:to>
      <xdr:col>19</xdr:col>
      <xdr:colOff>142875</xdr:colOff>
      <xdr:row>52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E0B9E-08B1-E039-1E76-B1C346F1E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528637</xdr:colOff>
      <xdr:row>14</xdr:row>
      <xdr:rowOff>76200</xdr:rowOff>
    </xdr:from>
    <xdr:to>
      <xdr:col>7</xdr:col>
      <xdr:colOff>600075</xdr:colOff>
      <xdr:row>42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01B483-A733-DD9A-8BC7-8E295E35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Yturralde" refreshedDate="44704.591638541664" createdVersion="7" refreshedVersion="7" minRefreshableVersion="3" recordCount="4115" xr:uid="{F32E204E-3320-483F-A2A3-487F291792F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Yturralde" refreshedDate="44704.644009374999" createdVersion="7" refreshedVersion="7" minRefreshableVersion="3" recordCount="4115" xr:uid="{305FAFAB-CDB9-4481-AE11-995F033F5E5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y Cr Conv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 End Conv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Yturralde" refreshedDate="44707.856457060188" createdVersion="7" refreshedVersion="7" minRefreshableVersion="3" recordCount="4114" xr:uid="{2AE0A2A7-9A5B-4573-9144-124812ACEE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y Cr 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 End Conv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67A45-2C7B-4FB5-8734-9F06D60129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BC2F2-DD1D-41E2-B286-978E28B5AA0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55B9C-A351-4A7F-838D-02530DEF4F2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2A05E-4709-4BFD-BAB0-1923F537D45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4112" sqref="R41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11.7109375" bestFit="1" customWidth="1"/>
    <col min="20" max="20" width="1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C00000"/>
        <color rgb="FFFFEB84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1D37-3600-4928-9AD0-6F61288EA5E2}">
  <dimension ref="A1:G15"/>
  <sheetViews>
    <sheetView workbookViewId="0">
      <selection activeCell="A5" sqref="A5: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8364</v>
      </c>
    </row>
    <row r="3" spans="1:7" x14ac:dyDescent="0.25">
      <c r="A3" s="11" t="s">
        <v>8363</v>
      </c>
      <c r="B3" s="11" t="s">
        <v>8362</v>
      </c>
    </row>
    <row r="4" spans="1:7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8400</v>
      </c>
      <c r="G4" t="s">
        <v>8361</v>
      </c>
    </row>
    <row r="5" spans="1:7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5">
      <c r="A7" s="12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5">
      <c r="A8" s="12" t="s">
        <v>8329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5">
      <c r="A10" s="12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5">
      <c r="A14" s="12" t="s">
        <v>8400</v>
      </c>
      <c r="B14" s="13"/>
      <c r="C14" s="13"/>
      <c r="D14" s="13"/>
      <c r="E14" s="13"/>
      <c r="F14" s="13"/>
      <c r="G14" s="13"/>
    </row>
    <row r="15" spans="1:7" x14ac:dyDescent="0.25">
      <c r="A15" s="12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4E34-C540-48A6-9CE4-7EB1C2A53B70}">
  <dimension ref="A1:G4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8364</v>
      </c>
    </row>
    <row r="2" spans="1:7" x14ac:dyDescent="0.25">
      <c r="A2" s="11" t="s">
        <v>8358</v>
      </c>
      <c r="B2" t="s">
        <v>8364</v>
      </c>
    </row>
    <row r="4" spans="1:7" x14ac:dyDescent="0.25">
      <c r="A4" s="11" t="s">
        <v>8363</v>
      </c>
      <c r="B4" s="11" t="s">
        <v>8362</v>
      </c>
    </row>
    <row r="5" spans="1:7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8400</v>
      </c>
      <c r="G5" t="s">
        <v>8361</v>
      </c>
    </row>
    <row r="6" spans="1:7" x14ac:dyDescent="0.25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8400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8361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97D7-DB09-4810-A722-C44194B8D40E}">
  <dimension ref="A1:G1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8358</v>
      </c>
      <c r="B1" t="s">
        <v>8364</v>
      </c>
    </row>
    <row r="2" spans="1:7" x14ac:dyDescent="0.25">
      <c r="A2" s="11" t="s">
        <v>8379</v>
      </c>
      <c r="B2" t="s">
        <v>8364</v>
      </c>
    </row>
    <row r="4" spans="1:7" x14ac:dyDescent="0.25">
      <c r="A4" s="11" t="s">
        <v>8363</v>
      </c>
      <c r="B4" s="11" t="s">
        <v>8362</v>
      </c>
    </row>
    <row r="5" spans="1:7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8400</v>
      </c>
      <c r="G5" t="s">
        <v>8361</v>
      </c>
    </row>
    <row r="6" spans="1:7" x14ac:dyDescent="0.25">
      <c r="A6" s="12" t="s">
        <v>8400</v>
      </c>
      <c r="B6" s="13"/>
      <c r="C6" s="13"/>
      <c r="D6" s="13"/>
      <c r="E6" s="13"/>
      <c r="F6" s="13"/>
      <c r="G6" s="13"/>
    </row>
    <row r="7" spans="1:7" x14ac:dyDescent="0.25">
      <c r="A7" s="12" t="s">
        <v>8373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8374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8375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8376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8367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8377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8368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8369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8370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8371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8372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8378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35609-C86D-4AE2-996E-075BC4625C74}">
  <dimension ref="A1:F6"/>
  <sheetViews>
    <sheetView workbookViewId="0">
      <selection activeCell="H6" sqref="H6"/>
    </sheetView>
  </sheetViews>
  <sheetFormatPr defaultRowHeight="15" x14ac:dyDescent="0.25"/>
  <cols>
    <col min="1" max="1" width="27.140625" customWidth="1"/>
    <col min="2" max="2" width="128.42578125" bestFit="1" customWidth="1"/>
    <col min="5" max="5" width="13.5703125" bestFit="1" customWidth="1"/>
    <col min="6" max="6" width="10.85546875" bestFit="1" customWidth="1"/>
  </cols>
  <sheetData>
    <row r="1" spans="1:6" x14ac:dyDescent="0.25">
      <c r="A1" t="s">
        <v>8383</v>
      </c>
      <c r="B1" t="s">
        <v>8382</v>
      </c>
      <c r="C1" t="s">
        <v>8380</v>
      </c>
      <c r="D1" t="s">
        <v>8381</v>
      </c>
      <c r="E1" t="s">
        <v>8384</v>
      </c>
      <c r="F1" t="s">
        <v>8385</v>
      </c>
    </row>
    <row r="2" spans="1:6" ht="19.5" customHeight="1" x14ac:dyDescent="0.25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15.75" x14ac:dyDescent="0.25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15.75" x14ac:dyDescent="0.25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15.75" x14ac:dyDescent="0.25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1.5" x14ac:dyDescent="0.25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BF998-6135-44C6-9AB6-54F185EB1D5E}">
  <dimension ref="A1:C14"/>
  <sheetViews>
    <sheetView workbookViewId="0">
      <selection activeCell="D13" sqref="D13"/>
    </sheetView>
  </sheetViews>
  <sheetFormatPr defaultRowHeight="15" x14ac:dyDescent="0.25"/>
  <cols>
    <col min="1" max="1" width="24.7109375" bestFit="1" customWidth="1"/>
    <col min="2" max="2" width="13.85546875" style="8" customWidth="1"/>
    <col min="3" max="3" width="11.5703125" style="8" bestFit="1" customWidth="1"/>
  </cols>
  <sheetData>
    <row r="1" spans="1:3" x14ac:dyDescent="0.25">
      <c r="B1" s="8" t="s">
        <v>8386</v>
      </c>
      <c r="C1" s="8" t="s">
        <v>8387</v>
      </c>
    </row>
    <row r="2" spans="1:3" x14ac:dyDescent="0.25">
      <c r="A2" t="s">
        <v>8388</v>
      </c>
      <c r="B2" s="16" t="e">
        <f>AVERAGE(#REF!)</f>
        <v>#REF!</v>
      </c>
      <c r="C2" s="8" t="e">
        <f>AVERAGE(#REF!)</f>
        <v>#REF!</v>
      </c>
    </row>
    <row r="3" spans="1:3" x14ac:dyDescent="0.25">
      <c r="A3" t="s">
        <v>8389</v>
      </c>
      <c r="B3" s="8" t="e">
        <f>MEDIAN(#REF!)</f>
        <v>#REF!</v>
      </c>
      <c r="C3" s="8" t="e">
        <f>MEDIAN(#REF!)</f>
        <v>#REF!</v>
      </c>
    </row>
    <row r="4" spans="1:3" x14ac:dyDescent="0.25">
      <c r="A4" t="s">
        <v>8392</v>
      </c>
      <c r="B4" s="8" t="e">
        <f>_xlfn.STDEV.P(#REF!)</f>
        <v>#REF!</v>
      </c>
      <c r="C4" s="8" t="e">
        <f>_xlfn.STDEV.P(#REF!)</f>
        <v>#REF!</v>
      </c>
    </row>
    <row r="5" spans="1:3" x14ac:dyDescent="0.25">
      <c r="A5" t="s">
        <v>8393</v>
      </c>
      <c r="B5" s="8" t="e">
        <f>_xlfn.QUARTILE.EXC(#REF!,3)</f>
        <v>#REF!</v>
      </c>
      <c r="C5" s="8" t="e">
        <f>_xlfn.QUARTILE.EXC(#REF!,3)</f>
        <v>#REF!</v>
      </c>
    </row>
    <row r="6" spans="1:3" x14ac:dyDescent="0.25">
      <c r="A6" t="s">
        <v>8394</v>
      </c>
      <c r="B6" s="8" t="e">
        <f>_xlfn.QUARTILE.EXC(#REF!,1)</f>
        <v>#REF!</v>
      </c>
      <c r="C6" s="8" t="e">
        <f>_xlfn.QUARTILE.EXC(#REF!,1)</f>
        <v>#REF!</v>
      </c>
    </row>
    <row r="7" spans="1:3" x14ac:dyDescent="0.25">
      <c r="A7" t="s">
        <v>8395</v>
      </c>
      <c r="B7" s="8" t="e">
        <f>B5-B6</f>
        <v>#REF!</v>
      </c>
      <c r="C7" s="8" t="e">
        <f>C5-C6</f>
        <v>#REF!</v>
      </c>
    </row>
    <row r="9" spans="1:3" x14ac:dyDescent="0.25">
      <c r="A9" t="s">
        <v>8390</v>
      </c>
      <c r="B9" s="8" t="e">
        <f>AVERAGE(#REF!)</f>
        <v>#REF!</v>
      </c>
      <c r="C9" s="8" t="e">
        <f>AVERAGE(#REF!)</f>
        <v>#REF!</v>
      </c>
    </row>
    <row r="10" spans="1:3" x14ac:dyDescent="0.25">
      <c r="A10" t="s">
        <v>8391</v>
      </c>
      <c r="B10" s="8" t="e">
        <f>MEDIAN(#REF!)</f>
        <v>#REF!</v>
      </c>
      <c r="C10" s="8" t="e">
        <f>MEDIAN(#REF!)</f>
        <v>#REF!</v>
      </c>
    </row>
    <row r="11" spans="1:3" x14ac:dyDescent="0.25">
      <c r="A11" t="s">
        <v>8396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t="s">
        <v>8397</v>
      </c>
      <c r="B12" s="8" t="e">
        <f>_xlfn.QUARTILE.EXC(#REF!,3)</f>
        <v>#REF!</v>
      </c>
      <c r="C12" s="8" t="e">
        <f>_xlfn.QUARTILE.EXC(#REF!,3)</f>
        <v>#REF!</v>
      </c>
    </row>
    <row r="13" spans="1:3" x14ac:dyDescent="0.25">
      <c r="A13" t="s">
        <v>8398</v>
      </c>
      <c r="B13" s="8" t="e">
        <f>_xlfn.QUARTILE.EXC(#REF!,1)</f>
        <v>#REF!</v>
      </c>
      <c r="C13" s="8" t="e">
        <f>_xlfn.QUARTILE.EXC(#REF!,1)</f>
        <v>#REF!</v>
      </c>
    </row>
    <row r="14" spans="1:3" x14ac:dyDescent="0.25">
      <c r="A14" t="s">
        <v>8399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69176-DE15-4017-93F2-C71459BAE8CC}">
  <dimension ref="A2:E19"/>
  <sheetViews>
    <sheetView tabSelected="1" topLeftCell="A16"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8401</v>
      </c>
      <c r="B3" t="s">
        <v>8364</v>
      </c>
    </row>
    <row r="5" spans="1:5" x14ac:dyDescent="0.25">
      <c r="A5" s="11" t="s">
        <v>8363</v>
      </c>
      <c r="B5" s="11" t="s">
        <v>8362</v>
      </c>
    </row>
    <row r="6" spans="1:5" x14ac:dyDescent="0.25">
      <c r="A6" s="11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7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F469A-D2D1-4C27-83B3-542880EE2B59}">
  <dimension ref="A1:H13"/>
  <sheetViews>
    <sheetView workbookViewId="0">
      <selection activeCell="D11" sqref="D11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8402</v>
      </c>
      <c r="C1" t="s">
        <v>8403</v>
      </c>
      <c r="D1" t="s">
        <v>8404</v>
      </c>
      <c r="E1" t="s">
        <v>8405</v>
      </c>
      <c r="F1" s="18" t="s">
        <v>8406</v>
      </c>
      <c r="G1" s="18" t="s">
        <v>8407</v>
      </c>
      <c r="H1" s="18" t="s">
        <v>8408</v>
      </c>
    </row>
    <row r="2" spans="1:8" x14ac:dyDescent="0.25">
      <c r="A2" t="s">
        <v>8409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8410</v>
      </c>
      <c r="B3">
        <f>COUNTIFS(Kickstarter!D:D,"&lt;=4999",Kickstarter!D:D,"&gt;=1000",Kickstarter!F:F,"successful")</f>
        <v>932</v>
      </c>
      <c r="C3">
        <f>COUNTIFS(Kickstarter!D:D,"&gt;=1000",Kickstarter!D:D,"&lt;=4999",Kickstarter!F:F,"failed")</f>
        <v>420</v>
      </c>
      <c r="D3">
        <f>COUNTIFS(Kickstarter!D:D,"&gt;1000",Kickstarter!D:D,"&lt;=4999",Kickstarter!F:F,"canceled")</f>
        <v>52</v>
      </c>
      <c r="E3">
        <f t="shared" ref="E3:E13" si="0">SUM(B3:D3)</f>
        <v>1404</v>
      </c>
      <c r="F3" s="18">
        <f t="shared" ref="F3:F13" si="1">B3/E3</f>
        <v>0.66381766381766383</v>
      </c>
      <c r="G3" s="18">
        <f t="shared" ref="G3:G13" si="2">C3/E3</f>
        <v>0.29914529914529914</v>
      </c>
      <c r="H3" s="18">
        <f t="shared" ref="H3:H13" si="3">D3/E3</f>
        <v>3.7037037037037035E-2</v>
      </c>
    </row>
    <row r="4" spans="1:8" x14ac:dyDescent="0.25">
      <c r="A4" t="s">
        <v>8411</v>
      </c>
      <c r="B4">
        <f>COUNTIFS(Kickstarter!D:D,"&lt;=9999",Kickstarter!D:D,"&gt;=5000",Kickstarter!F:F,"successful")</f>
        <v>381</v>
      </c>
      <c r="C4">
        <f>COUNTIFS(Kickstarter!D:D,"&gt;=5000",Kickstarter!D:D,"&lt;=9999",Kickstarter!F:F,"failed")</f>
        <v>283</v>
      </c>
      <c r="D4">
        <f>COUNTIFS(Kickstarter!D:D,"&gt;5000",Kickstarter!D:D,"&lt;=9999",Kickstarter!F:F,"canceled")</f>
        <v>28</v>
      </c>
      <c r="E4">
        <f t="shared" si="0"/>
        <v>692</v>
      </c>
      <c r="F4" s="18">
        <f t="shared" si="1"/>
        <v>0.55057803468208089</v>
      </c>
      <c r="G4" s="18">
        <f t="shared" si="2"/>
        <v>0.40895953757225434</v>
      </c>
      <c r="H4" s="18">
        <f t="shared" si="3"/>
        <v>4.046242774566474E-2</v>
      </c>
    </row>
    <row r="5" spans="1:8" x14ac:dyDescent="0.25">
      <c r="A5" t="s">
        <v>8412</v>
      </c>
      <c r="B5">
        <f>COUNTIFS(Kickstarter!D:D,"&lt;=14999",Kickstarter!D:D,"&gt;=10000",Kickstarter!F:F,"successful")</f>
        <v>168</v>
      </c>
      <c r="C5">
        <f>COUNTIFS(Kickstarter!D:D,"&gt;=10000",Kickstarter!D:D,"&lt;=14999",Kickstarter!F:F,"failed")</f>
        <v>144</v>
      </c>
      <c r="D5">
        <f>COUNTIFS(Kickstarter!D:D,"&gt;10000",Kickstarter!D:D,"&lt;=14999",Kickstarter!F:F,"canceled")</f>
        <v>12</v>
      </c>
      <c r="E5">
        <f t="shared" si="0"/>
        <v>324</v>
      </c>
      <c r="F5" s="18">
        <f t="shared" si="1"/>
        <v>0.51851851851851849</v>
      </c>
      <c r="G5" s="18">
        <f t="shared" si="2"/>
        <v>0.44444444444444442</v>
      </c>
      <c r="H5" s="18">
        <f t="shared" si="3"/>
        <v>3.7037037037037035E-2</v>
      </c>
    </row>
    <row r="6" spans="1:8" x14ac:dyDescent="0.25">
      <c r="A6" t="s">
        <v>8413</v>
      </c>
      <c r="B6">
        <f>COUNTIFS(Kickstarter!D:D,"&lt;=19999",Kickstarter!D:D,"&gt;=15000",Kickstarter!F:F,"successful")</f>
        <v>94</v>
      </c>
      <c r="C6">
        <f>COUNTIFS(Kickstarter!D:D,"&gt;=15000",Kickstarter!D:D,"&lt;=19999",Kickstarter!F:F,"failed")</f>
        <v>90</v>
      </c>
      <c r="D6">
        <f>COUNTIFS(Kickstarter!D:D,"&gt;15000",Kickstarter!D:D,"&lt;=19999",Kickstarter!F:F,"canceled")</f>
        <v>4</v>
      </c>
      <c r="E6">
        <f t="shared" si="0"/>
        <v>188</v>
      </c>
      <c r="F6" s="18">
        <f t="shared" si="1"/>
        <v>0.5</v>
      </c>
      <c r="G6" s="18">
        <f t="shared" si="2"/>
        <v>0.47872340425531917</v>
      </c>
      <c r="H6" s="18">
        <f t="shared" si="3"/>
        <v>2.1276595744680851E-2</v>
      </c>
    </row>
    <row r="7" spans="1:8" x14ac:dyDescent="0.25">
      <c r="A7" t="s">
        <v>8414</v>
      </c>
      <c r="B7">
        <f>COUNTIFS(Kickstarter!D:D,"&lt;=24999",Kickstarter!D:D,"&gt;=20000",Kickstarter!F:F,"successful")</f>
        <v>62</v>
      </c>
      <c r="C7">
        <f>COUNTIFS(Kickstarter!D:D,"&gt;=20000",Kickstarter!D:D,"&lt;=24999",Kickstarter!F:F,"failed")</f>
        <v>72</v>
      </c>
      <c r="D7">
        <f>COUNTIFS(Kickstarter!D:D,"&gt;20000",Kickstarter!D:D,"&lt;=24999",Kickstarter!F:F,"canceled")</f>
        <v>1</v>
      </c>
      <c r="E7">
        <f t="shared" si="0"/>
        <v>135</v>
      </c>
      <c r="F7" s="18">
        <f t="shared" si="1"/>
        <v>0.45925925925925926</v>
      </c>
      <c r="G7" s="18">
        <f t="shared" si="2"/>
        <v>0.53333333333333333</v>
      </c>
      <c r="H7" s="18">
        <f t="shared" si="3"/>
        <v>7.4074074074074077E-3</v>
      </c>
    </row>
    <row r="8" spans="1:8" x14ac:dyDescent="0.25">
      <c r="A8" t="s">
        <v>8415</v>
      </c>
      <c r="B8">
        <f>COUNTIFS(Kickstarter!D:D,"&lt;=29999",Kickstarter!D:D,"&gt;=25000",Kickstarter!F:F,"successful")</f>
        <v>55</v>
      </c>
      <c r="C8">
        <f>COUNTIFS(Kickstarter!D:D,"&gt;=25000",Kickstarter!D:D,"&lt;=29999",Kickstarter!F:F,"failed")</f>
        <v>64</v>
      </c>
      <c r="D8">
        <f>COUNTIFS(Kickstarter!D:D,"&gt;25000",Kickstarter!D:D,"&lt;=29999",Kickstarter!F:F,"canceled")</f>
        <v>1</v>
      </c>
      <c r="E8">
        <f t="shared" si="0"/>
        <v>120</v>
      </c>
      <c r="F8" s="18">
        <f t="shared" si="1"/>
        <v>0.45833333333333331</v>
      </c>
      <c r="G8" s="18">
        <f t="shared" si="2"/>
        <v>0.53333333333333333</v>
      </c>
      <c r="H8" s="18">
        <f t="shared" si="3"/>
        <v>8.3333333333333332E-3</v>
      </c>
    </row>
    <row r="9" spans="1:8" x14ac:dyDescent="0.25">
      <c r="A9" t="s">
        <v>8416</v>
      </c>
      <c r="B9">
        <f>COUNTIFS(Kickstarter!D:D,"&lt;=34999",Kickstarter!D:D,"&gt;=30000",Kickstarter!F:F,"successful")</f>
        <v>32</v>
      </c>
      <c r="C9">
        <f>COUNTIFS(Kickstarter!D:D,"&gt;=30000",Kickstarter!D:D,"&lt;=34999",Kickstarter!F:F,"failed")</f>
        <v>37</v>
      </c>
      <c r="D9">
        <f>COUNTIFS(Kickstarter!D:D,"&gt;30000",Kickstarter!D:D,"&lt;=34999",Kickstarter!F:F,"canceled")</f>
        <v>1</v>
      </c>
      <c r="E9">
        <f t="shared" si="0"/>
        <v>70</v>
      </c>
      <c r="F9" s="18">
        <f t="shared" si="1"/>
        <v>0.45714285714285713</v>
      </c>
      <c r="G9" s="18">
        <f t="shared" si="2"/>
        <v>0.52857142857142858</v>
      </c>
      <c r="H9" s="18">
        <f t="shared" si="3"/>
        <v>1.4285714285714285E-2</v>
      </c>
    </row>
    <row r="10" spans="1:8" x14ac:dyDescent="0.25">
      <c r="A10" t="s">
        <v>8420</v>
      </c>
      <c r="B10">
        <f>COUNTIFS(Kickstarter!D:D,"&lt;=39999",Kickstarter!D:D,"&gt;=35000",Kickstarter!F:F,"successful")</f>
        <v>26</v>
      </c>
      <c r="C10">
        <f>COUNTIFS(Kickstarter!D:D,"&gt;=35000",Kickstarter!D:D,"&lt;=39999",Kickstarter!F:F,"failed")</f>
        <v>22</v>
      </c>
      <c r="D10">
        <f>COUNTIFS(Kickstarter!D:D,"&gt;35000",Kickstarter!D:D,"&lt;=39999",Kickstarter!F:F,"canceled")</f>
        <v>2</v>
      </c>
      <c r="E10">
        <f t="shared" si="0"/>
        <v>50</v>
      </c>
      <c r="F10" s="18">
        <f t="shared" si="1"/>
        <v>0.52</v>
      </c>
      <c r="G10" s="18">
        <f t="shared" si="2"/>
        <v>0.44</v>
      </c>
      <c r="H10" s="18">
        <f t="shared" si="3"/>
        <v>0.04</v>
      </c>
    </row>
    <row r="11" spans="1:8" x14ac:dyDescent="0.25">
      <c r="A11" t="s">
        <v>8417</v>
      </c>
      <c r="B11">
        <f>COUNTIFS(Kickstarter!D:D,"&lt;=44999",Kickstarter!D:D,"&gt;=40000",Kickstarter!F:F,"successful")</f>
        <v>21</v>
      </c>
      <c r="C11">
        <f>COUNTIFS(Kickstarter!D:D,"&gt;=40000",Kickstarter!D:D,"&lt;=44999",Kickstarter!F:F,"failed")</f>
        <v>16</v>
      </c>
      <c r="D11">
        <f>COUNTIFS(Kickstarter!D:D,"&gt;40000",Kickstarter!D:D,"&lt;=44999",Kickstarter!F:F,"canceled")</f>
        <v>0</v>
      </c>
      <c r="E11">
        <f t="shared" si="0"/>
        <v>37</v>
      </c>
      <c r="F11" s="18">
        <f t="shared" si="1"/>
        <v>0.56756756756756754</v>
      </c>
      <c r="G11" s="18">
        <f t="shared" si="2"/>
        <v>0.43243243243243246</v>
      </c>
      <c r="H11" s="18">
        <f t="shared" si="3"/>
        <v>0</v>
      </c>
    </row>
    <row r="12" spans="1:8" x14ac:dyDescent="0.25">
      <c r="A12" t="s">
        <v>8418</v>
      </c>
      <c r="B12">
        <f>COUNTIFS(Kickstarter!D:D,"&lt;=49999",Kickstarter!D:D,"&gt;=45000",Kickstarter!F:F,"successful")</f>
        <v>6</v>
      </c>
      <c r="C12">
        <f>COUNTIFS(Kickstarter!D:D,"&gt;=45000",Kickstarter!D:D,"&lt;=49999",Kickstarter!F:F,"failed")</f>
        <v>11</v>
      </c>
      <c r="D12">
        <f>COUNTIFS(Kickstarter!D:D,"&gt;45000",Kickstarter!D:D,"&lt;=49999",Kickstarter!F:F,"canceled")</f>
        <v>2</v>
      </c>
      <c r="E12">
        <f t="shared" si="0"/>
        <v>19</v>
      </c>
      <c r="F12" s="18">
        <f t="shared" si="1"/>
        <v>0.31578947368421051</v>
      </c>
      <c r="G12" s="18">
        <f t="shared" si="2"/>
        <v>0.57894736842105265</v>
      </c>
      <c r="H12" s="18">
        <f t="shared" si="3"/>
        <v>0.10526315789473684</v>
      </c>
    </row>
    <row r="13" spans="1:8" x14ac:dyDescent="0.25">
      <c r="A13" t="s">
        <v>8419</v>
      </c>
      <c r="B13">
        <f>COUNTIFS(Kickstarter!D:D,"&gt;=50000",Kickstarter!F:F,"successful")</f>
        <v>86</v>
      </c>
      <c r="C13">
        <f>COUNTIFS(Kickstarter!D:D,"&gt;=50000",Kickstarter!F:F,"failed")</f>
        <v>258</v>
      </c>
      <c r="D13">
        <f>COUNTIFS(Kickstarter!D:D,"&gt;50000",Kickstarter!F:F,"canceled")</f>
        <v>83</v>
      </c>
      <c r="E13">
        <f t="shared" si="0"/>
        <v>427</v>
      </c>
      <c r="F13" s="18">
        <f t="shared" si="1"/>
        <v>0.20140515222482436</v>
      </c>
      <c r="G13" s="18">
        <f t="shared" si="2"/>
        <v>0.60421545667447307</v>
      </c>
      <c r="H13" s="18">
        <f t="shared" si="3"/>
        <v>0.19437939110070257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CatStat</vt:lpstr>
      <vt:lpstr>SubCatStat</vt:lpstr>
      <vt:lpstr>Outcomes based on Launch Date</vt:lpstr>
      <vt:lpstr>Edinburgh ResearchBe Prepared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Yturralde</cp:lastModifiedBy>
  <dcterms:created xsi:type="dcterms:W3CDTF">2017-04-20T15:17:24Z</dcterms:created>
  <dcterms:modified xsi:type="dcterms:W3CDTF">2022-05-28T19:13:52Z</dcterms:modified>
</cp:coreProperties>
</file>