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mc3001/Downloads/"/>
    </mc:Choice>
  </mc:AlternateContent>
  <bookViews>
    <workbookView xWindow="0" yWindow="46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C2" i="1"/>
  <c r="B5" i="1"/>
  <c r="B6" i="1"/>
  <c r="B7" i="1"/>
  <c r="C7" i="1"/>
  <c r="B8" i="1"/>
  <c r="C8" i="1"/>
  <c r="B9" i="1"/>
  <c r="C9" i="1"/>
  <c r="B10" i="1"/>
  <c r="C10" i="1"/>
  <c r="B16" i="1"/>
  <c r="C16" i="1"/>
  <c r="B17" i="1"/>
  <c r="C17" i="1"/>
  <c r="B22" i="1"/>
  <c r="B23" i="1"/>
  <c r="C23" i="1"/>
  <c r="B24" i="1"/>
  <c r="C24" i="1"/>
  <c r="B25" i="1"/>
  <c r="C25" i="1"/>
  <c r="B26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8" i="1"/>
  <c r="C58" i="1"/>
  <c r="B66" i="1"/>
  <c r="B67" i="1"/>
  <c r="C67" i="1"/>
  <c r="B68" i="1"/>
  <c r="C68" i="1"/>
  <c r="B79" i="1"/>
  <c r="C79" i="1"/>
  <c r="B80" i="1"/>
  <c r="C80" i="1"/>
  <c r="B81" i="1"/>
  <c r="C81" i="1"/>
  <c r="B82" i="1"/>
  <c r="C82" i="1"/>
  <c r="B83" i="1"/>
  <c r="C83" i="1"/>
  <c r="B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B97" i="1"/>
  <c r="C97" i="1"/>
  <c r="B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B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B215" i="1"/>
  <c r="C215" i="1"/>
  <c r="B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B266" i="1"/>
  <c r="C266" i="1"/>
  <c r="B267" i="1"/>
  <c r="C267" i="1"/>
  <c r="B268" i="1"/>
  <c r="C268" i="1"/>
  <c r="B270" i="1"/>
  <c r="C270" i="1"/>
  <c r="B271" i="1"/>
  <c r="C271" i="1"/>
  <c r="B272" i="1"/>
  <c r="C272" i="1"/>
  <c r="B277" i="1"/>
  <c r="C277" i="1"/>
  <c r="B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B322" i="1"/>
  <c r="C322" i="1"/>
  <c r="B323" i="1"/>
  <c r="C323" i="1"/>
  <c r="B324" i="1"/>
  <c r="B325" i="1"/>
  <c r="C325" i="1"/>
  <c r="B326" i="1"/>
  <c r="C326" i="1"/>
  <c r="B327" i="1"/>
  <c r="C327" i="1"/>
  <c r="B328" i="1"/>
  <c r="C328" i="1"/>
  <c r="B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B353" i="1"/>
  <c r="C353" i="1"/>
  <c r="B354" i="1"/>
  <c r="B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B370" i="1"/>
  <c r="C370" i="1"/>
  <c r="B371" i="1"/>
  <c r="C371" i="1"/>
  <c r="B372" i="1"/>
  <c r="C372" i="1"/>
  <c r="B373" i="1"/>
  <c r="C373" i="1"/>
  <c r="B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B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1" i="1"/>
  <c r="B502" i="1"/>
  <c r="B503" i="1"/>
  <c r="C503" i="1"/>
  <c r="B504" i="1"/>
  <c r="C504" i="1"/>
  <c r="B505" i="1"/>
  <c r="C505" i="1"/>
  <c r="B506" i="1"/>
  <c r="C506" i="1"/>
  <c r="B508" i="1"/>
  <c r="C508" i="1"/>
  <c r="B509" i="1"/>
  <c r="C509" i="1"/>
  <c r="B510" i="1"/>
  <c r="B511" i="1"/>
  <c r="B512" i="1"/>
  <c r="C512" i="1"/>
  <c r="B513" i="1"/>
  <c r="B514" i="1"/>
  <c r="C514" i="1"/>
  <c r="B515" i="1"/>
  <c r="B516" i="1"/>
  <c r="C516" i="1"/>
  <c r="B517" i="1"/>
  <c r="C517" i="1"/>
  <c r="B518" i="1"/>
  <c r="B519" i="1"/>
  <c r="C519" i="1"/>
  <c r="B520" i="1"/>
  <c r="C520" i="1"/>
  <c r="B521" i="1"/>
  <c r="C521" i="1"/>
  <c r="B522" i="1"/>
  <c r="C522" i="1"/>
  <c r="B523" i="1"/>
  <c r="B524" i="1"/>
  <c r="B525" i="1"/>
  <c r="C525" i="1"/>
  <c r="B526" i="1"/>
  <c r="C526" i="1"/>
  <c r="B527" i="1"/>
  <c r="C527" i="1"/>
  <c r="B528" i="1"/>
  <c r="C528" i="1"/>
  <c r="B529" i="1"/>
  <c r="C529" i="1"/>
  <c r="B530" i="1"/>
  <c r="B531" i="1"/>
  <c r="C531" i="1"/>
  <c r="B532" i="1"/>
  <c r="B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B546" i="1"/>
  <c r="C546" i="1"/>
  <c r="B547" i="1"/>
  <c r="B553" i="1"/>
  <c r="C553" i="1"/>
  <c r="B554" i="1"/>
  <c r="C554" i="1"/>
  <c r="B555" i="1"/>
  <c r="C555" i="1"/>
  <c r="B556" i="1"/>
  <c r="C556" i="1"/>
  <c r="B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B568" i="1"/>
  <c r="B569" i="1"/>
  <c r="C569" i="1"/>
  <c r="B570" i="1"/>
  <c r="C570" i="1"/>
  <c r="B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B581" i="1"/>
  <c r="C581" i="1"/>
  <c r="B582" i="1"/>
  <c r="C582" i="1"/>
  <c r="B583" i="1"/>
  <c r="C583" i="1"/>
  <c r="B584" i="1"/>
  <c r="C584" i="1"/>
  <c r="B585" i="1"/>
  <c r="B586" i="1"/>
  <c r="C586" i="1"/>
  <c r="B587" i="1"/>
  <c r="C587" i="1"/>
  <c r="B588" i="1"/>
  <c r="C588" i="1"/>
  <c r="B589" i="1"/>
  <c r="B590" i="1"/>
  <c r="C590" i="1"/>
  <c r="B591" i="1"/>
  <c r="B592" i="1"/>
  <c r="C592" i="1"/>
  <c r="B593" i="1"/>
  <c r="C593" i="1"/>
  <c r="B594" i="1"/>
  <c r="C594" i="1"/>
  <c r="B595" i="1"/>
  <c r="C595" i="1"/>
  <c r="B596" i="1"/>
  <c r="C596" i="1"/>
  <c r="B597" i="1"/>
  <c r="B598" i="1"/>
  <c r="B599" i="1"/>
  <c r="C599" i="1"/>
  <c r="B600" i="1"/>
  <c r="C600" i="1"/>
  <c r="B601" i="1"/>
  <c r="C601" i="1"/>
  <c r="B602" i="1"/>
  <c r="C602" i="1"/>
  <c r="B603" i="1"/>
  <c r="B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B617" i="1"/>
  <c r="C617" i="1"/>
  <c r="B618" i="1"/>
  <c r="C618" i="1"/>
  <c r="B619" i="1"/>
  <c r="C619" i="1"/>
  <c r="B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B629" i="1"/>
  <c r="B630" i="1"/>
  <c r="C630" i="1"/>
  <c r="B631" i="1"/>
  <c r="C631" i="1"/>
  <c r="B632" i="1"/>
  <c r="C632" i="1"/>
  <c r="B633" i="1"/>
  <c r="B634" i="1"/>
  <c r="C634" i="1"/>
  <c r="B635" i="1"/>
  <c r="C635" i="1"/>
  <c r="B636" i="1"/>
  <c r="B637" i="1"/>
  <c r="C637" i="1"/>
  <c r="B638" i="1"/>
  <c r="C638" i="1"/>
  <c r="B639" i="1"/>
  <c r="B640" i="1"/>
  <c r="B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B658" i="1"/>
  <c r="C658" i="1"/>
  <c r="B659" i="1"/>
  <c r="C659" i="1"/>
  <c r="B660" i="1"/>
  <c r="C660" i="1"/>
  <c r="B661" i="1"/>
  <c r="C661" i="1"/>
  <c r="B662" i="1"/>
  <c r="C662" i="1"/>
  <c r="B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B673" i="1"/>
  <c r="B674" i="1"/>
  <c r="C674" i="1"/>
  <c r="B675" i="1"/>
  <c r="C675" i="1"/>
  <c r="B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B697" i="1"/>
  <c r="C697" i="1"/>
  <c r="B698" i="1"/>
  <c r="C698" i="1"/>
  <c r="B699" i="1"/>
  <c r="C699" i="1"/>
  <c r="B700" i="1"/>
  <c r="C700" i="1"/>
  <c r="B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B734" i="1"/>
  <c r="C734" i="1"/>
  <c r="B736" i="1"/>
  <c r="C736" i="1"/>
  <c r="B737" i="1"/>
  <c r="C737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B766" i="1"/>
  <c r="C766" i="1"/>
  <c r="B767" i="1"/>
  <c r="C767" i="1"/>
  <c r="B768" i="1"/>
  <c r="C768" i="1"/>
  <c r="B769" i="1"/>
  <c r="B770" i="1"/>
  <c r="B771" i="1"/>
  <c r="C771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B798" i="1"/>
  <c r="C798" i="1"/>
  <c r="B799" i="1"/>
  <c r="C799" i="1"/>
  <c r="B800" i="1"/>
  <c r="B801" i="1"/>
  <c r="C801" i="1"/>
  <c r="B802" i="1"/>
  <c r="B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B811" i="1"/>
  <c r="C811" i="1"/>
  <c r="B812" i="1"/>
  <c r="B814" i="1"/>
  <c r="C814" i="1"/>
  <c r="B815" i="1"/>
  <c r="C815" i="1"/>
  <c r="B816" i="1"/>
  <c r="B817" i="1"/>
  <c r="B818" i="1"/>
  <c r="C818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50" i="1"/>
  <c r="C850" i="1"/>
  <c r="B851" i="1"/>
  <c r="C851" i="1"/>
  <c r="B852" i="1"/>
  <c r="C852" i="1"/>
  <c r="B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B898" i="1"/>
  <c r="C898" i="1"/>
  <c r="B899" i="1"/>
  <c r="C899" i="1"/>
  <c r="B900" i="1"/>
  <c r="C900" i="1"/>
  <c r="B901" i="1"/>
  <c r="C901" i="1"/>
  <c r="B902" i="1"/>
  <c r="C902" i="1"/>
  <c r="B903" i="1"/>
  <c r="B904" i="1"/>
  <c r="C904" i="1"/>
  <c r="B905" i="1"/>
  <c r="C905" i="1"/>
  <c r="B906" i="1"/>
  <c r="C906" i="1"/>
  <c r="B907" i="1"/>
  <c r="C907" i="1"/>
  <c r="B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8" i="1"/>
  <c r="C918" i="1"/>
  <c r="B923" i="1"/>
  <c r="B924" i="1"/>
  <c r="C924" i="1"/>
  <c r="B925" i="1"/>
  <c r="C925" i="1"/>
  <c r="B926" i="1"/>
  <c r="C926" i="1"/>
  <c r="B927" i="1"/>
  <c r="C927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B957" i="1"/>
  <c r="C957" i="1"/>
  <c r="B958" i="1"/>
  <c r="C958" i="1"/>
  <c r="B959" i="1"/>
  <c r="C959" i="1"/>
  <c r="B960" i="1"/>
  <c r="C960" i="1"/>
  <c r="B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B998" i="1"/>
  <c r="C998" i="1"/>
  <c r="B999" i="1"/>
  <c r="C999" i="1"/>
  <c r="B1000" i="1"/>
  <c r="C1000" i="1"/>
  <c r="B1002" i="1"/>
  <c r="C1002" i="1"/>
  <c r="B1003" i="1"/>
  <c r="C1003" i="1"/>
  <c r="B1004" i="1"/>
  <c r="C1004" i="1"/>
  <c r="B1005" i="1"/>
  <c r="C1005" i="1"/>
  <c r="B1006" i="1"/>
  <c r="C1006" i="1"/>
  <c r="B1007" i="1"/>
  <c r="B1008" i="1"/>
  <c r="C1008" i="1"/>
  <c r="B1010" i="1"/>
  <c r="B1011" i="1"/>
  <c r="C1011" i="1"/>
  <c r="B1012" i="1"/>
  <c r="C1012" i="1"/>
  <c r="B1013" i="1"/>
  <c r="C1013" i="1"/>
  <c r="B1014" i="1"/>
  <c r="C1014" i="1"/>
  <c r="B1015" i="1"/>
  <c r="C1015" i="1"/>
  <c r="B1016" i="1"/>
  <c r="B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B1030" i="1"/>
  <c r="C1030" i="1"/>
  <c r="B1031" i="1"/>
  <c r="C1031" i="1"/>
  <c r="B1032" i="1"/>
  <c r="C1032" i="1"/>
  <c r="B1033" i="1"/>
  <c r="C1033" i="1"/>
  <c r="B1034" i="1"/>
  <c r="C1034" i="1"/>
  <c r="B1035" i="1"/>
  <c r="B1036" i="1"/>
  <c r="C1036" i="1"/>
  <c r="B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B1058" i="1"/>
  <c r="B1059" i="1"/>
  <c r="C1059" i="1"/>
  <c r="B1060" i="1"/>
  <c r="B1061" i="1"/>
  <c r="C1061" i="1"/>
  <c r="B1062" i="1"/>
  <c r="C1062" i="1"/>
  <c r="B1063" i="1"/>
  <c r="C1063" i="1"/>
  <c r="B1064" i="1"/>
  <c r="C1064" i="1"/>
  <c r="B1065" i="1"/>
  <c r="C1065" i="1"/>
  <c r="B1066" i="1"/>
  <c r="B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B1164" i="1"/>
  <c r="B1165" i="1"/>
  <c r="C1165" i="1"/>
  <c r="B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B1178" i="1"/>
  <c r="C1178" i="1"/>
  <c r="B1179" i="1"/>
  <c r="B1180" i="1"/>
  <c r="B1181" i="1"/>
  <c r="B1182" i="1"/>
  <c r="C1182" i="1"/>
  <c r="B1183" i="1"/>
  <c r="C1183" i="1"/>
  <c r="B1184" i="1"/>
  <c r="C1184" i="1"/>
  <c r="B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B1204" i="1"/>
  <c r="C1204" i="1"/>
  <c r="B1205" i="1"/>
  <c r="C1205" i="1"/>
  <c r="B1206" i="1"/>
  <c r="C1206" i="1"/>
  <c r="B1207" i="1"/>
  <c r="B1208" i="1"/>
  <c r="C1208" i="1"/>
  <c r="B1209" i="1"/>
  <c r="C1209" i="1"/>
  <c r="B1210" i="1"/>
  <c r="C1210" i="1"/>
  <c r="B1211" i="1"/>
  <c r="B1212" i="1"/>
  <c r="C1212" i="1"/>
  <c r="B1213" i="1"/>
  <c r="C1213" i="1"/>
  <c r="B1214" i="1"/>
  <c r="C1214" i="1"/>
  <c r="B1215" i="1"/>
  <c r="C1215" i="1"/>
  <c r="B1216" i="1"/>
  <c r="C1216" i="1"/>
  <c r="B1217" i="1"/>
  <c r="B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B1238" i="1"/>
  <c r="C1238" i="1"/>
  <c r="B1239" i="1"/>
  <c r="C1239" i="1"/>
  <c r="B1240" i="1"/>
  <c r="C1240" i="1"/>
  <c r="B1241" i="1"/>
  <c r="C1241" i="1"/>
  <c r="B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B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B1287" i="1"/>
  <c r="C1287" i="1"/>
  <c r="B1288" i="1"/>
  <c r="C1288" i="1"/>
  <c r="B1289" i="1"/>
  <c r="C1289" i="1"/>
  <c r="B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B1306" i="1"/>
  <c r="C1306" i="1"/>
  <c r="B1307" i="1"/>
  <c r="B1308" i="1"/>
  <c r="C1308" i="1"/>
  <c r="B1310" i="1"/>
  <c r="C1310" i="1"/>
  <c r="B1311" i="1"/>
  <c r="C1311" i="1"/>
  <c r="B1312" i="1"/>
  <c r="C1312" i="1"/>
  <c r="B1317" i="1"/>
  <c r="C1317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9" i="1"/>
  <c r="C1329" i="1"/>
  <c r="B1330" i="1"/>
  <c r="C1330" i="1"/>
  <c r="B1331" i="1"/>
  <c r="C1331" i="1"/>
  <c r="B1332" i="1"/>
  <c r="C1332" i="1"/>
  <c r="B1334" i="1"/>
  <c r="B1335" i="1"/>
  <c r="C1335" i="1"/>
  <c r="B1339" i="1"/>
  <c r="C1339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B1348" i="1"/>
  <c r="C1348" i="1"/>
  <c r="B1349" i="1"/>
  <c r="C1349" i="1"/>
  <c r="B1350" i="1"/>
  <c r="C1350" i="1"/>
  <c r="B1351" i="1"/>
  <c r="C1351" i="1"/>
  <c r="B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B1370" i="1"/>
  <c r="B1371" i="1"/>
  <c r="C1371" i="1"/>
  <c r="B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B1394" i="1"/>
  <c r="C1394" i="1"/>
  <c r="B1395" i="1"/>
  <c r="C1395" i="1"/>
  <c r="B1396" i="1"/>
  <c r="C1396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</calcChain>
</file>

<file path=xl/sharedStrings.xml><?xml version="1.0" encoding="utf-8"?>
<sst xmlns="http://schemas.openxmlformats.org/spreadsheetml/2006/main" count="4555" uniqueCount="3370">
  <si>
    <t>BrC1=CN([C@@H]2O[C@H](CO)[C@@H](O)C2)C(=O)NC1=O</t>
  </si>
  <si>
    <t>No</t>
  </si>
  <si>
    <t>BROXURIDINE</t>
  </si>
  <si>
    <t>SID50105447|SID17389223|SID90341500|SID56463513|SID50105448|SID144204567|Broxuridine|SID29215103|</t>
  </si>
  <si>
    <t>BrC1=Cn2c3c(nccc3c3c2cccc3)C1=O</t>
  </si>
  <si>
    <t>BrCC(=O)c1nccc2c1n(c1c2cccc1)C</t>
  </si>
  <si>
    <t>Brc1c2[nH]c3c(c2ccc1)cccc3</t>
  </si>
  <si>
    <t>Brc1c2[nH]c3c(c2ccc1OC)ccnc3C</t>
  </si>
  <si>
    <t>Brc1c2nccnc2ccc1NC=1NCCN=1</t>
  </si>
  <si>
    <t>Yes</t>
  </si>
  <si>
    <t>BRIMONIDINE</t>
  </si>
  <si>
    <t>Alphagan|Brimonidine|UK-14304|Alphagan-P|SID104171261|SID50104157|SID855898|SID11113354|SID90340645|SID85231282|SID26751556|SID11111939|</t>
  </si>
  <si>
    <t>Brc1cc(cc(Br)c1O)C(=O)c1c2c(oc1CC)cccc2</t>
  </si>
  <si>
    <t>BENZBROMARONE</t>
  </si>
  <si>
    <t>SID11110651|SID26664708|SID24424558|SID50103990|SID56422114|L-2214|SID855676|Benzbromaron|Benzbromarone|MJ-10061|SID122758|SID4253342|SID144203592|</t>
  </si>
  <si>
    <t>Brc1cc2c(cc1O)C(CN(CC2)C)c1ccccc1</t>
  </si>
  <si>
    <t>SK-83566|SK&amp;amp;F-83566|SID26752220|</t>
  </si>
  <si>
    <t>Brc1cc2c3c([nH]c2cc1)C(=O)CCC3</t>
  </si>
  <si>
    <t>SID4265237</t>
  </si>
  <si>
    <t>Brc1cc2c3c([nH]c2cc1)C(CCC3)C(=O)C</t>
  </si>
  <si>
    <t>Brc1cc2c3c([nH]c2cc1)C(O)(CCC3)C(=O)C</t>
  </si>
  <si>
    <t>Brc1cc2c3c([nH]c2cc1)c(ccc3)-c1nc(ncc1)N</t>
  </si>
  <si>
    <t>Brc1cc2c3c([nH]c2cc1)c(ccc3)C(=O)C</t>
  </si>
  <si>
    <t>Brc1cc2c3c([nH]c2cc1)c(ncc3)C(=O)C</t>
  </si>
  <si>
    <t>Brc1cc2c3c([nH]c2cc1)cncc3</t>
  </si>
  <si>
    <t>Brc1cc2c3c([nH]c2cc1OC)c(ncc3)C</t>
  </si>
  <si>
    <t>Brc1cc2c3c(n(c2cc1)COCC[Si](C)(C)C)c(ccc3)-c1nc(ncc1)N</t>
  </si>
  <si>
    <t>Brc1cc2c3c(n(c2cc1)COCC[Si](C)(C)C)c(ccc3)C(=O)C</t>
  </si>
  <si>
    <t>Brc1cc2c3c4n(C=CC(=O)c4ccc3)c2cc1</t>
  </si>
  <si>
    <t>Brc1cc2c3c4n(C=CC(=O)c4ncc3)c2cc1</t>
  </si>
  <si>
    <t>Brc1ccc(NC(Nc2nc(cc(n2)NCCN(CC)CC)C)=N)cc1C(F)(F)F</t>
  </si>
  <si>
    <t>Brc1ccc(cc1)[C@H](CCN(C)C)c1ncccc1</t>
  </si>
  <si>
    <t>DEXBROMPHENIRAMINE</t>
  </si>
  <si>
    <t>SID90341837|Dexbrompheniramine|SID29216402|</t>
  </si>
  <si>
    <t>Brc1ccccc1C[N+](CC)(C)C</t>
  </si>
  <si>
    <t>BRETYLIUM</t>
  </si>
  <si>
    <t>SID50113155|Bretylium|SID50113154|</t>
  </si>
  <si>
    <t>Brc1nc2c(ncnc2N)n1[C@@H]1O[C@H](CO)[C@@H](O)[C@H]1O</t>
  </si>
  <si>
    <t>8-Bromoadenosine</t>
  </si>
  <si>
    <t>Brc1nccc2c1[nH]c1c2cccc1</t>
  </si>
  <si>
    <t>Brc1nccc2c1n(c1c2cccc1)CC=C</t>
  </si>
  <si>
    <t>C1(=C(C=CC(=C1[C@H](OC2=C(N=CC(=C2)C3=C[N](N=C3)C4CCNCC4)N)C)Cl)F)Cl</t>
  </si>
  <si>
    <t>CRIZOTINIB</t>
  </si>
  <si>
    <t>PF-2341066|Xalkori|Crizotinib|</t>
  </si>
  <si>
    <t>C1CC(=CCC1C(C)=C)C</t>
  </si>
  <si>
    <t>D-LIMONENE</t>
  </si>
  <si>
    <t>SID26757135|SID29216433|SID26757134|SID67720|</t>
  </si>
  <si>
    <t>C1CCC(C)=C(\C=C\C(=C\C=C\C(=C\C=C\C=C(\C=C\C=C(\C=C\C=2C(CCCC=2C)(C)C)/C)/C)\C)\C)C1(C)C</t>
  </si>
  <si>
    <t>BETA CAROTENE</t>
  </si>
  <si>
    <t>Solatene|SID47193664|SID26750098|Betacarotene|Lucaratin|Beta-carotene|SID144205110|Beta Carotene|SID87219208|BetaVit|</t>
  </si>
  <si>
    <t>CCC12CC(=C)C3C(CCC4=CC(=O)CCC34)C1CCC2(O)C#C</t>
  </si>
  <si>
    <t>IMPLANON</t>
  </si>
  <si>
    <t>Implanon</t>
  </si>
  <si>
    <t>CN(C)C(=O)C(CCN1CCC(O)(CC1)c2ccc(Cl)cc2)(c3ccccc3)c4ccccc4</t>
  </si>
  <si>
    <t>LOPERAMIDE</t>
  </si>
  <si>
    <t>SID11112740|SID144203731|Brek|Tebloc|SID90340730|SID104171181|SID50104595|SID11113732|SID124880551|SID50104594|SID26751916|SID26751917|SID124880549|Imodium|Loperamide|SID11111380|</t>
  </si>
  <si>
    <t>ClC(=C(c1ccc(OCCN(CC)CC)cc1)c1ccccc1)c1ccccc1</t>
  </si>
  <si>
    <t>ENCLOMIPHENE</t>
  </si>
  <si>
    <t>SID50085975|Isomer B|Milophene|Enclomifene|Serophene|Cisclomiphene|Clomid|Clomiphene|Enclomiphene|Clomifene|RMI-16289|</t>
  </si>
  <si>
    <t>ClC(Cl)C(=O)NC(C(O)c1ccc([N+](=O)[O-])cc1)CO</t>
  </si>
  <si>
    <t>SID26747925|SID11532950|</t>
  </si>
  <si>
    <t>ClC(Cl)C(O)=O</t>
  </si>
  <si>
    <t>DICHLOROACETIC ACID</t>
  </si>
  <si>
    <t>DCA|SID26753010|Dichloroethanoic acid|SID17389935|</t>
  </si>
  <si>
    <t>ClC1=C[C@]2(C(=CC1=O)[C@@H](F)C[C@H]1[C@@H]3C[C@@H](C)[C@](O)(C(=O)CO)[C@]3(C[C@H](O)[C@@]12F)C)C</t>
  </si>
  <si>
    <t>HALOMETASONE</t>
  </si>
  <si>
    <t>Halometasone|SID26719837|</t>
  </si>
  <si>
    <t>ClC=1CS[C@H]2N(C=1C(O)=O)C(=O)[C@H]2NC(=O)[C@H](N)c1ccccc1</t>
  </si>
  <si>
    <t>CEFACLOR</t>
  </si>
  <si>
    <t>Raniclor|Cefaclor hydrate|Compound 99638|Ceclor|SID855765|Alfatil|Cefaclor|Panacef|SID29215008|</t>
  </si>
  <si>
    <t>ClCC(=O)[C@]1(OC(=O)CC)[C@@]2([C@H]([C@@H]3CCC4=CC(=O)C=C[C@]4(C)[C@@]3(F)[C@@H](O)C2)C[C@@H]1C)C</t>
  </si>
  <si>
    <t>CLOBETASOL PROPIONATE</t>
  </si>
  <si>
    <t>Cormax|Clobetasol Propionate|Olux E|Olux|SID855884|Clobex|OLUX|Temovate E|Embeline E|Temovate|Embeline|GR 2/925|Clobetasol Propionate (Emollient)|Clobetasol|CCI-4725|SID56422175|</t>
  </si>
  <si>
    <t>ClCC(NCCC[C@H](NC(=O)c1ccccc1)C(=O)N)=N</t>
  </si>
  <si>
    <t>ClCC(O)Cn1c(ncc1[N+](=O)[O-])C</t>
  </si>
  <si>
    <t>ORNIDAZOLE</t>
  </si>
  <si>
    <t>Ornidazole|Ro-70207|SID855702|</t>
  </si>
  <si>
    <t>ClCCN(CCCl)c1ccc(cc1)CCCC(=O)Nc1ccc(SC)cc1</t>
  </si>
  <si>
    <t>ClCCN(CCCl)c1ccc(cc1)CCCC(O)=O</t>
  </si>
  <si>
    <t>CHLORAMBUCIL</t>
  </si>
  <si>
    <t>SID56422109|SID144203647|SID124879524|SID26747015|SID85230952|SID11110896|SID124879525|Leukeran|SID11110897|SID50104127|SID855863|SID90341264|Chlorbutin|SID104171121|SID69624|SID50126363|Chlorambucil|SID17389986|</t>
  </si>
  <si>
    <t>ClCCN(Cc1ccccc1)C(COc1ccccc1)C</t>
  </si>
  <si>
    <t>PHENOXYBENZAMINE</t>
  </si>
  <si>
    <t>SID124879343|SID124879342|SID26752310|SID104171113|Dibenzyline|SID144203638|Phenoxybenzamine|SID90341231|SID26752309|</t>
  </si>
  <si>
    <t>ClCCN(N=O)C(=O)NCCCl</t>
  </si>
  <si>
    <t>CARMUSTINE</t>
  </si>
  <si>
    <t>Gliadel|SID90341293|SID11110902|SID144203648|SID26747453|SID26753530|BCNU|SID57264377|Bicnu|SID50105925|SID124879537|Carmustine|SID85230955|SID479311|</t>
  </si>
  <si>
    <t>ClCCN(P1(OCCCN1)=O)CCCl</t>
  </si>
  <si>
    <t>CYCLOPHOSPHAMIDE</t>
  </si>
  <si>
    <t>SID50105634|Cyclophosphamide|SID85230959|Neosar|Cytoxan|SID90341534|SID87150|Sendoxan|</t>
  </si>
  <si>
    <t>ClCC\C(=C(\c1ccc(OCCN(C)C)cc1)/c1ccccc1)\c1ccccc1</t>
  </si>
  <si>
    <t>TOREMIFENE</t>
  </si>
  <si>
    <t>Fareston|Toremifene|SID29216214|</t>
  </si>
  <si>
    <t>ClCOC(=O)[C@@]1(OC(OCC)=O)CC[C@H]2[C@H]3[C@@H]([C@@]4(C(=CC(=O)C=C4)CC3)C)[C@@H](O)C[C@]12C</t>
  </si>
  <si>
    <t>LOTEPREDNOL ETABONATE</t>
  </si>
  <si>
    <t>P-5604|Loteprednol Etabonate|HGP-1|Lotemax|CDDD-5604|Alrex|Loteprednol|SID26758016|Airex|</t>
  </si>
  <si>
    <t>Cl[C@@]12[C@H]([C@@H]3C[C@H](C)[C@](OC(=O)CC)(C(=O)COC(=O)CC)[C@]3(C[C@@H]1O)C)CCC1=CC(=O)C=C[C@@]12C</t>
  </si>
  <si>
    <t>BECLOMETHASONE DIPROPIONATE</t>
  </si>
  <si>
    <t>SCH-18020W|SID56463541|Beclometasone|Beclometasone Dipropionate|SID144206719|Qvar 80|Beclomethasone Dipropionate|Beclovent|Vancenase|Vanceril Double Strength|Beconase|Qnasl|Beclomethasone Dipropionate Monohydrate|Beconase Aq|Vanceril|Beclomethasone|Qvar 40|Vancenase Aq|</t>
  </si>
  <si>
    <t>Clc1c(Cl)c(OCC(O)=O)ccc1C(=O)C(CC)=C</t>
  </si>
  <si>
    <t>ETHACRYNIC ACID</t>
  </si>
  <si>
    <t>SID11112144|SID124881979|MK-595|Etacrynic Acid|SID855762|SID104171276|SID122995|SID124881977|SID92763949|SID26746984|Ethacrynic acid|SID50100377|Edecrin|SID17389016|Ethacrynic Acid|SID26746983|SID144203886|</t>
  </si>
  <si>
    <t>Clc1c(N2CCN(CC2)CCCCOc2cc3NC(=O)CCc3cc2)cccc1Cl</t>
  </si>
  <si>
    <t>ARIPIPRAZOLE</t>
  </si>
  <si>
    <t>Aripiprazole|SID29215485|SID49666418|SID26719891|OPC-14597|OPC-31|Abilify|</t>
  </si>
  <si>
    <t>Clc1c(Nc2ccccc2C(O)=O)c(Cl)ccc1C</t>
  </si>
  <si>
    <t>MECLOFENAMIC ACID</t>
  </si>
  <si>
    <t>CI-583|INF-4668|SID90341585|Meclofenamic Acid|SID26751537|Meclodium|Meclofenamate|Meclomen|Arquel|Movens|SID24424562|Meclophenamic Acid|</t>
  </si>
  <si>
    <t>Clc1c(Oc2cc3[nH]c(SC)nc3cc2Cl)cccc1Cl</t>
  </si>
  <si>
    <t>TRICLABENDAZOLE</t>
  </si>
  <si>
    <t>SID85182180|SID49681760|SID50085431|Triclabendazole|SID26719864|SID144205784|SID26758032|</t>
  </si>
  <si>
    <t>Clc1c(S(=O)(=O)N)cc(S(=O)(=O)N)cc1Cl</t>
  </si>
  <si>
    <t>DICHLORPHENAMIDE</t>
  </si>
  <si>
    <t>Diclofenamide|Daranide|Dichlorphenamide|SID56463645|SID11112264|</t>
  </si>
  <si>
    <t>Clc1c(cccc1Cl)-c1nnc(nc1N)N</t>
  </si>
  <si>
    <t>LAMOTRIGINE</t>
  </si>
  <si>
    <t>BW-430C|SID50104089|Lamictal|Lamictal Odt|Lamictal Xr|Lamotrigine|SID11113342|SID85231112|SID855818|SID26719658|SID90341162|Lamictal Cd|SID56423136|</t>
  </si>
  <si>
    <t>Clc1c(cccc1Cl)C1\C(=C(\OC)/O)\C(=NC(C)=C1C(OCC)=O)C</t>
  </si>
  <si>
    <t>FELODIPINE</t>
  </si>
  <si>
    <t>Plendil|SID50106290|H 154/82|SID144203706|SID90340828|SID85231057|H-154/82|SID124880165|SID17405071|SID50106289|Felodipine|</t>
  </si>
  <si>
    <t>Clc1c2CN3CC(=O)NC3=Nc2ccc1Cl</t>
  </si>
  <si>
    <t>ANAGRELIDE</t>
  </si>
  <si>
    <t>Anagrelide|Xagrid|Agrylin|SID26755034|</t>
  </si>
  <si>
    <t>Clc1c2NC(=O)/C(/c2ccc1Cl)=C/C(OCC)=O</t>
  </si>
  <si>
    <t>Clc1c2O[C@]3([C@@H](CC(=O)C=C3OC)C)C(=O)c2c(OC)cc1OC</t>
  </si>
  <si>
    <t>GRISEOFULVIN</t>
  </si>
  <si>
    <t>Ultragris-165|Grifulvin V|Fulvicin P/G 165|Grifulvin|Griseofulvin|Ultramicrosize|Griseofulvin|Microsize|SID50085968|Gris-PEG|Ultragris-330|Griseofulvin|Ultramicrosize|SID26747301|Fulvicin-U/F|Fulvicin P/G|Grisactin Ultra|Griseofulvin|microcrystalline|Fulvicin|SID17389865|Griseofulvin|Gris-Peg|Grivate|SID144204638|Fulvicin-P/G|Fulvicin P/G 330|Grisactin|Griseofulvin|ultramicrocrystalline|</t>
  </si>
  <si>
    <t>Clc1c2[nH]c(-c3ccccc3NC(=O)C)c(c2ccc1Cl)CC#N</t>
  </si>
  <si>
    <t>Clc1c2[nH]c3c(C=CNC3=O)c2ccc1Cl</t>
  </si>
  <si>
    <t>Clc1c2[nH]c3c(CCCC3(O)C(=O)C)c2ccc1Cl</t>
  </si>
  <si>
    <t>Clc1c2[nH]c3c(CCCC3=O)c2ccc1Cl</t>
  </si>
  <si>
    <t>Clc1c2[nH]c3c(CCCC3C(=O)C)c2ccc1Cl</t>
  </si>
  <si>
    <t>Clc1c2[nH]c3c(c2ccc1Cl)cccc3-c1nc(ncc1)N</t>
  </si>
  <si>
    <t>Clc1c2[nH]c3c(c2ccc1Cl)cccc3C(=O)C</t>
  </si>
  <si>
    <t>Clc1c2[nH]c3c(c2ccc1OC)ccnc3C</t>
  </si>
  <si>
    <t>Clc1c2c(C(O)=C3C(CC4C(O)(C(O)=C(C(=O)N)C(=O)C4N(C)C)C3=O)C2O)c(O)cc1</t>
  </si>
  <si>
    <t>Clc1c2c(cc(O)c1O)C(CNCC2)c1ccc(O)cc1</t>
  </si>
  <si>
    <t>FENOLDOPAM</t>
  </si>
  <si>
    <t>SID50104923|SK-82526|Corlopam|SK&amp;amp;F-82526|Fenoldopam|SID90340762|</t>
  </si>
  <si>
    <t>Clc1c2n(C)c(-c3cc(ccc3)C)c(c2ccc1Cl)/C(=C\N)/C#N</t>
  </si>
  <si>
    <t>Clc1c2n(C)c(-c3ccccc3)c(c2ccc1Cl)/C(=C\N)/C#N</t>
  </si>
  <si>
    <t>Clc1c2n(C)c(C(OC(C)C)=O)c(c2ccc1Cl)/C(=C/N)/C#N</t>
  </si>
  <si>
    <t>Clc1c2n(c3c(c2ccc1)c(cc1c3cccc1)C#N)C</t>
  </si>
  <si>
    <t>Clc1c2n(c3c(c2ccc1Cl)cccc3-c1nc(ncc1)N)COCC[Si](C)(C)C</t>
  </si>
  <si>
    <t>Clc1c2n(c3c(c2ccc1Cl)cccc3C(=O)C)C</t>
  </si>
  <si>
    <t>Clc1c2n(c3c(c2ccc1Cl)cccc3C(=O)C)COCC[Si](C)(C)C</t>
  </si>
  <si>
    <t>Clc1c2n(c3c(c2ccc1OC)ccnc3C)CCCC</t>
  </si>
  <si>
    <t>Clc1c2n(cc(c2ccc1Cl)/C(=C\N)/C#N)C</t>
  </si>
  <si>
    <t>Clc1c2n3C=CC(=O)c4c3c(c2ccc1Cl)ccc4</t>
  </si>
  <si>
    <t>Clc1cc(C(=O)NC2C3CCN(C2)CC3)c(OC)cc1N</t>
  </si>
  <si>
    <t>ZACOPRIDE</t>
  </si>
  <si>
    <t>Zacopride</t>
  </si>
  <si>
    <t>Clc1cc(C(=O)NC2CCN(CC2OC)CCCOc2ccc(F)cc2)c(OC)cc1N</t>
  </si>
  <si>
    <t>CISAPRIDE</t>
  </si>
  <si>
    <t>Propulsid|SID144204250|Risamal|Acenalin|R-51619|Cisapride|</t>
  </si>
  <si>
    <t>Clc1cc(C(=O)NCC2OCCN(C2)Cc2ccc(F)cc2)c(OCC)cc1N</t>
  </si>
  <si>
    <t>MOSAPRIDE</t>
  </si>
  <si>
    <t>Mosapride|SID50110109|SID29216210|</t>
  </si>
  <si>
    <t>Clc1cc(C(=O)NCCN(CC)CC)c(OC)cc1N</t>
  </si>
  <si>
    <t>METOCLOPRAMIDE</t>
  </si>
  <si>
    <t>Metoclopramide|Peraprin|SID11111422|Reglan|Emequell|Metozolv|SID90341551|SID11111421|Clopra|Maxolon|Clopra-"Yellow"|Octamide|SID26751627|</t>
  </si>
  <si>
    <t>Clc1cc(C(=O)NCCc2ccc(S(=O)(=O)NC(=O)NC3CCCCC3)cc2)c(OC)cc1</t>
  </si>
  <si>
    <t>GLYBURIDE</t>
  </si>
  <si>
    <t>Glynase Prestab|SID50104148|HB 419|HB-419|SID56422139|SID50126365|Glyburide (Micronized)|Glibenclamide|Glynase|SID11113353|SID26751550|Diabeta|Glyburide|Micronase|SID11112597|SID26747032|SID50104149|SID26747031|SID50100249|SID85231061|SID11111219|SID144203709|U-26452|SID855894|SID50104150|</t>
  </si>
  <si>
    <t>Clc1cc(C(=O)N[C@@H]2CCN(C[C@@H]2OC)CCCOc2ccc(F)cc2)c(O)cc1N</t>
  </si>
  <si>
    <t>Clc1cc(C(=O)N[C@@H]2CCN(C[C@@H]2OC)CCCOc2ccc(F)cc2)c(OC)cc1N</t>
  </si>
  <si>
    <t>Clc1cc(Cl)c(O)c(C(=O)NC[C@H]2N(CCC2)CC)c1OC</t>
  </si>
  <si>
    <t>RACLOPRIDE</t>
  </si>
  <si>
    <t>SID11114224|SID26719717|SID26752250|SID90340860|Raclopride|</t>
  </si>
  <si>
    <t>Clc1cc(Cl)c2c(nccc2)c1O</t>
  </si>
  <si>
    <t>CHLOROXINE</t>
  </si>
  <si>
    <t>SID26749233|Capitrol|SID24813759|Chloroxine|SID24715093|SID24715133|SID144205047|</t>
  </si>
  <si>
    <t>Clc1cc(Cl)cc2c1cc(c1c2cc(cc1)C(F)(F)F)C(O)CCN(CCCC)CCCC</t>
  </si>
  <si>
    <t>HALOFANTRINE</t>
  </si>
  <si>
    <t>Halofantrine|Halfan|</t>
  </si>
  <si>
    <t>Clc1cc(Cl)ccc1C(=NOCc1ccc(Cl)cc1Cl)Cn1ccnc1</t>
  </si>
  <si>
    <t>Clc1cc(Cl)ccc1C(OCc1ccc(Cl)cc1)Cn1ccnc1</t>
  </si>
  <si>
    <t>ECONAZOLE</t>
  </si>
  <si>
    <t>Econazole|SID448079|SID104171384|Spectazole|</t>
  </si>
  <si>
    <t>Clc1cc(Cl)ccc1C(OCc1ccc(Cl)cc1Cl)Cn1ccnc1</t>
  </si>
  <si>
    <t>MICONAZOLE</t>
  </si>
  <si>
    <t>Vusion|Micatin|Oravig|SID443253|SID85148356|Miconazole|Dermazole|Monistat-Derm|SID144204152|Monistat|Monistat-3|Conofite|</t>
  </si>
  <si>
    <t>Clc1cc(Cl)ccc1C1(OC(CO1)COc1ccc(N2CCN(CC2)c2ccc(N3C=NN(C(CC)C)C3=O)cc2)cc1)Cn1ncnc1</t>
  </si>
  <si>
    <t>SID104171385|SID26719680|SID26663153|SID855766|SID56422506|SID29215099|</t>
  </si>
  <si>
    <t>Clc1cc(Cl)ccc1Oc1ccc(Cl)cc1O</t>
  </si>
  <si>
    <t>TRICLOSAN</t>
  </si>
  <si>
    <t>Cloxifenol|Triclosan|DNDI1246774|CH-3565|SID144205201|SID57260157|Stri-Dex Face Wash|SID29215355|SID144214040|Stri-Dex Cleansing Bar|SID26754498|SID49674565|</t>
  </si>
  <si>
    <t>Clc1cc(Cl)ccc1[C@@]1(O[C@H](CO1)COc1ccc(N2CCN(CC2)C(=O)C)cc1)Cn1ccnc1</t>
  </si>
  <si>
    <t>SID144204227</t>
  </si>
  <si>
    <t>Clc1cc(Cl)ccc1[C@@]1(O[C@H](CO1)COc1ccc(N2CCN(CC2)c2ccc(N3C=NN(C(CC)C)C3=O)cc2)cc1)Cn1ncnc1</t>
  </si>
  <si>
    <t>ITRACONAZOLE</t>
  </si>
  <si>
    <t>Sporanos|Onmel|Sporanox|SID144204405|Itraconazole|R-51211|</t>
  </si>
  <si>
    <t>Clc1cc(Cl)ccc1\C=N\n1c(nnc1S)CCCCc1nnc(S)n1\N=C\c1ccc(Cl)cc1Cl</t>
  </si>
  <si>
    <t>Clc1cc(F)ccc1CNC(=O)C1CCN(S(=O)(=O)C)CC1</t>
  </si>
  <si>
    <t>SID4240981</t>
  </si>
  <si>
    <t>Clc1cc(N(C)C)ccc1\C=N\NC(=O)CCCC(=O)N\N=C\c1ccc(N(C)C)cc1Cl</t>
  </si>
  <si>
    <t>Clc1cc(N2C(N=C(N=C2N)N)(C)C)ccc1OCCCNC(=O)Nc1cc(S(F)(=O)=O)ccc1</t>
  </si>
  <si>
    <t>Clc1cc(N2CCN(CC2)CCCN2N=C(N(CCOc3ccccc3)C2=O)CC)ccc1</t>
  </si>
  <si>
    <t>NEFAZODONE</t>
  </si>
  <si>
    <t>Nefazodone|SID49666410|Nefadar|SID50111710|Serzone|</t>
  </si>
  <si>
    <t>Clc1cc(N2CCN(CC2)CCCN2N=C3N(C=CC=C3)C2=O)ccc1</t>
  </si>
  <si>
    <t>TRAZODONE</t>
  </si>
  <si>
    <t>Trazodone|Desyrel|Trazadone|Trialodine|SID11111901|SID11111900|SID90341328|</t>
  </si>
  <si>
    <t>Clc1cc(NCc2occc2)c(cc1S(=O)(=O)N)C(O)=O</t>
  </si>
  <si>
    <t>FUROSEMIDE</t>
  </si>
  <si>
    <t>LB-502|Disal|SID17389872|SID11112125|SID47193739|Furosemide|Frusemide|Aquamed|Lasix|</t>
  </si>
  <si>
    <t>Clc1cc(Nc2ncnc3c2cc(OCCCN2CCOCC2)c(OC)c3)ccc1F</t>
  </si>
  <si>
    <t>GEFITINIB</t>
  </si>
  <si>
    <t>SID137275808|SID103905343|Gefitinib|SID103905344|ZD-1839|SID144205236|SID29215403|SID50100103|Iressa|ZDJ-839|</t>
  </si>
  <si>
    <t>Clc1cc([N+](=O)[O-])ccc1NC(=O)c1cc(Cl)ccc1O</t>
  </si>
  <si>
    <t>NICLOSAMIDE</t>
  </si>
  <si>
    <t>BAY-2353|SID50106712|SID50106713|SID90341111|SID124880876|Niclocide|Nicloside|SID85231153|SID11111533|SID56463356|SID50100291|Ex A Lint|Yomesan|SID104171199|SID144203760|Niclosamide|SID26747596|Lintex|SID11111534|SID26753613|</t>
  </si>
  <si>
    <t>Clc1cc(c-2c(c1)\C(\c1cc(Cl)ccc1-2)=C/c1ccc(Cl)cc1)C(O)C[O+](CCCC)[CH-]CCC</t>
  </si>
  <si>
    <t>Clc1cc(c2OCC(=O)N(c2c1)C)C(=O)NC1C2CCN(C1)CC2</t>
  </si>
  <si>
    <t>AZASETRON</t>
  </si>
  <si>
    <t>SID26751695|Azasetron Hydrochloride|Azasetron|</t>
  </si>
  <si>
    <t>Clc1cc(ccc1)C(=O)C(NC(C)(C)C)C</t>
  </si>
  <si>
    <t>BUPROPION</t>
  </si>
  <si>
    <t>Wellbutrin|SID90340803|Wellbutrin Sr|Zyban|Bupropion|</t>
  </si>
  <si>
    <t>Clc1cc(ccc1Cl)CC(=O)N1CCN(CC1CN1CCCC1)C(OC)=O</t>
  </si>
  <si>
    <t>SID50104864|SID90341533|SID26752200|SID124880192|</t>
  </si>
  <si>
    <t>Clc1cc(ccc1Cl)[C@@H]1CC[C@H](NC)c2c1cccc2</t>
  </si>
  <si>
    <t>SERTRALINE</t>
  </si>
  <si>
    <t>Sertraline|SID50105684|SID26753299|SID50105682|SID50105683|SID90341218|Zoloft|SID50105685|SID29215139|SID49665783|</t>
  </si>
  <si>
    <t>Clc1cc(ccc1Cl)[C@@H]1C[C@@H](NC)c2c1cccc2</t>
  </si>
  <si>
    <t>INDATRALINE</t>
  </si>
  <si>
    <t>Indatraline|SID90341732|SID50104902|SID11111297|</t>
  </si>
  <si>
    <t>Clc1cc2-c3n(nc(n3)-c3occc3)C(=Nc2cc1)N</t>
  </si>
  <si>
    <t>CGS-15943</t>
  </si>
  <si>
    <t>CGS-15943|SID124879506|SID11110890|SID11114185|</t>
  </si>
  <si>
    <t>Clc1cc2N(c3c(CCc2cc1)cccc3)CCCN(C)C</t>
  </si>
  <si>
    <t>CLOMIPRAMINE</t>
  </si>
  <si>
    <t>SID90340575|SID50104278|SID11110978|SID50100206|SID26751616|SID144203668|Clomipramine|Anafranil|SID104171137|SID124879726|SID11110979|SID11113368|</t>
  </si>
  <si>
    <t>Clc1cc2N(c3c(Sc2cc1)cccc3)CCCN(C)C</t>
  </si>
  <si>
    <t>CHLORPROMAZINE</t>
  </si>
  <si>
    <t>SID50100209|Largactil|SID26751621|SID124879757|SID57287810|SID124879752|Chlorpromazine Phenolphthalinate|SID26747094|SID90340916|Chlorpromazine|SID50104291|SID144203671|Chlorpromazine Hibenzate|SID11110990|Thorazine|Elmarin|SID11110991|Chlorpromazine Tannate|Megaphen|SID26751620|SID124879754|SID26747095|Sonazine|SID104171139|</t>
  </si>
  <si>
    <t>Clc1cc2N(c3c(Sc2cc1)cccc3)CCCN1CCN(CC1)C</t>
  </si>
  <si>
    <t>PROCHLORPERAZINE</t>
  </si>
  <si>
    <t>SID11111686|SID50104093|SID855827|SID11111685|SID50100332|SID90341442|Prochlorperazine|Compazine|Compro|Prochlorperazine Mesilate|</t>
  </si>
  <si>
    <t>Clc1cc2N(c3c(Sc2cc1)cccc3)CCCN1CCN(CC1)CCO</t>
  </si>
  <si>
    <t>PERPHENAZINE</t>
  </si>
  <si>
    <t>SID56422427|SID26747080|SID90340948|Perphenazine|Perphenazine Maleate|Trilafon-La|Etaperazine|Chlorpiprazine|SID856006|SID57287811|Trilafon|Decentan|Fentazin|SID50100322|SID50104234|SID85231190|SID11111645|Perphenazine Fendizoate|SID50104233|SID11111646|SID26747081|SID144203784|SID124881147|</t>
  </si>
  <si>
    <t>Clc1cc2N=C(N3CCN(CC3)C)c3c(Nc2cc1)cccc3</t>
  </si>
  <si>
    <t>CLOZAPINE</t>
  </si>
  <si>
    <t>SID104171134|SID26751524|SID124879688|SID90341777|Clozaril|HF-1854|SID50104084|SID11110968|Fazaclo Odt|SID11110967|SID124879684|SID50104086|SID85230974|SID11113341|SID56422144|SID124879691|Fazaclo|Clozapine|SID855811|SID124879686|SID26747001|SID144203664|</t>
  </si>
  <si>
    <t>Clc1cc2NC(N(S(=O)(=O)c2cc1S(=O)(=O)N)C)CCl</t>
  </si>
  <si>
    <t>METHYCLOTHIAZIDE</t>
  </si>
  <si>
    <t>Aquatensen|Methyclothiazide|SID92764517|SID144206003|Enduron|</t>
  </si>
  <si>
    <t>Clc1cc2NC(Oc2cc1)=O</t>
  </si>
  <si>
    <t>CHLORZOXAZONE</t>
  </si>
  <si>
    <t>Strifon Forte Dsc|Parafon Forte|SID85230968|Chlorzoxazone|SID90340987|Parafon Forte Dsc|SID8139927|Paraflex|SID50106005|SID11110946|Parafon|Strifon|Parafon-Forte|SID11110945|</t>
  </si>
  <si>
    <t>Clc1cc2NC=NS(=O)(=O)c2cc1S(=O)(=O)N</t>
  </si>
  <si>
    <t>CHLOROTHIAZIDE</t>
  </si>
  <si>
    <t>Diuril|SID50105505|SID855976|SID11110950|Chlorothiazide|Chlorthiazide|SID17389544|SID11110951|</t>
  </si>
  <si>
    <t>Clc1cc2NCNS(=O)(=O)c2cc1S(=O)(=O)N</t>
  </si>
  <si>
    <t>HYDROCHLOROTHIAZIDE</t>
  </si>
  <si>
    <t>Hydrodiuril|SID50103978|SID17389854|Esidrix|HCTZ|SID855646|Hydro-D|Zide|SID11111270|SID11111269|SID103995|Hydrochlorothiazide Intensol|Microzide|SID85231074|Hydrochlorothiazide|Oretic|</t>
  </si>
  <si>
    <t>Clc1cc2S(=O)(=O)N=C(Nc2cc1)C</t>
  </si>
  <si>
    <t>DIAZOXIDE</t>
  </si>
  <si>
    <t>SID855807|SID26751995|SID124879964|Diazoxide|Eudimine|SID56422090|SID26747146|Hyperstat|SCH-6783|SRG-95213|Mutabase|SID11113823|SID144203683|Proglycem|SID50104671|SID11111111|</t>
  </si>
  <si>
    <t>Clc1cc2[C@H]3[C@H](c4c(Oc2cc1)cccc4)CN(C3)C</t>
  </si>
  <si>
    <t>ASENAPINE</t>
  </si>
  <si>
    <t>Asenapine|Saphris|SID144207145|</t>
  </si>
  <si>
    <t>Clc1cc2c(-n3c(CN=C2c2ccccc2F)cnc3C)cc1</t>
  </si>
  <si>
    <t>MIDAZOLAM</t>
  </si>
  <si>
    <t>Versed|SID50113067|Midazolam|Dormicum|Hypnovel|</t>
  </si>
  <si>
    <t>Clc1cc2c(-n3c(nnc3C)CN=C2c2ccccc2)cc1</t>
  </si>
  <si>
    <t>ALPRAZOLAM</t>
  </si>
  <si>
    <t>U-31889|Xanax Xr|Alprazolam|SID26719699|Xanax|SID29215419|Niravam|SID144205245|</t>
  </si>
  <si>
    <t>Clc1cc2c(N(C)C(=O)CN=C2c2ccccc2)cc1</t>
  </si>
  <si>
    <t>DIAZEPAM</t>
  </si>
  <si>
    <t>Q-Pam|Valium|Tranimul|Vivol|E-Pam|Paxel|Scriptopam|Ro-52807|Stesolid|Diastat|Diazepam Intensol|Valrelease|Diazepam|Dizac|WY-3467|Apozepam|SID124893574|SID144206622|Diastat Acudial|Relanium|Serenack|LA-III|</t>
  </si>
  <si>
    <t>Clc1cc2c(N(CCC[C@H]2O)C(=O)c2ccc(NC(=O)c3ccccc3C)cc2C)cc1</t>
  </si>
  <si>
    <t>Clc1cc2c(N=C(NC)C[N+]([O-])=C2c2ccccc2)cc1</t>
  </si>
  <si>
    <t>CHLORDIAZEPOXIDE</t>
  </si>
  <si>
    <t>Chlordiazachel|Librelease|Zeisin|Clopoxide|Libritabs|SID144205120|A-Poxide|Librium|SID49648393|Lygen|Chlordiazepoxide|Trakipeal|SID144205121|</t>
  </si>
  <si>
    <t>Clc1cc2c(NC(O[C@]2(C#CC2CC2)C(F)(F)F)=O)cc1</t>
  </si>
  <si>
    <t>EFAVIRENZ</t>
  </si>
  <si>
    <t>SID26719858|SID144205135|Efavirenz|SID49681705|Sustiva|</t>
  </si>
  <si>
    <t>Clc1cc2c(Oc3c(N=C2N2CCN(CC2)C)cccc3)cc1</t>
  </si>
  <si>
    <t>LOXAPINE</t>
  </si>
  <si>
    <t>SUM-3170|Adasuve|SID50103874|SID50104026|Loxitane Intramuscular [as hydrochloride]|SID50104025|SID50104024|CL-62362|Loxapac|SUM 3170|SID90341467|Loxitane-C Oral Suspension [as hydrochloride]|Loxitane|Loxapine|</t>
  </si>
  <si>
    <t>Clc1cc2c(Oc3c(N=C2N2CCNCC2)cccc3)cc1</t>
  </si>
  <si>
    <t>AMOXAPINE</t>
  </si>
  <si>
    <t>CL-67772|SID26747067|SID85230879|SID90341240|SID50104206|SID104171096|SID26751577|Amoxapine|SID50104205|SID50100159|SID144203615|Asendin|SID11110675|SID124879022|SID855963|SID11110676|</t>
  </si>
  <si>
    <t>Clc1cc2c(cc1)C(c1ncccc1CC2)=C1CCN(CC1)C(OCC)=O</t>
  </si>
  <si>
    <t>LORATADINE</t>
  </si>
  <si>
    <t>Loratadine Redidose|Claritin-D|Children's Claritin|SID11111394|Claritin Hives Relief Reditab|Loratadine|SID90340694|SID104171183|SID124880599|Claritin|Claritin Hives Relief|Claritin Reditabs|SCH-29851|SID26747010|SID26719690|SID144203736|Alavert|SID50104102|SID56424146|SID535878|SID855843|SID11113345|SID26751528|SID124880597|SID85231118|</t>
  </si>
  <si>
    <t>Clc1cc2c(cc1)C(c1ncccc1CC2)=C1CCNCC1</t>
  </si>
  <si>
    <t>DESLORATADINE</t>
  </si>
  <si>
    <t>SCH-34117|SID50086379|SID26754458|SID26719697|SID144205127|Clarinex|Desloratadine|SID14742700|SID29215232|</t>
  </si>
  <si>
    <t>Clc1cc2c3c([nH]c2cc1OC)c(ncc3)C</t>
  </si>
  <si>
    <t>Clc1cc2nc(ccc2cc1)\C=C\c1cc(ccc1)[C@H](SCC1(CC1)CC(O)=O)CCc1ccccc1C(O)(C)C</t>
  </si>
  <si>
    <t>MONTELUKAST</t>
  </si>
  <si>
    <t>MK-476|Montelukast|Singulair|Montelo-10|</t>
  </si>
  <si>
    <t>Clc1cc2nc(oc2cc1)O</t>
  </si>
  <si>
    <t>Clc1cc2nccc(NC(CCCN(CC)CC)C)c2cc1</t>
  </si>
  <si>
    <t>CHLOROQUINE</t>
  </si>
  <si>
    <t>Chlorochine|SID90340711|Nivaquine|GNF-Pf-4216|SID124879700|Chloroquine|SID50111008|NSC-187208|Aralen|Malaquin|</t>
  </si>
  <si>
    <t>Clc1cc2nccc(NC(CCCN(CCO)CC)C)c2cc1</t>
  </si>
  <si>
    <t>HYDROXYCHLOROQUINE</t>
  </si>
  <si>
    <t>Plaquenil|SID29215442|Hydroxychloroquine|</t>
  </si>
  <si>
    <t>Clc1cc2nccc(NCC(O)CNc3c4c(ncc3)cc(Cl)cc4)c2cc1</t>
  </si>
  <si>
    <t>NSC-5485</t>
  </si>
  <si>
    <t>Clc1cc2nccc(Nc3cc(CN(CC)CC)c(O)cc3)c2cc1</t>
  </si>
  <si>
    <t>AMODIAQUINE</t>
  </si>
  <si>
    <t>Amodiaquine|GNF-Pf-5648|SID50085969|SJ000110703|Camoquin|Flavoquine|</t>
  </si>
  <si>
    <t>Clc1ccc(Cl)cc1-c1nc(nc(n1)N)N</t>
  </si>
  <si>
    <t>IRSOGLADINE</t>
  </si>
  <si>
    <t>Irsogladine|SID29216078|Irsogladine Maleate|</t>
  </si>
  <si>
    <t>Clc1ccc(N2C(N=C(N=C2N)N)(C)C)cc1</t>
  </si>
  <si>
    <t>CYCLOGUANIL</t>
  </si>
  <si>
    <t>Cycloguanil|Malarone|</t>
  </si>
  <si>
    <t>Clc1ccc(N2C3=CC(=NC(C)C)C(Nc4ccc(Cl)cc4)=CC3=Nc3c2cccc3)cc1</t>
  </si>
  <si>
    <t>SID144204067</t>
  </si>
  <si>
    <t>Clc1ccc(NC(=O)Nc2ccc(Oc3cc(ncc3)C(=O)NC)cc2)cc1C(F)(F)F</t>
  </si>
  <si>
    <t>SORAFENIB</t>
  </si>
  <si>
    <t>Sorafenib|BAY-43-9006|SID124893321|SID50100118|SID103904444|SID50112741|SID124893323|Nexavar|</t>
  </si>
  <si>
    <t>Clc1ccc(NC(Nc2nc(cc(n2)NCCN(CC)CC)C)=N)cc1</t>
  </si>
  <si>
    <t>Clc1ccc(N\C(=N\C(=NC(C)C)N)\N)cc1</t>
  </si>
  <si>
    <t>CHLOROGUANIDE</t>
  </si>
  <si>
    <t>Chloroguanide|Proguanil|SID11112433|</t>
  </si>
  <si>
    <t>Clc1ccc(OC(C(O)=O)(C)C)cc1</t>
  </si>
  <si>
    <t>CLOFIBRIC ACID</t>
  </si>
  <si>
    <t>SID11113721|Clofibric acid|SID26747130|SID26751908|SID124882396|SID11112452|Clofibric Acid|SID51085303|</t>
  </si>
  <si>
    <t>Clc1ccc(OC(C(OCC)=O)(C)C)cc1</t>
  </si>
  <si>
    <t>CLOFIBRATE</t>
  </si>
  <si>
    <t>Atromid-S|AY-61123|SID50106069|SID119396|SID57260455|Clofibrate|SID11110971|Chlorfenisate|SID85230976|SID90341380|ICI-28257|Atromid|</t>
  </si>
  <si>
    <t>Clc1ccc(OCC(=O)Nc2sc3cc(NC(=O)C)ccc3n2)cc1</t>
  </si>
  <si>
    <t>Clc1ccc(OCC(O)CO)cc1</t>
  </si>
  <si>
    <t>Clc1ccc(OCCCCCCC2(OC2)C(OCC)=O)cc1</t>
  </si>
  <si>
    <t>ETOMOXIR</t>
  </si>
  <si>
    <t>Rac-Etomoxir Ethyl Ester|SID26719759|</t>
  </si>
  <si>
    <t>Clc1ccc(S(=O)(=O)NC(=O)NCCC)cc1</t>
  </si>
  <si>
    <t>CHLORPROPAMIDE</t>
  </si>
  <si>
    <t>Chlorpropamide|SID50103916|SID11110918|SID56423142|SID17389965|Diabinese|Glucamide|SID855559|SID11110919|</t>
  </si>
  <si>
    <t>Clc1ccc(cc1)-c1c(nc(nc1N)N)CC</t>
  </si>
  <si>
    <t>PYRIMETHAMINE</t>
  </si>
  <si>
    <t>SID50100376|SID124881964|SID69611|Pyrimethamine|SID104171273|SID11112140|SID144203883|Daraprim|Malacide|SID50104113|GNF-Pf-5586|SID56422411|Chloridin|TCMDC-123831|SID124881963|SID17389746|SID124881960|TCMDC-125860|SID26747011|SID855854|SID26751532|SID26747012|</t>
  </si>
  <si>
    <t>Clc1ccc(cc1)C(=O)CN(CCCN1c2c(CCc3c1cccc3)cccc2)C</t>
  </si>
  <si>
    <t>LOFEPRAMINE</t>
  </si>
  <si>
    <t>SID50111779|SID50111780|Lofepramine|</t>
  </si>
  <si>
    <t>Clc1ccc(cc1)C(=O)NCCN1CCOCC1</t>
  </si>
  <si>
    <t>MOCLOBEMIDE</t>
  </si>
  <si>
    <t>SID104171398|SID50105006|Ro-111163000|Moclobemide|SID846440|SID50105007|SID50086440|GNF-Pf-695|SID90340853|</t>
  </si>
  <si>
    <t>Clc1ccc(cc1)C(=O)c1ccc(OC(C(OC(C)C)=O)(C)C)cc1</t>
  </si>
  <si>
    <t>FENOFIBRATE</t>
  </si>
  <si>
    <t>Fenofibrate|SID26746914|SID104171156|SID85231046|SID50103926|SID11111182|SID26751450|SID144203698|Antara|Lipidil|Tricor|Fenoglide|SID90340778|SID11111181|SID56422492|Triglide|SID855565|Lipofen|</t>
  </si>
  <si>
    <t>Clc1ccc(cc1)C(CC(O)=O)CN</t>
  </si>
  <si>
    <t>BACLOFEN</t>
  </si>
  <si>
    <t>Gablofen|SID50104402|SID26751712|SID104171115|Kemstro|Lioresal|SID855960|SID90341690|SID85230940|Baclofen|BA-34647|</t>
  </si>
  <si>
    <t>Clc1ccc(cc1)C(CCN(C)C)c1ncccc1</t>
  </si>
  <si>
    <t>CHLORPHENIRAMINE</t>
  </si>
  <si>
    <t>SID50110994|Kloromin|Isoclor|Teldrin|Chlorpheniramine|Antagonate|Phenetron|SID90340572|Chlor-Trimeton|</t>
  </si>
  <si>
    <t>Clc1ccc(cc1)C(N1CCN(CC1)CCOCC(O)=O)c1ccccc1</t>
  </si>
  <si>
    <t>CETIRIZINE</t>
  </si>
  <si>
    <t>Zyrtec|Cetirizine|SID90341832|</t>
  </si>
  <si>
    <t>Clc1ccc(cc1)C(N1CCN(CC1)Cc1cc(ccc1)C)c1ccccc1</t>
  </si>
  <si>
    <t>MECLIZINE</t>
  </si>
  <si>
    <t>Antivert|Meclizine|</t>
  </si>
  <si>
    <t>Clc1ccc(cc1)C(OCCN(C)C)c1ncccc1</t>
  </si>
  <si>
    <t>CARBINOXAMINE</t>
  </si>
  <si>
    <t>Clistin|Palgic|SID29217899|Carbinoxamine|</t>
  </si>
  <si>
    <t>Clc1ccc(cc1)C1(CCC1)C(N(C)C)CC(C)C</t>
  </si>
  <si>
    <t>SIBUTRAMINE</t>
  </si>
  <si>
    <t>SID49732001|Sibutramine|Meridia|</t>
  </si>
  <si>
    <t>Clc1ccc(cc1)C1(O)CCN(CC1)CCC(C(=O)N(C)C)(c1ccccc1)c1ccccc1</t>
  </si>
  <si>
    <t>Clc1ccc(cc1)C1(O)CCN(CC1)CCCC(=O)c1ccc(F)cc1</t>
  </si>
  <si>
    <t>HALOPERIDOL</t>
  </si>
  <si>
    <t>Haldol|Keselen|SID11111260|SID90341418|SID56422397|SID124880291|SID50104201|SID26751574|SID855969|SID124880286|MCN-JR-1625|Serenace|SID11112116|Haldol Solutab|R-1625|SID50104202|SID11113356|SID144203713|SID487337|SID124880292|Haloperidol|SID104171168|SID50100251|SID26751575|SID26747061|SID26747062|SID85231072|SID124880288|</t>
  </si>
  <si>
    <t>Clc1ccc(cc1)C1=NN(CC(=O)NCCCN(CCCC)C)C(=O)CC1</t>
  </si>
  <si>
    <t>SID49670585</t>
  </si>
  <si>
    <t>Clc1ccc(cc1)C1=NN(CC(=O)NCCCN2CCC(CC2)Cc2ccccc2)C(=O)CC1</t>
  </si>
  <si>
    <t>Clc1ccc(cc1)C1=N[C@H](c2n(-c3sc(C)c(c13)C)c(nn2)C)CC(OC(C)(C)C)=O</t>
  </si>
  <si>
    <t>Clc1ccc(cc1)C1CCC(CC1)C=1C(=O)C(=O)c2c(cccc2)C=1O</t>
  </si>
  <si>
    <t>SID56463626</t>
  </si>
  <si>
    <t>Clc1ccc(cc1)CC1=NN(C2CCCN(CC2)C)C(=O)c2c1cccc2</t>
  </si>
  <si>
    <t>AZELASTINE</t>
  </si>
  <si>
    <t>Rhinolast|Azelastine|Optilast|Astelin|Optivar|Astepro|</t>
  </si>
  <si>
    <t>Clc1ccc(cc1)CNC(SCCCc1nc[nH]c1)=N</t>
  </si>
  <si>
    <t>CLOBENPROPIT</t>
  </si>
  <si>
    <t>SID11113684|Clobenpropit|SID26751870|</t>
  </si>
  <si>
    <t>Clc1ccc(cc1)Cn1c2c(cc(cc2)C(C)C)c(SC(C)(C)C)c1CC(C(O)=O)(C)C</t>
  </si>
  <si>
    <t>SID50111144|SID11114025|MK-886|SID29216407|SID49681739|SID90341050|SID26719785|</t>
  </si>
  <si>
    <t>Clc1ccc(cc1)[C@H](CCN(C)C)c1ncccc1</t>
  </si>
  <si>
    <t>DEXCHLORPHENIRAMINE</t>
  </si>
  <si>
    <t>SID90340867|Dexchlorpheniramine|SID29216403|</t>
  </si>
  <si>
    <t>Clc1ccc(cc1)[C@H](N1CCN(CC1)CCOCC(O)=O)c1ccccc1</t>
  </si>
  <si>
    <t>LEVOCETIRIZINE</t>
  </si>
  <si>
    <t>SID26719822|Levocetirizine|SID49681558|</t>
  </si>
  <si>
    <t>Clc1ccc(cc1S(=O)(=O)N)C(=O)NN1c2c(CC1C)cccc2</t>
  </si>
  <si>
    <t>INDAPAMIDE</t>
  </si>
  <si>
    <t>SID855885|SID56422467|SID26747199|Lozol|Indapamide|SID124883405|</t>
  </si>
  <si>
    <t>Clc1ccc(cc1S(=O)(=O)N)C1(O)NC(=O)c2c1cccc2</t>
  </si>
  <si>
    <t>CHLORTHALIDONE</t>
  </si>
  <si>
    <t>Chlortalidone|Hygroton|SID11532862|Chlorthalidone|G-33182|SID26747917|Thalitone|</t>
  </si>
  <si>
    <t>Clc1ccc(nc1)N1[C@@H](OC(=O)N2CCN(CC2)C)c2nccnc2C1=O</t>
  </si>
  <si>
    <t>ESZOPICLONE</t>
  </si>
  <si>
    <t>Lunesta|SID29215492|(S)-Zopiclone|Eszopiclone|SID49666409|</t>
  </si>
  <si>
    <t>Clc1ccc2nsnc2c1NC=1NCCN=1</t>
  </si>
  <si>
    <t>TIZANIDINE</t>
  </si>
  <si>
    <t>SID29216212|Tizanidine|SID29216213|Zanaflex|SID26754628|SID90340638|</t>
  </si>
  <si>
    <t>Clc1cccc(Cl)c1-c1noc(C)c1C(=O)N[C@H]1[C@H]2SC(C)(C)[C@@H](N2C1=O)C(O)=O</t>
  </si>
  <si>
    <t>DICLOXACILLIN</t>
  </si>
  <si>
    <t>Pathocil|R-13423|SID124893598|Dycill|Dynapen|Pathocill|Dicloxacillin|BRL-1702|</t>
  </si>
  <si>
    <t>Clc1cccc(Cl)c1NC=1NCCN=1</t>
  </si>
  <si>
    <t>CLONIDINE</t>
  </si>
  <si>
    <t>Catapres|Clonidine|Clorpres|SID26751841|Combipres|ST-155BS|SID90341662|SID11110985|SID104171138|SID11110984|SID11113648|Catapres-Tts-2|Catapres-Tts-3|Catapres-Tts-1|Duraclon|ST-155-BS|</t>
  </si>
  <si>
    <t>Clc1cccc(Cl)c1Nc1ccccc1CC([OH2+])=O</t>
  </si>
  <si>
    <t>DICLOFENAC</t>
  </si>
  <si>
    <t>Cataflam|SID24424557|Diclofenac|Voltaren Xr|Cambia|Voltaren-XR|Voltaren Ophthalmic|Solaraze|Voltaren|Arthrotec|</t>
  </si>
  <si>
    <t>Clc1cccc(Cl)c1OC(C)C=1NCCN=1</t>
  </si>
  <si>
    <t>LOFEXIDINE</t>
  </si>
  <si>
    <t>Lofexidine</t>
  </si>
  <si>
    <t>Clc1ccccc1C(C(Cl)Cl)c1ccc(Cl)cc1</t>
  </si>
  <si>
    <t>MITOTANE</t>
  </si>
  <si>
    <t>CB-313|SID104171128|SID50105583|SID144203654|SID85230966|SID90341596|Mitotane|SID56462780|o|p'-DDD|SID94579|SID17389949|SID26752984|SID26747348|Lysodren|</t>
  </si>
  <si>
    <t>Clc1ccccc1C(n1ccnc1)(c1ccccc1)c1ccccc1</t>
  </si>
  <si>
    <t>CLOTRIMAZOLE</t>
  </si>
  <si>
    <t>Mycelex-7|SID50106077|SID50106078|SID144203662|Clotrimazole|Gyne-Lotrimin 3|SID11532882|SID26747487|Gyne-Lotrimin Combination Pack|Mycelex|Mycelex-7 Combination Pack|GNF-Pf-3499|SID90340692|SID11110962|SID124879671|Gyne-lotrimin|Gynix|Trivagizole 3|SID11110963|Gyne-Lotrimin|SID50106076|BAY-5097|Gyne-Lotrimin 3 Combination Pack|Lotrimin|Canesten|SID85230973|SID569393|Mycelex-G|SID26747486|SID50106079|</t>
  </si>
  <si>
    <t>Clc1ccccc1C1=NC(O)C(=O)Nc2c1cc(Cl)cc2</t>
  </si>
  <si>
    <t>LORAZEPAM</t>
  </si>
  <si>
    <t>Loraz|Lorazepam Intensol|Ativan|Lorazepam|Lorazepam Preservative Free|SID144205222|WY-4036|SID29215381|</t>
  </si>
  <si>
    <t>Clc1ccccc1C1\C(=C(\OCC)/O)\C(=NC(C)=C1C(OC)=O)COCCN</t>
  </si>
  <si>
    <t>SID49681578</t>
  </si>
  <si>
    <t>Clc1ccccc1CN1CCc2sccc2C1</t>
  </si>
  <si>
    <t>TICLOPIDINE</t>
  </si>
  <si>
    <t>SID104171328|SID50085878|Ticlopidine|SID11112786|Ticlid|SID26751617|SID144204209|</t>
  </si>
  <si>
    <t>Clc1ccccc1[C@H](N1CCc2sccc2C1)C(OC)=O</t>
  </si>
  <si>
    <t>CLOPIDOGREL</t>
  </si>
  <si>
    <t>Plavix|SID49666065|Clopidogrel|SID49666423|</t>
  </si>
  <si>
    <t>Clc1nc(C(=O)N=C(N)N)c(nc1N)N</t>
  </si>
  <si>
    <t>AMILORIDE</t>
  </si>
  <si>
    <t>Hydro-Ride|SID11110775|Midamor|SID26751628|SID124879259|SID104171108|Amiloride|SID26751629|SID49645530|SID90341609|SID124879263|SID11113372|</t>
  </si>
  <si>
    <t>Clc1nc(C(=O)NC(N)=N)c(nc1N)N</t>
  </si>
  <si>
    <t>Clc1nc(N)c2ncn(c2n1)[C@@H]1O[C@H](CO)[C@@H](O)C1</t>
  </si>
  <si>
    <t>CLADRIBINE</t>
  </si>
  <si>
    <t>SID144204385|SID866156|RWJ-26251|Cladribine|SID26757803|Cladaribine|Leustatin|SID124886798|SID26719669|SID50104045|SID56422184|SID855756|</t>
  </si>
  <si>
    <t>Clc1nc(N)c2ncn(c2n1)[C@@H]1O[C@H](CO)[C@@H](O)[C@@H]1F</t>
  </si>
  <si>
    <t>CLOFARABINE</t>
  </si>
  <si>
    <t>Clofarabine|Clolar|SID144205735|</t>
  </si>
  <si>
    <t>Clc1nc(N)c2ncn(c2n1)[C@@H]1O[C@H](CO)[C@@H](O)[C@H]1O</t>
  </si>
  <si>
    <t>SID90341035|SID56463001|SID855580|2-Chloroadenosine|SID50103933|SID26751454|</t>
  </si>
  <si>
    <t>Clc1nc(N2CCC(N)CC2)ccc1</t>
  </si>
  <si>
    <t>SID90340574|SID26752102|SID11111781|SID11113955|</t>
  </si>
  <si>
    <t>Clc1nc(n(Cc2ccc(cc2)-c2ccccc2-c2[nH]nnn2)c1CO)CCCC</t>
  </si>
  <si>
    <t>LOSARTAN</t>
  </si>
  <si>
    <t>SID26748956|SID144204988|Losartan|</t>
  </si>
  <si>
    <t>Clc1nc(nc(OC)c1NC=1NCCN=1)C</t>
  </si>
  <si>
    <t>MOXONIDINE</t>
  </si>
  <si>
    <t>BE5895|SID90341434|SID11111430|Nucynt|Moxonidine|SID85148350|BDF5896|Cynt|Physiotens|Norcynt|SID11111431|</t>
  </si>
  <si>
    <t>FC(F)(CCCC)[C@@]1(O[C@H]2[C@H](CC1)[C@@H](CCCCCCC(O)=O)C(=O)C2)O</t>
  </si>
  <si>
    <t>LUBIPROSTONE</t>
  </si>
  <si>
    <t>Lubiprostone|Amitiza|RU-0211|SID144206539|</t>
  </si>
  <si>
    <t>FC(F)(F)c1c2nc(cc(c2ccc1)C(O)C1NCCCC1)C(F)(F)F</t>
  </si>
  <si>
    <t>MEFLOQUINE</t>
  </si>
  <si>
    <t>SID26748684|GNF-Pf-5544|Mefloquine|SID29216385|WR-142490|Lariam|Mefaquin|Ro-21-5998|</t>
  </si>
  <si>
    <t>FC(F)(F)c1c2nc(cc(c2ccc1)[C@H](O)[C@@H]1NCCCC1)C(F)(F)F</t>
  </si>
  <si>
    <t>(R,S)-MEFLOQUINE</t>
  </si>
  <si>
    <t>SID26755467|(S|R)-Mefloquine|</t>
  </si>
  <si>
    <t>FC(F)(F)c1cc(N2CCNCC2)ccc1</t>
  </si>
  <si>
    <t>SID26756537</t>
  </si>
  <si>
    <t>FC(F)(F)c1cc(NC(=O)C(C)C)ccc1[N+](=O)[O-]</t>
  </si>
  <si>
    <t>FLUTAMIDE</t>
  </si>
  <si>
    <t>SID85231055|SID50105599|SID50105600|SID26747365|SID50105598|Eulexin|SID124880153|SID26747366|Flutamide|SID26753014|SID11532925|SID17388997|SID90341271|SID124880151|SCH-13521|Drogenil|SID11111203|SID49675006|SID26753015|SID104171162|SID50105597|SID11111202|SID144203705|</t>
  </si>
  <si>
    <t>FC(F)(F)c1cc(NC(=O)C(O)(C)C)ccc1[N+](=O)[O-]</t>
  </si>
  <si>
    <t>HYDROXYFLUTAMIDE</t>
  </si>
  <si>
    <t>SID56314870|SID17388977|Hydroxyflutamide|</t>
  </si>
  <si>
    <t>FC(F)(F)c1cc([N+](=O)[O-])c(cc1)C(=O)C1C(=O)CCCC1=O</t>
  </si>
  <si>
    <t>NITISINONE</t>
  </si>
  <si>
    <t>Nitisinone|Orfadin|SC-0735|</t>
  </si>
  <si>
    <t>FC(F)(F)c1cc(ccc1)CCCN[C@H](C)c1c2c(ccc1)cccc2</t>
  </si>
  <si>
    <t>CINACALCET</t>
  </si>
  <si>
    <t>Sensipar|SID124893630|Cinacalcet|SID50125742|AMG-073|</t>
  </si>
  <si>
    <t>FC(F)(F)c1cc2N=C(N3CCN(CC3)C)c3n(-c2cc1)ccc3</t>
  </si>
  <si>
    <t>CGS-12066B|SID11113615|SID90341822|SID124879476|SID50104508|SID11110877|SID26751815|SID124879474|</t>
  </si>
  <si>
    <t>FC(F)(F)c1ccc(N/C(/O)=C(/C(=O)C)\C#N)cc1</t>
  </si>
  <si>
    <t>FC(F)(F)c1ccc(NC(=O)c2cnoc2C)cc1</t>
  </si>
  <si>
    <t>LEFLUNOMIDE</t>
  </si>
  <si>
    <t>SID50104056|SID56422128|SID26746986|SID90341277|SID124880563|Arava|SID50104054|Sulol|SID11111382|HWA-486|Leflunomide|SID26746985|SID50100264|SID144203733|SID50104055|SID855764|SU-101|SID85231115|SID11111383|SID26746987|SID124880568|</t>
  </si>
  <si>
    <t>FC(F)(F)c1ccc(OC(CCNC)c2ccccc2)cc1</t>
  </si>
  <si>
    <t>FLUOXETINE</t>
  </si>
  <si>
    <t>Fluoxetine|Prozac Weekly|SID104171153|SID26751973|SID26755310|Sarafem|Symbyax|SID144203695|Prozac|SID50104648|SID90341619|</t>
  </si>
  <si>
    <t>FC(F)(F)c1ccc(cc1)/C(=N/OCCN)/CCCCOC</t>
  </si>
  <si>
    <t>FLUVOXAMINE</t>
  </si>
  <si>
    <t>SID144204388|Fluvoxamine|SID90340960|SID50103976|Luvox|SID104171369|SID26751469|</t>
  </si>
  <si>
    <t>FC(F)(F)c1ccc(cc1)C(=NOCCN)CCCCOC</t>
  </si>
  <si>
    <t>FC(F)(F)c1ccc(cc1)C(=O)Nc1nc2cc(ccc2n1CCc1ccc(OC(=O)c2ccc(OC)cc2)cc1)C(O)=O</t>
  </si>
  <si>
    <t>BIX-01338</t>
  </si>
  <si>
    <t>FC(F)(F)c1ccc(cc1)[C@@H]1C[C@H]1N</t>
  </si>
  <si>
    <t>FC(F)(F)c1ccc(cc1NC(=O)[C@H]1CC[C@H]2[C@H]3[C@H](CC[C@]12C)[C@@]1([C@H](NC(=O)C=C1)CC3)C)C(F)(F)F</t>
  </si>
  <si>
    <t>DUTASTERIDE</t>
  </si>
  <si>
    <t>GG-745|Dutasteride|GI-198745|Avodart|</t>
  </si>
  <si>
    <t>FC(F)C(N)(CCCN)C(O)=O</t>
  </si>
  <si>
    <t>EFLORNITHINE</t>
  </si>
  <si>
    <t>SID90341137|SID575150|Ornidyl|Eflornithine|Vaniqa|</t>
  </si>
  <si>
    <t>FC(F)Oc1ccc(cc1OC)-c1nnc(O)cc1</t>
  </si>
  <si>
    <t>ZARDAVERINE</t>
  </si>
  <si>
    <t>SID50104700|SID26752043|SID11111982|SID49681610|Zardaverine|SID50104699|SID85231289|SID11113879|SID26719752|SID26752044|SID11111981|</t>
  </si>
  <si>
    <t>FC1(F)CCC(CC1)C(=O)N[C@@H](CCN1[C@H]2CC(n3c(nnc3C)C(C)C)C[C@@H]1CC2)c1ccccc1</t>
  </si>
  <si>
    <t>FC12C(C3CC(C)C(O)(C(=O)CO)C3(CC1O)C)CCC1=CC(=O)C=CC12C</t>
  </si>
  <si>
    <t>SID24820037</t>
  </si>
  <si>
    <t>FC12C(C3CC4OC5(OC4(C(=O)COC(=O)C)C3(CC1O)C)CCCC5)CCC1=CC(=O)C=CC12C</t>
  </si>
  <si>
    <t>FC12C(C3CCC(O)(C(=O)C)C3(CC1O)C)CC(C1=CC(=O)C=CC12C)C</t>
  </si>
  <si>
    <t>SID92763319</t>
  </si>
  <si>
    <t>FC1=CN(C(=O)NCCCCCC)C(=O)NC1=O</t>
  </si>
  <si>
    <t>CARMOFUR</t>
  </si>
  <si>
    <t>SID26749035|Mifurol|SID144205017|Carmofur|</t>
  </si>
  <si>
    <t>FC1=CN(C2OC(CO)C(O)C2)C(=O)NC1=O</t>
  </si>
  <si>
    <t>SID124883239</t>
  </si>
  <si>
    <t>FC1=CN(C2OCCC2)C(=O)NC1=O</t>
  </si>
  <si>
    <t>TEGAFUR</t>
  </si>
  <si>
    <t>MJF-12264|SID26754499|Tegafur|SID29215356|SID56422217|SID8139878|</t>
  </si>
  <si>
    <t>FC1=CNC(=O)NC1=O</t>
  </si>
  <si>
    <t>FLUOROURACIL</t>
  </si>
  <si>
    <t>Fluorouracil|SID50105574|Fluoroplex|Fluracil|Ro-2-9757|Ro-29757|SID124880118|Carac|Efudex|SID82653|SID90341469|Adrucil|SID26747342|SID11111190|SID144203701|5-FU|SID26752979|SID8139872|SID104171158|SID85231050|SID17389875|</t>
  </si>
  <si>
    <t>F[C@@H]1C2=CC(=O)C=C[C@@]2([C@@H]2[C@H]([C@@H]3C[C@H]4OC(O[C@@]4(C(=O)CO)[C@]3(C[C@@H]2O)C)(C)C)C1)C</t>
  </si>
  <si>
    <t>FLUNISOLIDE</t>
  </si>
  <si>
    <t>Flunisolide|Aerospan hfa|Nasarel|RS-3999|Nasalide|Aerospan|SID56463079|Aerobid|</t>
  </si>
  <si>
    <t>F[C@@]12[C@H]([C@@H]3C[C@@H](C)[C@H](C(=O)CO)[C@]3(C[C@@H]1O)C)CCC1=CC(=O)C=C[C@@]12C</t>
  </si>
  <si>
    <t>DESOXIMETASONE</t>
  </si>
  <si>
    <t>A-41-304|HOE-304|Topicort|Topicort Lp|SID56423147|SID144204440|Desoximetasone|SID29215017|R-2113|SID855924|</t>
  </si>
  <si>
    <t>F[C@@]12[C@H]([C@@H]3C[C@@H](C)[C@](O)(C(=O)CO)[C@]3(C[C@@H]1O)C)CCC1=CC(=O)C=C[C@@]12C</t>
  </si>
  <si>
    <t>DEXAMETHASONE</t>
  </si>
  <si>
    <t>Decadron|Dexacen-4|Dexone 4|Kortico Injection|Aeroseb-Dex|Decaspray|Dexamethasone Palmitate|Maxidex|Mymethasone|Ozurdex|Dexair|Dexamethasone Metasulfobenzoate Sodium|Dexamethasone Valerate|Dexamethasone Intensol|SID26752876|Dexamethasone|Dexone 0.75|Dexone 1.5|Fluormethylprednisolone|Dalalone|Dexone|Decaderm|Decadron-LA|Dexacort|Hexadrol|SID17389945|Dexone 0.5|Neodecadron|</t>
  </si>
  <si>
    <t>F[C@@]12[C@H]([C@@H]3C[C@@H](C)[C@](O)(C(=O)COC(=O)C)[C@]3(C[C@@H]1O)C)CCC1=CC(=O)C=C[C@@]12C</t>
  </si>
  <si>
    <t>SID855773|SID56423129|</t>
  </si>
  <si>
    <t>F[C@@]12[C@H]([C@@H]3C[C@H]4OC(O[C@@]4(C(=O)CO)[C@]3(C[C@@H]1O)C)(C)C)CCC1=CC(=O)C=C[C@@]12C</t>
  </si>
  <si>
    <t>TRIAMCINOLONE ACETONIDE</t>
  </si>
  <si>
    <t>Flutex|Triacort|Azmacort|Kenalog-H|Tri-Nasal|Triamcinolone Acetonide In Absorbase|Vetalog|SID855857|Kenalog|Kenalog-10|Trymex|Allernaze|Oralone|Triamcinolone Acetonide|Triatex|Triderm|SID29215012|Aristocort|Aristocort A|Kenalog-40|Nasacort|Oracort|Triesence|Trivaris|SID56423119|Triacet|Aristogel|Kenalog In Orabase|Nasacort Aq|Nasacort Hfa|</t>
  </si>
  <si>
    <t>F[C@@]12[C@H]([C@@H]3C[C@H]4OC(O[C@@]4(C(=O)CO)[C@]3(C[C@@H]1O)C)(C)C)C[C@H](F)C1=CC(=O)C=C[C@@]12C</t>
  </si>
  <si>
    <t>FLUOCINOLONE ACETONIDE</t>
  </si>
  <si>
    <t>SID855535|SID29214997|Fluocinolone|Retisert|SID398387|FS Shampoo|Derma-Smoothe/Fs|Fluocinolone Acetonide|Synalar-Hp|Fluonid|Synalar|Dermotic|Capex|Fluocet|Fluotrex|Fs|Derma-Smoothe/FS|SID56422130|</t>
  </si>
  <si>
    <t>F[C@@]12[C@H]([C@@H]3C[C@H]4OC(O[C@@]4(C(=O)COC(=O)C)[C@]3(C[C@@H]1O)C)(C)C)C[C@H](F)C1=CC(=O)C=C[C@@]12C</t>
  </si>
  <si>
    <t>FLUOCINONIDE</t>
  </si>
  <si>
    <t>Fluocinonide Emulsified Base|Vanos|Fluocinolide|Fluocinonide|Lidex|Lidex-E|SID855724|</t>
  </si>
  <si>
    <t>Fc1cc(F)c(F)cc1C[C@@H](N)CC(=O)N1CCn2c(nnc2C(F)(F)F)C1</t>
  </si>
  <si>
    <t>SITAGLIPTIN</t>
  </si>
  <si>
    <t>Januvia|MK-0431|Sitagliptin|</t>
  </si>
  <si>
    <t>Fc1cc(F)ccc1-c1cc(C(O)=O)c(O)cc1</t>
  </si>
  <si>
    <t>DIFLUNISAL</t>
  </si>
  <si>
    <t>SID11112675|Diflunisal|SID26746997|SID124882514|SID855794|Dolobid|</t>
  </si>
  <si>
    <t>Fc1cc(F)ccc1C(O)(Cn1ncnc1)Cn1ncnc1</t>
  </si>
  <si>
    <t>FLUCONAZOLE</t>
  </si>
  <si>
    <t>Diflucan|Triflucan|Diflucan In Sodium Chloride|SID26748877|Fluconazole|SID49666152|UK-49858|Fluconazole In Sodium Chloride|</t>
  </si>
  <si>
    <t>Fc1cc(F)ccc1N1C=C(C(O)=O)C(=O)c2cc(F)c(nc12)N1CC(N)CC1</t>
  </si>
  <si>
    <t>TOSUFLOXACIN</t>
  </si>
  <si>
    <t>SID124893342|ABBOTT-61827|Ozex|SID50112789|Tosufloxacin Tosilate|Tosufloxacin|</t>
  </si>
  <si>
    <t>Fc1cc(F)ccc1[C@](O)([C@@H](C)c1ncncc1F)Cn1ncnc1</t>
  </si>
  <si>
    <t>VORICONAZOLE</t>
  </si>
  <si>
    <t>UK-109496|SID26719857|Vfend|Voriconazole|</t>
  </si>
  <si>
    <t>Fc1cc(N2C[C@@H](OC2=O)CNC(=O)C)ccc1N1CCOCC1</t>
  </si>
  <si>
    <t>LINEZOLID</t>
  </si>
  <si>
    <t>SID49681612|Linezolid|U-100766|SID26719842|Zyvox|SID144205799|</t>
  </si>
  <si>
    <t>Fc1cc(NC(=O)c2ccc(cc2)CNC(=O)\C=C\c2cccnc2)c(N)cc1</t>
  </si>
  <si>
    <t>Fc1cc(ccc1-c1ccccc1)C(C(O)=O)C</t>
  </si>
  <si>
    <t>FLURBIPROFEN</t>
  </si>
  <si>
    <t>SID26747178|SID860839|Ansaid|SID855731|BTS-18322|BTS 18322|Flurbiprofen|U-27182|SID520771|SID49732000|Ocufen|</t>
  </si>
  <si>
    <t>Fc1cc2N=C(N3CCN(CC3)C)c3c(Cc2cc1)cccc3</t>
  </si>
  <si>
    <t>FLUPERLAPINE</t>
  </si>
  <si>
    <t>SID26754614|SID26719743|Fluperlapine|SID144205333|</t>
  </si>
  <si>
    <t>Fc1cc2c(-n3c(CN(C)C2=O)c(nc3)C(OCC)=O)cc1</t>
  </si>
  <si>
    <t>FLUMAZENIL</t>
  </si>
  <si>
    <t>SID85231047|Anexate|Flumazenil|Ro-151788000|SID11114035|SID11532958|SID104171157|SID26719655|Flumazepil|SID50104818|SID56422177|SID26752173|Ro-151788|Mazicon|SID11111184|Romazicon|SID90341071|</t>
  </si>
  <si>
    <t>Fc1cc2c(N(C=C(C(O)=O)C2=O)C2CC2)c(OC)c1N1CC(NCC1)C</t>
  </si>
  <si>
    <t>GATIFLOXACIN</t>
  </si>
  <si>
    <t>SID124888832|Gatifloxacin|Tequin|SID861394|SID104171401|SID103905240|BMS-206584-01|Zymar|Zymaxid|AM-1155|SID26748958|SID144204535|</t>
  </si>
  <si>
    <t>Fc1cc2c(N(C=C(C(O)=O)C2=O)C2CC2)c(OC)c1N1C[C@H]2[C@H](NCCC2)C1</t>
  </si>
  <si>
    <t>MOXIFLOXACIN</t>
  </si>
  <si>
    <t>Moxifloxacin|Avelox|Vigamox|</t>
  </si>
  <si>
    <t>Fc1cc2c(N(C=C(C(O)=O)C2=O)CC)cc1N1CCN(CC1)C</t>
  </si>
  <si>
    <t>PEFLOXACIN</t>
  </si>
  <si>
    <t>Pefloxacin|EU-5306|1589 RB|Perflacine|</t>
  </si>
  <si>
    <t>Fc1cc2c(OC=C(C(O)=O)C2=O)cc1</t>
  </si>
  <si>
    <t>Fc1cc2c(nc1N1CCNCC1)N(C=C(C(O)=O)C2=O)CC</t>
  </si>
  <si>
    <t>ENOXACIN</t>
  </si>
  <si>
    <t>AT-2266|Flumark|SID855964|SID124882681|Penetrex|PD-107779|CI-919|Enoxacin|SID11112842|SID494643|</t>
  </si>
  <si>
    <t>Fc1cc2c3N(C=C(C(O)=O)C2=O)C(COc3c1N1CCN(CC1)C)C</t>
  </si>
  <si>
    <t>OFLOXACIN</t>
  </si>
  <si>
    <t>SID85231170|SID124880996|Ofloxacin|Ocuflox|Tarivid|SID26747609|SID26747610|Floxin Otic|SID50106760|SID56423109|SID124880995|Floxin|HOE-280|Visiren|SID11533038|SID90341488|DL-8280|</t>
  </si>
  <si>
    <t>Fc1cc2c3N(C=C(C(O)=O)C2=O)[C@H](COc3c1C1(N)CC1)C</t>
  </si>
  <si>
    <t>PAZUFLOXACIN</t>
  </si>
  <si>
    <t>SID26719888|Pasil|SID50112787|SID49681761|Pazufloxacin|</t>
  </si>
  <si>
    <t>Fc1cc2c3N(C=C(C(O)=O)C2=O)[C@H](COc3c1N1CCN(CC1)C)C</t>
  </si>
  <si>
    <t>LEVOFLOXACIN</t>
  </si>
  <si>
    <t>SID49665952|Iquix|RWJ-25213|Floxacin|SID26719895|DR-3355|Quixin|Levofloxacin|Levaquin|</t>
  </si>
  <si>
    <t>Fc1cc2onc(c2cc1)C1CCN(CC1)CCC=1C(=O)N2C(=NC=1C)CCCC2</t>
  </si>
  <si>
    <t>RISPERIDONE</t>
  </si>
  <si>
    <t>SID104171228|SID11111724|R-64766|Risperdal M|Risperdal M-Tab|SID50123965|SID11111725|SID49666400|SID26719830|R-64-766|Risperdal Consta|SID85231208|Risperdal|Risperidone|SID124881313|SID50106975|Risperdal Consta Long Acting|SID26753640|SID50106974|</t>
  </si>
  <si>
    <t>Fc1cc\2c(NC(=O)/C/2=C\c2[nH]c(C)c(C(=O)NCCN(CC)CC)c2C)cc1</t>
  </si>
  <si>
    <t>SUNITINIB</t>
  </si>
  <si>
    <t>SU-11248|Sunitinib|SID50100120|SID26758053|Sutent|</t>
  </si>
  <si>
    <t>Fc1ccc(cc1)-c1c(COC)c(nc(C(C)C)c1\C=C\[C@@H](O)C[C@@H](O)CC(O)=O)C(C)C</t>
  </si>
  <si>
    <t>CERIVASTATIN</t>
  </si>
  <si>
    <t>Cerivastatin|Lipobay|SID50111694|Baycol|</t>
  </si>
  <si>
    <t>Fc1ccc(cc1)-c1c2c(n(C(C)C)c1\C=C\[C@@H](O)C[C@@H](O)CC(O)=O)cccc2</t>
  </si>
  <si>
    <t>FLUVASTATIN</t>
  </si>
  <si>
    <t>Fluvastatin|Lescol|Lescol Xl|</t>
  </si>
  <si>
    <t>Fc1ccc(cc1)C(=O)C1CCN(CC1)CCC=1C(=O)N2C(=NC=1C)C=CC=C2</t>
  </si>
  <si>
    <t>PIRENPERONE</t>
  </si>
  <si>
    <t>R-47465|SID11111590|SID90341504|SID56422490|SID144203771|SID104171208|SID85231174|Pirenperone|SID50103904|SID26746907|SID855539|</t>
  </si>
  <si>
    <t>Fc1ccc(cc1)C(=O)CCCN1CCC(n2c3c(nc2O)cccc3)=CC1</t>
  </si>
  <si>
    <t>DROPERIDOL</t>
  </si>
  <si>
    <t>Inapsine|Droleptan|SID855921|SID11112409|Droperidol|SID124882342|McN-JR-4749|SID26748461|R-4749|Dridol|SID56463295|SID26719691|SID144204012|</t>
  </si>
  <si>
    <t>Fc1ccc(cc1)C(=O)c1cc2nc([nH]c2cc1)NC(OC)=O</t>
  </si>
  <si>
    <t>FLUBENDAZOLE</t>
  </si>
  <si>
    <t>Biovermin|Flubendazole|Flumoxal|Flutelmium|Flubenol|R-17889|SID49681603|SID26719867|</t>
  </si>
  <si>
    <t>Fc1ccc(cc1)C(N1CCN(CC1)Cc1ccc(OC)c(OC)c1OC)c1ccc(F)cc1</t>
  </si>
  <si>
    <t>LOMERIZINE</t>
  </si>
  <si>
    <t>Lomerizine|SID26757962|</t>
  </si>
  <si>
    <t>Fc1ccc(cc1)C1(OCc2c1ccc(c2)C#N)CCCN(C)C</t>
  </si>
  <si>
    <t>CITALOPRAM</t>
  </si>
  <si>
    <t>Citalopram|Celexa|SID90340852|SID50104852|</t>
  </si>
  <si>
    <t>Fc1ccc(cc1)C1CCNCC1COc1cc2OCOc2cc1</t>
  </si>
  <si>
    <t>Fc1ccc(cc1)CN/C(/O)=C\1/N=C(N(C)C(=O)C/1=O)C(NC(=O)c1oc(nn1)C)(C)C</t>
  </si>
  <si>
    <t>Fc1ccc(cc1)[C@@H](O)CC[C@@H]1[C@H](N(C1=O)c1ccc(F)cc1)c1ccc(O)cc1</t>
  </si>
  <si>
    <t>EZETIMIBE</t>
  </si>
  <si>
    <t>Ezetimibe|SCH-58235|SID144204996|SID26719841|Zetia|</t>
  </si>
  <si>
    <t>Fc1ccc(cc1)[C@@H]1CCN(C[C@H]1COc1cc2OCOc2cc1)C</t>
  </si>
  <si>
    <t>Fc1ccc(cc1)[C@@H]1CCNC[C@H]1COc1cc2OCOc2cc1</t>
  </si>
  <si>
    <t>PAROXETINE</t>
  </si>
  <si>
    <t>Paroxetine|SID50104980|SID50104981|SID29215051|SID26752262|SID90341371|BRL-29060|Pexeva|SID50104979|SID144206674|Paxil [as hydrochloride]|Paxil|SID50104978|</t>
  </si>
  <si>
    <t>Fc1ccc(cc1)[C@@]1(OCc2cc(ccc12)C#N)CCCN(C)C</t>
  </si>
  <si>
    <t>ESCITALOPRAM</t>
  </si>
  <si>
    <t>Lexapro|Escitalopram|SID11114081|SID50100207|SID11110983|SID124879737|</t>
  </si>
  <si>
    <t>Fc1ccc(cc1)[C@H](O)CC[C@@H]1[C@H](N(C1=O)c1ccc(F)cc1)c1ccc(OC2O[C@H](C(O)=O)[C@@H](O)[C@H](O)[C@H]2O)cc1</t>
  </si>
  <si>
    <t>ezetimibe-glucuronide</t>
  </si>
  <si>
    <t>Fc1ccc(cc1)[C@H]1N(CCO[C@H]1O[C@H](C)c1cc(cc(c1)C(F)(F)F)C(F)(F)F)CC1=NC(=O)NN1</t>
  </si>
  <si>
    <t>SID50126334</t>
  </si>
  <si>
    <t>Fc1cccc(F)c1Cn1nnc(c1)C(=O)N</t>
  </si>
  <si>
    <t>RUFINAMIDE</t>
  </si>
  <si>
    <t>RUF-331|SID29217641|SID90341717|Rufinamide|Banzel|60231/4|E2080|SID56320687|CGP-33101|SID50111716|</t>
  </si>
  <si>
    <t>Fc1cnc(O)nc1</t>
  </si>
  <si>
    <t>Fc1cnc(O)nc1N</t>
  </si>
  <si>
    <t>FLUCYTOSINE</t>
  </si>
  <si>
    <t>Flucytosine|SID11112505|SID56424024|Alcobon|Ancobon|Fluorocytosine|Ro-29915|SID405592|SID8139861|Ro-2-9915|Flourocytosine|Ancoban|</t>
  </si>
  <si>
    <t>Fc1cnc(O)nc1O</t>
  </si>
  <si>
    <t>Fc1nc(N)c2ncn(c2n1)[C@@H]1O[C@H](CO)[C@@H](O)[C@@H]1O</t>
  </si>
  <si>
    <t>FLUDARABINE</t>
  </si>
  <si>
    <t>Fludarabine|SID144206969|SID144206348|2-Fluoro-Ara-A|SID855645|</t>
  </si>
  <si>
    <t>IC1=Cn2c3c(nccc3c3c2cccc3)C1=O</t>
  </si>
  <si>
    <t>Ic1cc(cc(I)c1OCCN(CC)CC)C(=O)c1c2c(oc1CCCC)cccc2</t>
  </si>
  <si>
    <t>AMIODARONE</t>
  </si>
  <si>
    <t>Amiodarone|L-3428|SID11110785|SID26751596|SID50100172|SID11110784|SID26751597|SID144203634|SID90341282|Cordarone|Pacerone|SID124879287|SKF-33134A|SID104171110|</t>
  </si>
  <si>
    <t>Ic1cc(cc(I)c1Oc1cc(I)c(O)c(I)c1)C[C@H](N)C(O)=O</t>
  </si>
  <si>
    <t>LEVOTHYROXINE</t>
  </si>
  <si>
    <t>Synthroid|SID8139892|Levothyroxine|SID26757755|Levothroid|Levoxyl|SID144205654|</t>
  </si>
  <si>
    <t>Ic1cc(cc(I)c1Oc1cc(I)c(O)cc1)CC(N)C(O)=O</t>
  </si>
  <si>
    <t>RATHYRONINE</t>
  </si>
  <si>
    <t>SID99511|Rathyronine|</t>
  </si>
  <si>
    <t>Ic1cc2c3c([nH]c2cc1)C(=O)CCC3</t>
  </si>
  <si>
    <t>Ic1cc2c3c([nH]c2cc1)C(O)(CCC3)C(=O)C</t>
  </si>
  <si>
    <t>Ic1cc2c3c([nH]c2cc1)c(O)ccc3</t>
  </si>
  <si>
    <t>Ic1cc2c3c([nH]c2cc1)c(ccc3)C(=O)C</t>
  </si>
  <si>
    <t>Ic1ccc(cc1)-c1n(nc(C(=O)NN2CCCCC2)c1C)-c1ccc(Cl)cc1Cl</t>
  </si>
  <si>
    <t>SID11113928|SID26719791|AM-251|SID49681811|SID26752082|</t>
  </si>
  <si>
    <t>Ic1ccc(cc1)C(=O)NCCCCCC(=O)N(CC#C)C</t>
  </si>
  <si>
    <t>Ic1ccc(cc1)C(=O)NCCCCCC(=O)NC(=O)C(O)=O</t>
  </si>
  <si>
    <t>Ic1ccc(cc1)C(=O)NCCCCCC(=O)NCCN(CC#N)C</t>
  </si>
  <si>
    <t>Ic1ccc(cc1)C(=O)NCCCCCC(=O)NN</t>
  </si>
  <si>
    <t>Ic1ccc(cc1)C(=O)NCCCCCC(=O)NNC(=O)CC</t>
  </si>
  <si>
    <t>Ic1ccc(cc1)C(=O)NCCCCCC(=O)NNC(=O)c1ccccc1</t>
  </si>
  <si>
    <t>Ic1ccc(cc1)C(=O)NCCCCCC(=O)NNc1ncccc1</t>
  </si>
  <si>
    <t>Ic1ccc(cc1)C(=O)NCCCCCC(=O)N[C@H]1CCOC1=O</t>
  </si>
  <si>
    <t>Ic1ccc(cc1)C(=O)NCc1ccc(cc1)C(=O)N(CC#C)C</t>
  </si>
  <si>
    <t>Ic1ccc(cc1)C(=O)NCc1ccc(cc1)C(=O)NCCCNC(=O)C(O)=O</t>
  </si>
  <si>
    <t>Ic1ccc(cc1)C(=O)NCc1ccc(cc1)C(=O)NCCN(CC#N)C</t>
  </si>
  <si>
    <t>Ic1ccc(cc1)C(=O)NCc1ccc(cc1)C(=O)NN</t>
  </si>
  <si>
    <t>Ic1ccc(cc1)C(=O)NCc1ccc(cc1)C(=O)NNC(=O)CC</t>
  </si>
  <si>
    <t>Ic1ccc(cc1)C(=O)NCc1ccc(cc1)C(=O)NNC(=O)c1ccccc1</t>
  </si>
  <si>
    <t>Ic1ccc(cc1)C(=O)NCc1ccc(cc1)C(=O)NNC(=O)c1cccnc1</t>
  </si>
  <si>
    <t>Ic1ccc(cc1)C(=O)NCc1ccc(cc1)C(=O)NNc1ncccc1</t>
  </si>
  <si>
    <t>Ic1ccc(cc1)C(=O)NCc1ccc(cc1)C(=O)N[C@H]1CCOC1=O</t>
  </si>
  <si>
    <t>N(C(=N)c1cc(ccc1)C(Nc1ccc(cc1)C(NCC)=N)=N)c1ccc(cc1)C(NCC)=N</t>
  </si>
  <si>
    <t>N(C(N=C(N)N)=N)(C)C</t>
  </si>
  <si>
    <t>METFORMIN</t>
  </si>
  <si>
    <t>Glucophage Xr|SID137275802|Glucophage|SID11112469|LA-6023|Metformin|</t>
  </si>
  <si>
    <t>N(C)C1(C2CC(CC2)C1(C)C)C</t>
  </si>
  <si>
    <t>MECAMYLAMINE</t>
  </si>
  <si>
    <t>SID50111169|Mecamylamine|SID104171190|SID90341710|SID26755706|</t>
  </si>
  <si>
    <t>N(CCC=C1c2c(CCc3c1cccc3)cccc2)(C)C</t>
  </si>
  <si>
    <t>AMITRIPTYLINE</t>
  </si>
  <si>
    <t>SID11110783|Amitril|Tryptanol|Etrafon-A|Amitid|Amitriptyline|Etrafon-Forte|Limbitrol|Endep|SID90340850|SID11110782|Elavil|</t>
  </si>
  <si>
    <t>N(CCC=C1c2c(CCc3c1cccc3)cccc2)C</t>
  </si>
  <si>
    <t>NORTRIPTYLINE</t>
  </si>
  <si>
    <t>Nortriptyline|SID26747092|SID124878449|SID50104257|SID50100156|SID4253930|Pamelor|SID50104258|SID11110654|SID90340759|SID11110653|SID26747093|</t>
  </si>
  <si>
    <t>N(CCCC12CCC(c3c1cccc3)c1c2cccc1)C</t>
  </si>
  <si>
    <t>MAPROTILINE</t>
  </si>
  <si>
    <t>SID90341780|Maprotiline|SID50085871|SID11113802|SID11111502|SID11112599|Ludiomil|SID124880790|SID50104649|BA-34276 [As Hydrochloride]|Deprilept|SID26751977|Psymion|SID104171192|SID144203751|SID124880792|</t>
  </si>
  <si>
    <t>N(CCCCN)C(N)=N</t>
  </si>
  <si>
    <t>AGMATINE</t>
  </si>
  <si>
    <t>SID124879247|SID90341553|SID11113734|Agmatine|SID11110769|</t>
  </si>
  <si>
    <t>N(CCCCN)CCCN</t>
  </si>
  <si>
    <t>SPERMIDINE</t>
  </si>
  <si>
    <t>SID11111787|SID11113819|SID90340561|Spermidine|</t>
  </si>
  <si>
    <t>N(CCCCNCCCN)CCCN</t>
  </si>
  <si>
    <t>SPERMINE</t>
  </si>
  <si>
    <t>SID90341642|SID26751991|SID124881425|SID11111791|Spermine|SID11113818|</t>
  </si>
  <si>
    <t>N(CCCN1c2c(CCc3c1cccc3)cccc2)(C)C</t>
  </si>
  <si>
    <t>IMIPRAMINE</t>
  </si>
  <si>
    <t>SID50100256|SID50104254|SID11111331|SID26751600|SID90341377|Presamine|Tofranil|Tofranil-Pm|SID144203725|Janimine|SID104171178|SID124880469|Tofranil-PM|Imipramine|Pramine|SID11111330|</t>
  </si>
  <si>
    <t>N(CCCN1c2c(CCc3c1cccc3)cccc2)C</t>
  </si>
  <si>
    <t>DESIPRAMINE</t>
  </si>
  <si>
    <t>Norpramin|Pertofrane|SID11111067|SID50100220|SID50104283|SID90341801|Desipramine|SID11111066|</t>
  </si>
  <si>
    <t>N(Cc1c2c(ccc1)cccc2)(C\C=C\C#CC(C)(C)C)C</t>
  </si>
  <si>
    <t>TERBINAFINE</t>
  </si>
  <si>
    <t>Lamisil|SF-86-327|Terbinafine Hydrochloride|SID144205144|SID26754460|SID29215261|SF-86327|Terbinafine|Lamisil at|</t>
  </si>
  <si>
    <t>N(Cc1ccccc1)(CC#C)C</t>
  </si>
  <si>
    <t>PARGYLINE</t>
  </si>
  <si>
    <t>SID11111668|SID90340843|SID11111669|Eutron|Eutonyl|Pargyline|</t>
  </si>
  <si>
    <t>N(N)CCc1ccccc1</t>
  </si>
  <si>
    <t>PHENELZINE</t>
  </si>
  <si>
    <t>Nardil|SID11111654|SID90341694|Phenelzine|SID50111200|SID11111653|</t>
  </si>
  <si>
    <t>N([C@@H](Cc1ccccc1)C)(CC#C)C</t>
  </si>
  <si>
    <t>SELEGILINE</t>
  </si>
  <si>
    <t>SID11113910|Eldepryl|Selegiline|Zelapar|SID26752066|Emsam|EMSAM|</t>
  </si>
  <si>
    <t>N12[C@@H]([C@H]3C[C@H]([C@H]4N(CCCC4)C3)C1)CCCC2</t>
  </si>
  <si>
    <t>SPARTEINE</t>
  </si>
  <si>
    <t>N1C2C(CCCC2)c2c1cccc2</t>
  </si>
  <si>
    <t>N1CCN=C1C1CCCc2c1cccc2</t>
  </si>
  <si>
    <t>TETRAHYDROZOLINE</t>
  </si>
  <si>
    <t>Tetrahydrozoline|SID90341828|Tyzine|</t>
  </si>
  <si>
    <t>N1CCN=C1Cc1c2c(ccc1)cccc2</t>
  </si>
  <si>
    <t>NAPHAZOLINE</t>
  </si>
  <si>
    <t>SID11112411|Nafazair|Naphazoline|SID26751615|</t>
  </si>
  <si>
    <t>N1CCN=C1Cc1ccccc1</t>
  </si>
  <si>
    <t>TOLAZOLINE</t>
  </si>
  <si>
    <t>Priscoline|SID11112156|Tolazoline|</t>
  </si>
  <si>
    <t>N1CCNCC1</t>
  </si>
  <si>
    <t>PIPERAZINE</t>
  </si>
  <si>
    <t>Pipzine|Pipfuge Pedatabs|Piperazine|Bryel|Pipcide|Wormelix|SID26748210|Hexahydropyrazine|</t>
  </si>
  <si>
    <t>NC(C)C12CC3CC(C1)CC(C2)C3</t>
  </si>
  <si>
    <t>RIMANTADINE</t>
  </si>
  <si>
    <t>SID29215455|Rimantadin|Rimantadine|</t>
  </si>
  <si>
    <t>NC12CC3(CC(C1)(CC(C3)C2)C)C</t>
  </si>
  <si>
    <t>MEMANTINE</t>
  </si>
  <si>
    <t>SID90341818|Namenda|SID50104569|SID26751885|Memantine|Namenda Titration Pak|SID104171191|</t>
  </si>
  <si>
    <t>NC12CC3CC(C1)CC(C2)C3</t>
  </si>
  <si>
    <t>AMANTADINE</t>
  </si>
  <si>
    <t>Amantadine|SID11110715|TCMDC-125869|Symadine|SID50110919|Symmetrel|SID104171100|SID26755641|SID50110918|SID90340894|SID26755640|</t>
  </si>
  <si>
    <t>NC1=NC=C(C2=CN(C3CCNCC3)N=C2)C=C1O[C@H](C4=C(Cl)C=CC(F)=C4Cl)C</t>
  </si>
  <si>
    <t>NC1CC1c1ccccc1</t>
  </si>
  <si>
    <t>TRANYLCYPROMINE</t>
  </si>
  <si>
    <t>Tranylcypromine|SID90340789|</t>
  </si>
  <si>
    <t>NCCCCN</t>
  </si>
  <si>
    <t>NCCc1ccccc1</t>
  </si>
  <si>
    <t>PHENETHYLAMINE</t>
  </si>
  <si>
    <t>SID26756723|Phenethylamine|SID49718670|Phenylethylamine|</t>
  </si>
  <si>
    <t>N[C@@H]1C[C@H]1c1ccccc1</t>
  </si>
  <si>
    <t>SID11111676|Tranylcypromine|Parnate|</t>
  </si>
  <si>
    <t>O(C(=O)C(=O)CCC(O)=O)CCCCCCCC</t>
  </si>
  <si>
    <t>O(C(=O)C(=O)N(Cc1ccc(N(C)C)cc1)CC(OC)=O)C</t>
  </si>
  <si>
    <t>O(C(=O)C(=O)NCC(OC)=O)C</t>
  </si>
  <si>
    <t>N-Methoxycarbonylmethyl-Oxalamic Acid Methyl Ester|SID26756766|</t>
  </si>
  <si>
    <t>O(C(=O)C(C)(C)C)COC(=O)CCC</t>
  </si>
  <si>
    <t>Butyric Acid 2|2-Dimethyl-Propionyloxymethyl Ester(An9)|Butyric Acid 2|2-Dimethyl-Propionyloxymethyl Ester|</t>
  </si>
  <si>
    <t>O(C(=O)C(CO)c1ccccc1)C1CC2[N+](C(C1)CC2)(C(C)C)C</t>
  </si>
  <si>
    <t>IPRATROPIUM</t>
  </si>
  <si>
    <t>Ipratropium</t>
  </si>
  <si>
    <t>O(C(=O)C(CO)c1ccccc1)C1C[C@@H]2N([C@H](C1)CC2)C</t>
  </si>
  <si>
    <t>O(C(=O)C(O)(C1CCCC1)c1ccccc1)C1CC[N+](C1)(C)C</t>
  </si>
  <si>
    <t>GLYCOPYRROLATE</t>
  </si>
  <si>
    <t>Glycopyrronium Bromide|AHR-504|Nodapton|Tarodyn|Glycopyrrolate|Robinul|</t>
  </si>
  <si>
    <t>O(C(=O)C(O)(C1CCCCC1)c1ccccc1)CC#CCN(CC)CC</t>
  </si>
  <si>
    <t>OXYBUTYNIN</t>
  </si>
  <si>
    <t>Ditropan|SID90341037|Oxytrol|SID50105262|Oxybutynin|Oxytrol For Women|Anturol|</t>
  </si>
  <si>
    <t>O(C(=O)C(O)(C1CCCCC1)c1ccccc1)CC[N+](CC)(CC)C</t>
  </si>
  <si>
    <t>OXYPHENONIUM</t>
  </si>
  <si>
    <t>Oxyphenonium</t>
  </si>
  <si>
    <t>O(C(=O)C(O)(c1ccccc1)c1ccccc1)C1CCC[N+](C1)(C)C</t>
  </si>
  <si>
    <t>MEPENZOLATE</t>
  </si>
  <si>
    <t>Mepenzolate</t>
  </si>
  <si>
    <t>O(C(=O)C(O)(c1ccccc1)c1ccccc1)C1CCN(CC1)C</t>
  </si>
  <si>
    <t>O(C(=O)C(O)(c1ccccc1)c1ccccc1)CCN(CC)CC</t>
  </si>
  <si>
    <t>BENACTYZINE</t>
  </si>
  <si>
    <t>SID29215374|SID144205218|Benactyzine|</t>
  </si>
  <si>
    <t>O(C(=O)C)C1C2([C@@H](CC1[N+]1(CCCCC1)C)C1[C@H](CC2)C2([C@H](C[C@H](OC(=O)C)C([N+]3(CCCCC3)C)C2)CC1)C)C</t>
  </si>
  <si>
    <t>O(C(=O)C)CC(CCn1c2nc(ncc2nc1)N)COC(=O)C</t>
  </si>
  <si>
    <t>FAMCICLOVIR</t>
  </si>
  <si>
    <t>Famciclovir|SID26719883|BRL-42810|Famvir|SID26748972|</t>
  </si>
  <si>
    <t>O(C(=O)C)CC[N+](C)(C)C</t>
  </si>
  <si>
    <t>ACETYLCHOLINE</t>
  </si>
  <si>
    <t>SID26756572|Acetylcholine|SID124883320|</t>
  </si>
  <si>
    <t>O(C(=O)C)[C@@H]1[C@@]2([C@H]([C@H]3[C@H](CC2)[C@@]2([C@H](C[C@H](OC(=O)C)[C@@H](N4CCCCC4)C2)CC3)C)C[C@@H]1[N+]1(CCCCC1)C)C</t>
  </si>
  <si>
    <t>VECURONIUM</t>
  </si>
  <si>
    <t>Vecuronium|SID50112721|</t>
  </si>
  <si>
    <t>O(C(=O)C1(CCCCC1)C1CCCCC1)CCN(CC)CC</t>
  </si>
  <si>
    <t>DICYCLOMINE</t>
  </si>
  <si>
    <t>Bentyl|SID50100226|Dicyclomine|SID11112188|SID90341021|SID144207120|SID50104289|SID11111098|</t>
  </si>
  <si>
    <t>O(C(=O)C1(CCN(CC1)CCC(C#N)(c1ccccc1)c1ccccc1)c1ccccc1)CC</t>
  </si>
  <si>
    <t>DIPHENOXYLATE</t>
  </si>
  <si>
    <t>SID50113007|Diphenoxylate|</t>
  </si>
  <si>
    <t>O(C(=O)C1CCC(CC1)CN)c1ccc(cc1)CCC(O)=O</t>
  </si>
  <si>
    <t>O(C(=O)C=1C(C(C(OC)=O)=C(NC=1C)C)c1ccccc1[N+](=O)[O-])CC(C)C</t>
  </si>
  <si>
    <t>NISOLDIPINE</t>
  </si>
  <si>
    <t>Nisoldipine|SID144205804|Sular|BAY-K-5552|SID26758055|</t>
  </si>
  <si>
    <t>O(C(=O)C=1C(\C(=C(\OC)/O)\C(=NC=1C)C)c1ccccc1[N+](=O)[O-])C</t>
  </si>
  <si>
    <t>SID855613|SID56423128|</t>
  </si>
  <si>
    <t>O(C(=O)C=1C(\C(=C(\OC)/O)\C(=NC=1C)C)c1ccccc1[N+](=O)[O-])CC(C)C</t>
  </si>
  <si>
    <t>SID56463094</t>
  </si>
  <si>
    <t>O(C(=O)C=1C(\C(=C(\OCC)/O)\C(=NC=1C)C)c1cc([N+](=O)[O-])ccc1)C</t>
  </si>
  <si>
    <t>SID56463242|SID855994|SID26719687|</t>
  </si>
  <si>
    <t>O(C(=O)C=1C(\C(=C(\OCCN(Cc2ccccc2)C)/O)\C(=NC=1C)C)c1cc([N+](=O)[O-])ccc1)C</t>
  </si>
  <si>
    <t>NICARDIPINE</t>
  </si>
  <si>
    <t>SID90340664|SID26755702|Nicardipine|SID124880905|SID26755701|SID104171201|SID144203762|Cardene|SID50111158|SID50111159|</t>
  </si>
  <si>
    <t>O(C(=O)C=1C(\C(=C(\OCCOC)/O)\C(=NC=1C)C)c1cc([N+](=O)[O-])ccc1)C(C)C</t>
  </si>
  <si>
    <t>SID26663021|SID855566|</t>
  </si>
  <si>
    <t>O(C(=O)C=1CN(CCC=1)C)C</t>
  </si>
  <si>
    <t>ARECOLINE</t>
  </si>
  <si>
    <t>SID11110759|Arecoline|SID11110758|SID90341790|SID26755647|SID104171107|</t>
  </si>
  <si>
    <t>O(C(=O)C=1[C@@H](\C(=C(\OC)/O)\C(=NC=1C)C)c1cc([N+](=O)[O-])ccc1)[C@@H]1CCCN(C1)Cc1ccccc1</t>
  </si>
  <si>
    <t>O(C(=O)CCC(OCC[N+](C)(C)C)=O)CC[N+](C)(C)C</t>
  </si>
  <si>
    <t>SUXAMETHONIUM</t>
  </si>
  <si>
    <t>Suxamethonium|Anectine|Succinylcholine|SID11111825|Quelicin|Sucostrin|SID90341285|</t>
  </si>
  <si>
    <t>O(C(=O)CCCC)C1(CCC2C3C(C4(C(=CC(=O)CC4)CC3)C)C(O)CC12C)C(=O)CO</t>
  </si>
  <si>
    <t>O(C(=O)CCCCCN=C(N)N)c1ccc(cc1)C(OCC)=O</t>
  </si>
  <si>
    <t>GABEXATE</t>
  </si>
  <si>
    <t>SID11114218|Gabexate Mesilate|Gabexate|</t>
  </si>
  <si>
    <t>O(C(=O)CCN(O)C(=O)CCCCCCCCN(C)C)C</t>
  </si>
  <si>
    <t>O(C(=O)CCNc1nc(nc(N2CCc3c(CC2)cccc3)c1)-c1ncccc1)CC</t>
  </si>
  <si>
    <t>O(C(=O)N(C)C)c1ccc[n+](c1)C</t>
  </si>
  <si>
    <t>PYRIDOSTIGMINE</t>
  </si>
  <si>
    <t>SID11111694|SID90340824|Mestinon|Pyridostigmine|Regonol|</t>
  </si>
  <si>
    <t>O(C(=O)NC)c1cc2c(N(C3N(CC[C@@]23C)C)C)cc1</t>
  </si>
  <si>
    <t>O(C(=O)Nc1[nH]c2c(n1)cc(cc2)C(=O)c1ccccc1)C</t>
  </si>
  <si>
    <t>MEBENDAZOLE</t>
  </si>
  <si>
    <t>Vermox|Mebenvet|SID144204171|Mebendazole|Telmin|SID11112718|R-17635|SID26746927|Telmintic|SID124882564|SID855610|</t>
  </si>
  <si>
    <t>O(C(=O)Nc1[nH]c2cc(ccc2n1)C(=O)c1ccccc1)C</t>
  </si>
  <si>
    <t>O(C(=O)[C@H](CC)C)[C@@H]1[C@H]2C(=C[C@@H](O)C1)C=C[C@H](C)[C@@H]2CC[C@@H](O)C[C@@H](O)CC(O)=O</t>
  </si>
  <si>
    <t>PRAVASTATIN</t>
  </si>
  <si>
    <t>Pravastatin|Pravachol|</t>
  </si>
  <si>
    <t>O(C(=O)c1c2c([nH]c1)cccc2)C1C[C@@H]2N([C@H](C1)CC2)C</t>
  </si>
  <si>
    <t>SID11111839</t>
  </si>
  <si>
    <t>O(C(=O)c1c2c([nH]c1)cccc2)C1C[C@@H]2N3[C@H](C1)CC(C2)C(=O)C3</t>
  </si>
  <si>
    <t>O(C(=O)c1ccc(N)cc1)CCN(CC)CC</t>
  </si>
  <si>
    <t>PROCAINE</t>
  </si>
  <si>
    <t>Procaine|SID11111697|Novocain|SID90341175|Anestil|SID11111696|Novocaine|Westocaine|</t>
  </si>
  <si>
    <t>O(C(=O)c1n(cnc1)C(C)c1ccccc1)CC</t>
  </si>
  <si>
    <t>AMIDATE</t>
  </si>
  <si>
    <t>Hypnomidate|SID845401|Amidate|SID144204179|SID50085887|</t>
  </si>
  <si>
    <t>O(C(=O)c1n(cnc1)[C@H](C)c1ccccc1)CC</t>
  </si>
  <si>
    <t>ETOMIDATE</t>
  </si>
  <si>
    <t>SID11114097|Amidate|Etomidate|</t>
  </si>
  <si>
    <t>O(C(C)(c1ccccc1)c1ncccc1)CCN(C)C</t>
  </si>
  <si>
    <t>DOXYLAMINE</t>
  </si>
  <si>
    <t>Doxy-Sleep-Aid|Unisom|Decapryn|Doxylamine|SID90340822|</t>
  </si>
  <si>
    <t>O(C(CC)CC)[C@@H]1C=C(C[C@H](N)[C@H]1NC(=O)C)C(O)=O</t>
  </si>
  <si>
    <t>OSELTAMIVIR CARBOXYLIC ACID</t>
  </si>
  <si>
    <t>Oseltamivir acid|Tamiflu|Oseltamivir|Ro-640796|</t>
  </si>
  <si>
    <t>O(C(CC)CC)[C@@H]1C=C(C[C@H](N)[C@H]1NC(=O)C)C(OCC)=O</t>
  </si>
  <si>
    <t>OSELTAMIVIR</t>
  </si>
  <si>
    <t>Oseltamivir Carboxylate|Ro-640796|Oseltamivir|</t>
  </si>
  <si>
    <t>O(C(C[N+](C)(C)C)C)C([O-])=N</t>
  </si>
  <si>
    <t>O(C(c1ccccc1)c1ccccc1)C1CC2N(C(C1)CC2)C</t>
  </si>
  <si>
    <t>SID90340875|SID50110969|SID50110968|</t>
  </si>
  <si>
    <t>O(C(c1ccccc1)c1ccccc1)CCN(C)C</t>
  </si>
  <si>
    <t>DIPHENHYDRAMINE</t>
  </si>
  <si>
    <t>Beldin|SID90341811|SID104171144|SID11111059|SID11111060|Diphenhydramine|SID50100219|SID124879862|SID50104292|Antitussive|Benylin|Benadryl|Dibenil|SID26751623|SID85148365|Belix|Diphen|Hydramine|Silphen|</t>
  </si>
  <si>
    <t>O(C(c1ccccc1C)c1ccccc1)CCN(C)C</t>
  </si>
  <si>
    <t>ORPHENADRINE</t>
  </si>
  <si>
    <t>Orphengesic|SID90341796|Invagesic|SID124880989|Disipal|Orphenadrine|Norflex|Norgesic|</t>
  </si>
  <si>
    <t>O(C)C1=C[C@H]2[C@@]3(CC1=O)c1c(C[C@@H]2N(CC3)C)ccc(OC)c1O</t>
  </si>
  <si>
    <t>SINOMENINE</t>
  </si>
  <si>
    <t>Sinomenine</t>
  </si>
  <si>
    <t>O(C)C1C2CC3C45C6CC(C4N(CC6(OC(=O)c4ccccc4NC(=O)C)CCC5OC)CC)C(O)(CC2OC)C13O</t>
  </si>
  <si>
    <t>O(C)C=1C(=O)C(CCCCCCCCCCO)=C(C)C(=O)C=1OC</t>
  </si>
  <si>
    <t>IDEBENONE</t>
  </si>
  <si>
    <t>SID26719872|SID29216196|SID144205417|Idebenone|</t>
  </si>
  <si>
    <t>O(C)C=1C(=O)C(C\C=C(\CC\C=C(\CC\C=C(\CC\C=C(\CC\C=C(\CC\C=C(\CC\C=C(\CC\C=C(\CC\C=C(\CC\C=C(\C)/C)/C)/C)/C)/C)/C)/C)/C)/C)/C)=C(C)C(=O)C=1OC</t>
  </si>
  <si>
    <t>UBIDECARENONE</t>
  </si>
  <si>
    <t>SID29215368|Ubidecarenone|</t>
  </si>
  <si>
    <t>O(C)c1c(OC)cc(cc1OC)C(=O)NC1CCCNC1</t>
  </si>
  <si>
    <t>TROXIPIDE</t>
  </si>
  <si>
    <t>SID26719893|Troxipide|</t>
  </si>
  <si>
    <t>O(C)c1c(OC)cc(cc1OC)C(=O)NCc1ccc(OCCN(C)C)cc1</t>
  </si>
  <si>
    <t>TRIMETHOBENZAMIDE</t>
  </si>
  <si>
    <t>Trimethobenzamide|SID11112414|</t>
  </si>
  <si>
    <t>O(C)c1c(OC)cc(cc1OC)C(O)=O</t>
  </si>
  <si>
    <t>SID93576696|3|4|5-Trimethoxybenzoic Acid|</t>
  </si>
  <si>
    <t>O(C)c1c(OC)cc(cc1OC)C(OCC(N(C)C)(CC)c1ccccc1)=O</t>
  </si>
  <si>
    <t>TRIMEBUTINE</t>
  </si>
  <si>
    <t>Trimebutine Maleate|Trimebutine|</t>
  </si>
  <si>
    <t>O(C)c1c(OC)cc(cc1OC)C(O[C@@H]1C[C@H]2[C@H](C[C@H]3N(CCc4c5c([nH]c34)cc(OC)cc5)C2)[C@H](C(OC)=O)[C@H]1OC)=O</t>
  </si>
  <si>
    <t>RESERPINE</t>
  </si>
  <si>
    <t>SID90341213|SID56463068|SID50105550|Rau-Sed|SID50105551|SID144204658|Serpalan|Serpate|SID26752948|SID50105552|Hiserpia|Reserpine|Sandril|SID50105553|SID17389743|Serpanray|SID107574|Serpasil|Serpivite|</t>
  </si>
  <si>
    <t>O(C)c1c(OC)cc(cc1OC)Cc1cnc(nc1N)N</t>
  </si>
  <si>
    <t>TRIMETHOPRIM</t>
  </si>
  <si>
    <t>SID26751820|Proloprin|SID85747719|Monotrim|SID857743|SID11111923|Polytrim|Trimethoprim|BW-5672|SID26747124|Primsol|SID50085866|SID17389524|SID26747125|BW-56-72|Trimpex|Trimpex 200|TCMDC-125538|SID85231275|SID11111924|SID50104512|SID104171255|SID50104513|SID11113621|Proloprim|SID90340764|</t>
  </si>
  <si>
    <t>O(C)c1c(OC)cc(cc1OC)\C=C\C(O)=O</t>
  </si>
  <si>
    <t>SID26724201|SID26749575|SID93576732|</t>
  </si>
  <si>
    <t>O(C)c1c2c(ccc1OC)cc-1[n+](CCc3cc(OC)c(OC)cc-13)c2</t>
  </si>
  <si>
    <t>SID11112538</t>
  </si>
  <si>
    <t>O(C)c1cc(C)c(\C=C\C(=C\C=C\C(=C\C(O)=O)\C)\C)c(C)c1C</t>
  </si>
  <si>
    <t>ACITRETIN</t>
  </si>
  <si>
    <t>Soriatane|Ro-10-1670-000|SID26756475|Ro-101670000|Etretin|SID49640651|SID29216416|Acitretin|</t>
  </si>
  <si>
    <t>O(C)c1cc(Cc2cnc(nc2N)N)c(cc1OC)C</t>
  </si>
  <si>
    <t>ORMETOPRIM</t>
  </si>
  <si>
    <t>Ro-59754|Ormetoprim|SID124893341|SID144206073|SID49681676|SID50112776|</t>
  </si>
  <si>
    <t>O(C)c1cc(NC(CCCN)C)c2ncccc2c1</t>
  </si>
  <si>
    <t>PRIMAQUINE</t>
  </si>
  <si>
    <t>SID24715073|Primaquine|SID24715072|</t>
  </si>
  <si>
    <t>O(C)c1cc(O)c(cc1)C(=O)C</t>
  </si>
  <si>
    <t>PAEONOL</t>
  </si>
  <si>
    <t>SID26749994|Paeonol|</t>
  </si>
  <si>
    <t>O(C)c1cc(O)c2c(c1)C(=O)c1c(C2=O)c(O)cc(c1)C</t>
  </si>
  <si>
    <t>PHYSCION</t>
  </si>
  <si>
    <t>Physcion|SID137474|SID26750092|</t>
  </si>
  <si>
    <t>O(C)c1cc(OC)c(OC)cc1C=O</t>
  </si>
  <si>
    <t>ASARALDEHYDE</t>
  </si>
  <si>
    <t>Asaraldehyde|SID85272410|SID26747327|SID144214031|SID17389557|</t>
  </si>
  <si>
    <t>O(C)c1cc(OC)cc(O)c1C(=O)C</t>
  </si>
  <si>
    <t>SID26749841|SID93576700|</t>
  </si>
  <si>
    <t>O(C)c1cc(OC)cc(OC)c1C(=O)CCCN1CCCC1</t>
  </si>
  <si>
    <t>BUFLOMEDIL</t>
  </si>
  <si>
    <t>SID11112743|SID26757801|Buflomedil|</t>
  </si>
  <si>
    <t>O(C)c1cc(OC)ccc1C(=O)C</t>
  </si>
  <si>
    <t>O(C)c1cc(cc(OC)c1)\C=C\c1ccc(O)cc1</t>
  </si>
  <si>
    <t>PTEROSTILBENE</t>
  </si>
  <si>
    <t>Pterostilbene|SID26719768|4-(3|5-Dimethoxystyryl)Phenol|SID26657958|Pterostilben|</t>
  </si>
  <si>
    <t>O(C)c1cc(cc(OC)c1O)C(=O)C</t>
  </si>
  <si>
    <t>ACETOSYRINGONE</t>
  </si>
  <si>
    <t>SID93576707|Acetosyringone|SID26749836|</t>
  </si>
  <si>
    <t>O(C)c1cc(cc(OC)c1O)C=O</t>
  </si>
  <si>
    <t>SYRINGALDEHYDE</t>
  </si>
  <si>
    <t>Sinapaldehyde</t>
  </si>
  <si>
    <t>O(C)c1cc(ccc1O)C(O)=O</t>
  </si>
  <si>
    <t>VANILLIC ACID</t>
  </si>
  <si>
    <t>SID22405517|Vanillic Acid|</t>
  </si>
  <si>
    <t>O(C)c1cc(ccc1O)C=O</t>
  </si>
  <si>
    <t>VANILLIN</t>
  </si>
  <si>
    <t>SID50105631|SID17389583|SID26753082|vanilline|Vanillin|SID79257|</t>
  </si>
  <si>
    <t>O(C)c1cc(ccc1O)CC(O)=O</t>
  </si>
  <si>
    <t>HOMOVANILLIC ACID</t>
  </si>
  <si>
    <t>Homovanillic Acid|SID90341697|SID11111257|SID50106435|SID26732591|SID85231070|</t>
  </si>
  <si>
    <t>O(C)c1cc(ccc1O)CC=C</t>
  </si>
  <si>
    <t>EUGENOL</t>
  </si>
  <si>
    <t>SID50105594|SID26753011|Eugenol|SID26747361|SID17389879|</t>
  </si>
  <si>
    <t>O(C)c1cc(ccc1O)CCC(=O)C</t>
  </si>
  <si>
    <t>ZINGERONE</t>
  </si>
  <si>
    <t>Zingerone|Vanillylacetone|</t>
  </si>
  <si>
    <t>O(C)c1cc(ccc1O)CNC(=O)CCCC\C=C/C(C)C</t>
  </si>
  <si>
    <t>ZUCAPSAICIN</t>
  </si>
  <si>
    <t>SID11113512|SID11112338|SID26719735|SID124882262|Zucapsaicin|SID11113255|SID11113513|SID124882263|</t>
  </si>
  <si>
    <t>O(C)c1cc(ccc1O)CNC(=O)CCCC\C=C\C(C)C</t>
  </si>
  <si>
    <t>CAPSAICIN</t>
  </si>
  <si>
    <t>SID26752818|SID26747263|SID124883045|SID50105473|Capsaicin|Qutenza|SID26752820|SID124883049|SID124890089|SID124883047|SID56463572|SID144204368|SID26752819|SID104171351|SID17389996|SID124883050|</t>
  </si>
  <si>
    <t>O(C)c1cc(ccc1O)C[C@H]([C@@H](Cc1cc(OC)c(O)cc1)CO)CO</t>
  </si>
  <si>
    <t>(+)-SECOISOLARICIRESINOL</t>
  </si>
  <si>
    <t>Secoisolariciresinol</t>
  </si>
  <si>
    <t>O(C)c1cc(ccc1O)\C=C\C(=O)CC(=O)\C=C\c1cc(OC)c(O)cc1</t>
  </si>
  <si>
    <t>SID855880|SID124882764|SID124882767|SID104171337|SID91276|SID124882763|SID144204354|SID56422380|SID144205058|SID50104137|SID50104138|SID17389087|</t>
  </si>
  <si>
    <t>O(C)c1cc(ccc1O)\C=C\C(O)=O</t>
  </si>
  <si>
    <t>FERULIC ACID</t>
  </si>
  <si>
    <t>SID26748470|SID47193700|Ferulic acid|SID69416|</t>
  </si>
  <si>
    <t>O(C)c1cc(ccc1OC)C(=O)NCc1ccc(OCCN(C)C)cc1</t>
  </si>
  <si>
    <t>ITOPRIDE</t>
  </si>
  <si>
    <t>Itopride</t>
  </si>
  <si>
    <t>O(C)c1cc(ccc1OC)C(C(C)C)(CCCN(CCc1cc(OC)c(OC)cc1)C)C#N</t>
  </si>
  <si>
    <t>rac-VERAPAMIL</t>
  </si>
  <si>
    <t>Verapamil|CP-165331|Covera-HS|Verelan|Calan SR|SID50104520|Isoptin|D-365|Iproveratril|SID104171262|SID124881789|CP-16533-1|Calan|SID90340771|SID26751825|SID124881790|Isoptin SR|SID50104518|Tarka|SID50104519|SID124881792|</t>
  </si>
  <si>
    <t>O(C)c1cc(ccc1OC)CC1NCCc2c1cc(OC)c(OC)c2</t>
  </si>
  <si>
    <t>TETRAHYDROPAPAVERINE</t>
  </si>
  <si>
    <t>Tetrahydropapaverine</t>
  </si>
  <si>
    <t>O(C)c1cc(ccc1OC)CCN</t>
  </si>
  <si>
    <t>2-(3|4-Dimethoxyphenyl)Ethanamine|SID14719304|</t>
  </si>
  <si>
    <t>O(C)c1cc(ccc1OC)CCNC(=O)CN1N=C(CCC1=O)c1ccccc1</t>
  </si>
  <si>
    <t>O(C)c1cc(ccc1OC)C[C@H]1[N@+](CCc2cc(OC)c(OC)cc12)(CCC(OCCCCCOC(=O)CC[N@+]1(CCc2cc(OC)c(OC)cc2[C@H]1Cc1cc(OC)c(OC)cc1)C)=O)C</t>
  </si>
  <si>
    <t>CISATRACURIUM</t>
  </si>
  <si>
    <t>Cisatracurium</t>
  </si>
  <si>
    <t>O(C)c1cc(ccc1OC)Cc1nccc2c1cc(OC)c(OC)c2</t>
  </si>
  <si>
    <t>PAPAVERINE</t>
  </si>
  <si>
    <t>SID50104295|SID11111623|SID11111625|Papaverine|SID124881091|SID11111624|SID90341237|</t>
  </si>
  <si>
    <t>O(C)c1cc(ccc1OC)\C=C\C(=O)Nc1ccccc1C(O)=O</t>
  </si>
  <si>
    <t>TRANILAST</t>
  </si>
  <si>
    <t>Tranilast|Rizaben|SID855567|MK-341|SID50103920|SID50103918|SID26719641|SID90341124|SID85231347|SID50103919|SID49645767|SID144204387|</t>
  </si>
  <si>
    <t>O(C)c1cc2C3N(CC(CC(C)C)C(=O)C3)CCc2cc1OC</t>
  </si>
  <si>
    <t>TETRABENAZINE</t>
  </si>
  <si>
    <t>Tetrabenazine|SID29216102|SID144205356|Ro-19569|SID50086515|SID90341774|Xenazine|</t>
  </si>
  <si>
    <t>O(C)c1cc2CC[C@H]3[C@@H]4CC[C@@](O)(C#C)[C@]4(CC[C@@H]3c2cc1)C</t>
  </si>
  <si>
    <t>MESTRANOL</t>
  </si>
  <si>
    <t>Mestranol|EE3-ME|SID56422167|SID29215140|33355|SID144204751|SID8139980|</t>
  </si>
  <si>
    <t>O(C)c1cc2N([C@@H]3[C@@]4([C@H]5N(CC=C[C@@]5(CC)[C@@H](O)[C@]3(O)C(=O)N)CC4)c2cc1[C@@]1(c2[nH]c3c(c2CCN2C[C@@](O)(C[C@H](C1)C2)CC)cccc3)C(OC)=O)C</t>
  </si>
  <si>
    <t>VINDESINE</t>
  </si>
  <si>
    <t>Compound 112531|Vindesine|</t>
  </si>
  <si>
    <t>O(C)c1cc2N([C@@H]3[C@@]4([C@H]5N(CC=C[C@@]5(CC)[C@@H](OC(=O)C)[C@]3(O)C(OC)=O)CC4)c2cc1[C@@]1(c2[nH]c3c(c2CCN2C[C@@](O)(C[C@H](C1)C2)CC)cccc3)C(OC)=O)C</t>
  </si>
  <si>
    <t>SID50125838|SID124893649|[3H]-Vinblastine|</t>
  </si>
  <si>
    <t>O(C)c1cc2[C@]34[C@@H]([C@@H](N(CC3)C)Cc2cc1)CCCC4</t>
  </si>
  <si>
    <t>DEXTROMETHORPHAN</t>
  </si>
  <si>
    <t>SID50100218|SID11111057|Dextromethorphan|Dimetane-DX|</t>
  </si>
  <si>
    <t>O(C)c1cc2[nH]c3c(CCN=C3C)c2cc1</t>
  </si>
  <si>
    <t>HARMALINE</t>
  </si>
  <si>
    <t>SID26748426|SID124882835|SID11113138|SID26753726|SID11533026|SID50107397|SID124882832|SID26748427|SID124882834|Harmaline|SID56424137|SID50107396|SID26753727|</t>
  </si>
  <si>
    <t>O(C)c1cc2[nH]c3c(c2cc1)ccnc3C</t>
  </si>
  <si>
    <t>HARMINE</t>
  </si>
  <si>
    <t>SID50107399|SID118045984|SID124882255|SID26753728|SID26753729|SID11112332|SID26748430|SID124882257|SID124882258|SID124882259|Harmine|SID85239699|SID124360166|</t>
  </si>
  <si>
    <t>O(C)c1cc2c(CC(CC3CCN(CC3)Cc3ccccc3)C2=O)cc1OC</t>
  </si>
  <si>
    <t>DONEPEZIL</t>
  </si>
  <si>
    <t>Aricept|Donepezil|SID50112790|E-2020|</t>
  </si>
  <si>
    <t>O(C)c1cc2c([nH]cc2C=2CCNCC=2)cc1</t>
  </si>
  <si>
    <t>RU-24969</t>
  </si>
  <si>
    <t>RU-24969|SID11113783|SID26751964|</t>
  </si>
  <si>
    <t>O(C)c1cc2c([nH]cc2C=NNC(=NCCCCC)N)cc1</t>
  </si>
  <si>
    <t>TEGASEROD</t>
  </si>
  <si>
    <t>HTF-919|SID26749090|Tegaserod|Zelmac|SDZ-HTF-919|SID144205034|</t>
  </si>
  <si>
    <t>O(C)c1cc2c([nH]cc2CCN)cc1</t>
  </si>
  <si>
    <t>5-METHOXYTRYPTAMINE</t>
  </si>
  <si>
    <t>SID11111484|SID90341792|5-Methoxytryptamine|SID14719328|</t>
  </si>
  <si>
    <t>O(C)c1cc2c([nH]cc2CCNC(=O)C)cc1</t>
  </si>
  <si>
    <t>MELATONIN</t>
  </si>
  <si>
    <t>SID90340716|SID26747238|SID46500483|Melatonin|SID17388930|N-(2-(5-Methoxy-1H-Indol-3-Yl)Ethyl)Acetamide|SID11111468|SID26752764|SID50105414|SID105815|N-Acetyl-5-Methoxytryptamine|SID104171188|SID17389536|SID85231137|</t>
  </si>
  <si>
    <t>O(C)c1cc2c(cc(cc2)CCC(=O)C)cc1</t>
  </si>
  <si>
    <t>NABUMETONE</t>
  </si>
  <si>
    <t>Nabumetone|SID11112767|BRL-14777|Relafen|SID26748824|SID8139968|</t>
  </si>
  <si>
    <t>O(C)c1cc2c(cc(cc2)[C@@H](C(O)=O)C)cc1</t>
  </si>
  <si>
    <t>NAPROXEN</t>
  </si>
  <si>
    <t>Naproxen|Naprosyn|Ec-Naprosyn|Equiproxen|SID11112669|Anaprox|SID90341518|Aleve|RS-3540|Naprelan|</t>
  </si>
  <si>
    <t>O(C)c1cc2c(cc1)C(=CCC2)C(=O)C</t>
  </si>
  <si>
    <t>O(C)c1cc2c(cc1)c(ccc2)C(=O)C</t>
  </si>
  <si>
    <t>O(C)c1cc2c(cc1OC)cc1[n+](ccc3cc(OC)c(OC)cc13)c2C</t>
  </si>
  <si>
    <t>O(C)c1cc2c(nccc2[C@@H](O)[C@H]2N3C[C@@H](C(C2)CC3)C=C)cc1</t>
  </si>
  <si>
    <t>QUININE</t>
  </si>
  <si>
    <t>SID144205942|SID124893255|SID50085957|SID29218039|Quinine|</t>
  </si>
  <si>
    <t>O(C)c1cc2c(nccc2[C@@H](O)[C@H]2N3C[C@@H]([C@H](C2)CC3)C=C)cc1</t>
  </si>
  <si>
    <t>Quinsan|Quinine|Quinamm|</t>
  </si>
  <si>
    <t>O(C)c1cc2c(nccc2[C@@H](O)[C@H]2[N@@]3C[C@@H]([C@H](C2)CC3)C=C)cc1</t>
  </si>
  <si>
    <t>O(C)c1cc2c(nccc2[C@H](O)[C@@H]2N3C[C@@H]([C@H](C2)CC3)C=C)cc1</t>
  </si>
  <si>
    <t>QUINIDINE</t>
  </si>
  <si>
    <t>SID56320931|SID17389531|SID56320932|</t>
  </si>
  <si>
    <t>O(C)c1cc2c(nccc2[C@H](O)[C@@H]2N3C[C@@H]([C@H](C2)CC3)CC)cc1</t>
  </si>
  <si>
    <t>O(C)c1cc2n(c3c(c2cc1)ccnc3C)C</t>
  </si>
  <si>
    <t>O(C)c1ccc(OC)cc1C(O)CNC(=O)CN</t>
  </si>
  <si>
    <t>MIDODRINE</t>
  </si>
  <si>
    <t>Midodrine</t>
  </si>
  <si>
    <t>O(C)c1ccc(cc1)-c1c2[nH]c3c(c2ccc1)cccc3</t>
  </si>
  <si>
    <t>O(C)c1ccc(cc1)C(CN(C)C)C1(O)CCCCC1</t>
  </si>
  <si>
    <t>VENLAFAXINE</t>
  </si>
  <si>
    <t>SID90341232|Effexor Xr|Venlafaxine|Effexor|SID26748923|</t>
  </si>
  <si>
    <t>O(C)c1ccc(cc1)C(O)=O</t>
  </si>
  <si>
    <t>p-ANISIC ACID</t>
  </si>
  <si>
    <t>4-Methoxybenzoic Acid|4-Methoxybenzoate|P-Methoxybenzoic Acid|4-Methoxy-Benzoic Acid|</t>
  </si>
  <si>
    <t>O(C)c1ccc(cc1)CC=C</t>
  </si>
  <si>
    <t>ESTRAGOLE</t>
  </si>
  <si>
    <t>SID49718200|SID26747358|Estragol|SID17389897|Estragole|Esteragol|</t>
  </si>
  <si>
    <t>O(C)c1ccc(cc1)CCC(O)=O</t>
  </si>
  <si>
    <t>SID124899151</t>
  </si>
  <si>
    <t>O(C)c1ccc(cc1)C[C@@H](NC[C@@H](O)c1cc(NC=O)c(O)cc1)C</t>
  </si>
  <si>
    <t>SID11114088</t>
  </si>
  <si>
    <t>O(C)c1ccc(cc1)C[C@H]1NC[C@H](O)[C@H]1OC(=O)C</t>
  </si>
  <si>
    <t>ANISOMYCIN</t>
  </si>
  <si>
    <t>GNF-Pf-4549|SID47193747|SID117834|SID26752154|TCMDC-125504|Flagecidin|</t>
  </si>
  <si>
    <t>O(C)c1ccc(cc1)\C=C\C</t>
  </si>
  <si>
    <t>ANETHOLE</t>
  </si>
  <si>
    <t>SID26747369|Anethole|</t>
  </si>
  <si>
    <t>O(C)c1ccc(cc1)\C=C\C(=N\NC(=O)N\N=C(\C=C\c1ccc(OC)cc1)/C(C)C)\C(C)C</t>
  </si>
  <si>
    <t>SID509145</t>
  </si>
  <si>
    <t>O(C)c1ccc(cc1O)\C=C\C(O)=O</t>
  </si>
  <si>
    <t>ISOFERULIC ACID</t>
  </si>
  <si>
    <t>SID56314647|Isoferulic Acid|</t>
  </si>
  <si>
    <t>O(C)c1cccc(O)c1O</t>
  </si>
  <si>
    <t>SID26749778</t>
  </si>
  <si>
    <t>O(C)c1ccccc1N1CCN(CC1)CC(O)COc1c2c(ccc1)cccc2</t>
  </si>
  <si>
    <t>NAFTOPIDIL</t>
  </si>
  <si>
    <t>SID26719853|SID49681769|Naftopidil|SID50104483|SID144203756|SID90340768|SID104171197|SID26751791|</t>
  </si>
  <si>
    <t>O(C)c1ccccc1N1CCN(CC1)CCCNC=1N(C)C(=O)N(C)C(=O)C=1</t>
  </si>
  <si>
    <t>URAPIDIL</t>
  </si>
  <si>
    <t>SID11114211|SID11111936|SID104171260|Urapidil|SID26752246|SID11111935|SID90341686|SID99361071|</t>
  </si>
  <si>
    <t>O(C)c1n(nc(c1)C)-c1nc(cc(OC)n1)C</t>
  </si>
  <si>
    <t>EPIRIZOLE</t>
  </si>
  <si>
    <t>DA-398|Methopyrimazole|SID11532970|Epirizole|SID11112646|Mepirizole|</t>
  </si>
  <si>
    <t>O(CC(=O)c1nccc2c1[nH]c1c2cccc1)C</t>
  </si>
  <si>
    <t>O(CC(C(CC)C)(COC(=O)N)C)C(=O)N</t>
  </si>
  <si>
    <t>MEBUTAMATE</t>
  </si>
  <si>
    <t>Mebutamate|Dormate|W-583|</t>
  </si>
  <si>
    <t>O(CC(CCC)(COC(=O)N)C)C(=O)NC(C)C</t>
  </si>
  <si>
    <t>CARISOPRODOL</t>
  </si>
  <si>
    <t>Rela|SID17389120|SID124879774|SID85230985|SID56424069|SID50105222|SID855912|SID26752303|Carisoprodol|Soma|SID90341406|</t>
  </si>
  <si>
    <t>O(CC(COC(=O)N)c1ccccc1)C(=O)N</t>
  </si>
  <si>
    <t>FELBAMATE</t>
  </si>
  <si>
    <t>Felbamate|SID50104096|SID90340922|W-554|SID144203696|SID855835|SID56422162|Felbatol|SID11113343|</t>
  </si>
  <si>
    <t>O(CC(N)C)c1c(cccc1C)C</t>
  </si>
  <si>
    <t>MEXILETINE</t>
  </si>
  <si>
    <t>Mexiletine|Mexitil|SID90341048|</t>
  </si>
  <si>
    <t>O(CC(N1CCCCC1)C)c1ccccc1Cc1ccccc1</t>
  </si>
  <si>
    <t>BENPROPERINE</t>
  </si>
  <si>
    <t>Benproperine|Benproperine Phosphate|</t>
  </si>
  <si>
    <t>O(CC(NC(C(O)c1ccc(O)cc1)C)C)c1ccccc1</t>
  </si>
  <si>
    <t>ISOXSUPRINE</t>
  </si>
  <si>
    <t>Isoxsuprine</t>
  </si>
  <si>
    <t>O(CC(O)CN1CCC(O)(CC1)c1ccccc1)c1ccc(cc1)C(=O)CC</t>
  </si>
  <si>
    <t>O(CC(O)CN1CCN(CC1)CC(=O)Nc1c(cccc1C)C)c1ccccc1OC</t>
  </si>
  <si>
    <t>RANOLAZINE</t>
  </si>
  <si>
    <t>CVT-303|SID26749061|SID50107515|RS-43285-003|SID104171232|SID56463697|Ranexa|SID90340842|SID26749060|Ranolazine|</t>
  </si>
  <si>
    <t>O(CC(O)CNC(C)(C)C)c1c2C[C@H](O)[C@H](O)Cc2ccc1</t>
  </si>
  <si>
    <t>NADOLOL</t>
  </si>
  <si>
    <t>SID855594|Nadolol|SQ-11725|SID56422422|Corgard|</t>
  </si>
  <si>
    <t>O(CC(O)CNC(C)C)c1c2c([nH]cc2)ccc1</t>
  </si>
  <si>
    <t>PINDOLOL</t>
  </si>
  <si>
    <t>SID85231175|SID50104680|SID104171209|SID855790|Pindolol|SID26747149|SID90341348|SID26752014|SID144203772|LB-46|Prinodolol|SID50104681|Visken|SID26747148|</t>
  </si>
  <si>
    <t>O(CC(O)CNC(C)C)c1c2c(ccc1)cccc2</t>
  </si>
  <si>
    <t>PROPRANOLOL</t>
  </si>
  <si>
    <t>SID90341556|Inderide-40/25|Innopran Xl|Inderal|SID50104497|SID124881056|Propranolol|SID26755283|SID26751802|Inderide-80/25|</t>
  </si>
  <si>
    <t>O(CC(O)CNC(C)C)c1ccc(NC(=O)CCC)cc1C(=O)C</t>
  </si>
  <si>
    <t>ACEBUTOLOL</t>
  </si>
  <si>
    <t>Sectral|Acebutolol|</t>
  </si>
  <si>
    <t>O(CC(O)CNC(C)C)c1ccc(cc1)CC(=O)N</t>
  </si>
  <si>
    <t>ATENOLOL</t>
  </si>
  <si>
    <t>SID50104387|SID855957|Atenolol|ICI-66082|Esatenolol|Unibloc|SID50085956|Ibinolo|SID90340978|SID26751696|Tenormin|</t>
  </si>
  <si>
    <t>O(CC(O)CNC(C)C)c1ccc(cc1)CCC(OC)=O</t>
  </si>
  <si>
    <t>ESMOLOL</t>
  </si>
  <si>
    <t>Brevibloc|Esmolol|</t>
  </si>
  <si>
    <t>O(CC(O)CNC(C)C)c1ccc(cc1)CCOCC1CC1</t>
  </si>
  <si>
    <t>BETAXOLOL</t>
  </si>
  <si>
    <t>Betaxolol</t>
  </si>
  <si>
    <t>O(CC(O)CNC(C)C)c1ccc(cc1)COCCOC(C)C</t>
  </si>
  <si>
    <t>BISOPROLOL</t>
  </si>
  <si>
    <t>Zebeta|CL-297939|Ziac|SID90341096|EMD-33512|SID50104637|Bisoprolol|EMD-33-512|SID29215032|SID26751965|</t>
  </si>
  <si>
    <t>O(CC(O)CNCCC)c1ccccc1C(=O)CCc1ccccc1</t>
  </si>
  <si>
    <t>PROPAFENONE</t>
  </si>
  <si>
    <t>GNF-Pf-4594|Rythmol Sr|Rythomol|SID124881115|Rythmol|SID50105251|SID26752315|SID104171212|SID50105252|SID26752316|Propafenone|SID90341088|SID144203779|</t>
  </si>
  <si>
    <t>O(CC(O)COC(=O)N)c1ccccc1OC</t>
  </si>
  <si>
    <t>METHOCARBAMOL</t>
  </si>
  <si>
    <t>Methocarbamol|Miolaxin|Robaxin-750|Forbaxin|SID26747218|Neuraxin|Robaxin|Delaxin|SID855587|SID56422407|SID26747217|</t>
  </si>
  <si>
    <t>O(CC)C(=O)[C@@H](N[C@H](C(=O)N1Cc2c(C[C@H]1C(O)=O)cccc2)C)CCc1ccccc1</t>
  </si>
  <si>
    <t>QUINAPRIL</t>
  </si>
  <si>
    <t>Accupril|CI-906|Quinapril|</t>
  </si>
  <si>
    <t>O(CC)C(=O)[C@@H](N[C@H](C(=O)N1[C@@H]2[C@H](C[C@H]1C(O)=O)CCC2)C)CCc1ccccc1</t>
  </si>
  <si>
    <t>RAMIPRIL</t>
  </si>
  <si>
    <t>SID49664947|Ramipril|HOE-498|Altace|</t>
  </si>
  <si>
    <t>O(CC)C(=O)[C@H](N[C@H](C(=O)N1CCC[C@H]1C(O)=O)C)CCc1ccccc1</t>
  </si>
  <si>
    <t>O(CC)c1cc(ccc1C(O)=O)CC(=O)N[C@@H](CC(C)C)c1ccccc1N1CCCCC1</t>
  </si>
  <si>
    <t>REPAGLINIDE</t>
  </si>
  <si>
    <t>Repaglinide|SID49648522|Prandin|SID26719812|AG-EE 623 ZW|SID11112894|AGEE-623ZW|</t>
  </si>
  <si>
    <t>O(CC)c1cc(ccc1O)C=O</t>
  </si>
  <si>
    <t>ETHYL VANILLIN</t>
  </si>
  <si>
    <t>SID17389584|Ethyl Vanillin|SID26753060|SID68564|</t>
  </si>
  <si>
    <t>O(CC1CCC=CC1)CC(O)Cn1c2c(nc1CC)cccc2</t>
  </si>
  <si>
    <t>SID24788088</t>
  </si>
  <si>
    <t>O(CC1c2c(-c3c1cccc3)cccc2)C(=O)N[C@@H](Cc1c2c([nH]c1)cccc2)C(O)=O</t>
  </si>
  <si>
    <t>SID57261343</t>
  </si>
  <si>
    <t>O(CCC)c1ccc(cc1N)C(OCCN(CC)CC)=O</t>
  </si>
  <si>
    <t>PROPARACAINE</t>
  </si>
  <si>
    <t>Ophthetic|Alcaine|Ophthaine|SID11112907|Kainair|Paracaine|Proparacaine|SID124882712|</t>
  </si>
  <si>
    <t>O(CCCC(C(O)=O)(C)C)c1cc(ccc1C)C</t>
  </si>
  <si>
    <t>GEMFIBROZIL</t>
  </si>
  <si>
    <t>SID49718189|SID144204164|Gemfibrozil|SID11112705|Lopid|SID26751515|SID855780|CI-719|SID17389870|</t>
  </si>
  <si>
    <t>O(CCCCCCC(=O)NO)c1cc2c(ncnc2Nc2cc(ccc2)C#C)cc1OC</t>
  </si>
  <si>
    <t>SID137276021</t>
  </si>
  <si>
    <t>O(CCCCCCCCC)c1cc2c([nH]cc2CCN)cc1</t>
  </si>
  <si>
    <t>SID26751955|SID11113772|</t>
  </si>
  <si>
    <t>O(CCCCCOc1ccc(cc1)C(N)=N)c1ccc(cc1)C(N)=N</t>
  </si>
  <si>
    <t>PENTAMIDINE</t>
  </si>
  <si>
    <t>Pentam|Pentamidine|SID50123736|Pentacarinat [as isethionate]|Pentamidine Isetionate|Nebupent [as isethionate]|Nebupent|Pentacarinat|RP-2512|Pentam 300 [as isethionate]|Pentam 300|Pentamidine Isethionate|GNF-Pf-3680|MB-800 [As Isethionate]|SID75273|SID50123735|MB-800|</t>
  </si>
  <si>
    <t>O(CCCCNC)c1ccccc1Cc1ccccc1</t>
  </si>
  <si>
    <t>BIFEMELANE</t>
  </si>
  <si>
    <t>Bifemelane|Bifemelane Hydrochloride|SID11113692|SID144204477|</t>
  </si>
  <si>
    <t>O(CCCCc1nn[nH]n1)c1ccc(C(=O)C)c(O)c1CCC</t>
  </si>
  <si>
    <t>TOMELUKAST</t>
  </si>
  <si>
    <t>Tomelukast|SID50104046|SID124883314|SID144204379|LY-171883|SID26719670|SID104171362|SID26751501|LY-171833|SID855757|SID26751500|</t>
  </si>
  <si>
    <t>O(CCCN(C)C)c1cc2nc(nc(NC3CCN(CC3)C)c2cc1OC)N1CCCN(CC1)C</t>
  </si>
  <si>
    <t>UNC0224|SID124896712|</t>
  </si>
  <si>
    <t>O(CCCN1CCCC1)c1cc2nc(nc(NC3CCN(CC3)C(C)C)c2cc1OC)C1CCCCC1</t>
  </si>
  <si>
    <t>O(CCCNC(=O)COC(=O)C)c1cc(ccc1)CN1CCCCC1</t>
  </si>
  <si>
    <t>ROXATIDINE ACETATE</t>
  </si>
  <si>
    <t>Roxatidine Acetate</t>
  </si>
  <si>
    <t>O(CCCOC)c1cc(ccc1OC)C[C@H](C(C)C)C[C@H](N)[C@@H](O)C[C@@H](C(C)C)C(=O)NCC(C(=O)N)(C)C</t>
  </si>
  <si>
    <t>ALISKIREN</t>
  </si>
  <si>
    <t>SPP100|Aliskiren|Tekturna|</t>
  </si>
  <si>
    <t>O(CCCc1ccccc1)C(=O)N</t>
  </si>
  <si>
    <t>PHENPROBAMATE</t>
  </si>
  <si>
    <t>Phenprobamate|SID26758011|MH-532|SID49674599|SID144205768|</t>
  </si>
  <si>
    <t>O(CCN(C)C)C(=O)Nc1cc(NC(OCCN(C)C)=O)ccc1C</t>
  </si>
  <si>
    <t>O(CCN(C)C)c1ccc(cc1)C(=C(CC)c1ccccc1)c1ccccc1</t>
  </si>
  <si>
    <t>SID26755249</t>
  </si>
  <si>
    <t>O(CCN(C)C)c1ccc(cc1)\C(=C(\CC)/c1ccccc1)\c1ccccc1</t>
  </si>
  <si>
    <t>TAMOXIFEN</t>
  </si>
  <si>
    <t>SID11113844|SID50104685|Nolvadex|SID90340643|SID50104683|SID50104684|SID26752017|Soltamox|SID50104686|ICI-46474|Tamoxifen|SID56320712|SID26752018|</t>
  </si>
  <si>
    <t>O(CCNC)c1ccc(cc1)\C(=C(\CC)/c1ccccc1)\c1ccc(O)cc1</t>
  </si>
  <si>
    <t>ENDOXIFEN</t>
  </si>
  <si>
    <t>Endoxifen</t>
  </si>
  <si>
    <t>O(CCNCC(O)COc1c2c3c([nH]c2ccc1)cccc3)c1ccccc1OC</t>
  </si>
  <si>
    <t>CARVEDILOL</t>
  </si>
  <si>
    <t>Carvedilol|SID90341342|BM-14.190|SID50112972|Coreg CR|Coreg|SID26719722|BM-14-190|SID50112973|SID26719723|BM 14.190|</t>
  </si>
  <si>
    <t>O(CC[C@H](NC(=O)c1ccccc1)C(=O)NCc1ccccc1)c1cc(ccc1)[C@H]1C[C@@H]1N</t>
  </si>
  <si>
    <t>O(CC[N+](C)(C)C)C(=O)N</t>
  </si>
  <si>
    <t>CARBACHOL</t>
  </si>
  <si>
    <t>SID11110943|SID90341139|Carbachol|Miostat|Isopto Carbachol|SID26756576|SID11110944|Carbastat|</t>
  </si>
  <si>
    <t>O(C[C@@H](NC(=O)C)C(=O)NCc1ccccc1)C</t>
  </si>
  <si>
    <t>ERLOSAMIDE</t>
  </si>
  <si>
    <t>Erlosamide|Vimpat|Lacosamide|</t>
  </si>
  <si>
    <t>O(Cc1cc2c(cc(cc2)CN(CC)CC)cc1)C(=O)Nc1ccc(cc1)C(=O)NO</t>
  </si>
  <si>
    <t>O(Cc1ccc(cc1)CNCCCCN(O)C(=O)\C=C\C(OC)=O)C(=O)Nc1c2c(ccc1)cccc2</t>
  </si>
  <si>
    <t>O(Cc1ccccc1)C(=O)NC(C(C)C)C(=O)NC(Cc1c2c([nH]c1)cccc2)C(O)=O</t>
  </si>
  <si>
    <t>O(Cc1ccccc1)C(=O)NCC(=O)NCC(=O)N1CCCC1C(O)=O</t>
  </si>
  <si>
    <t>O(Cc1ccccc1)C(=O)NC[C@@H]1C[C@H]2[C@H](N(C1)C)Cc1c3c2cccc3n(c1)C</t>
  </si>
  <si>
    <t>METERGOLINE</t>
  </si>
  <si>
    <t>SID50104076|SID56422452|SID85231339|SID90341228|Metergoline|SID26751517|SID144204359|SID124882907|SID50104077|SID104171342|FI-6337|SID50104078|MCE|SID855801|SID26751518|</t>
  </si>
  <si>
    <t>O(Cc1cccnc1)C(=O)NCc1ccc(cc1)C(=O)Nc1ccccc1N</t>
  </si>
  <si>
    <t>ENTINOSTAT</t>
  </si>
  <si>
    <t>Entinostat|SID137275820|SID529250|SNDX-275|MS-275|SID29217590|</t>
  </si>
  <si>
    <t>O([C@H](CCNC)c1ccccc1)c1ccccc1C</t>
  </si>
  <si>
    <t>ATOMOXETINE</t>
  </si>
  <si>
    <t>Atomoxetine|SID11114266|Strattera|</t>
  </si>
  <si>
    <t>O([N+](=O)[O-])CCNC(=O)c1cccnc1</t>
  </si>
  <si>
    <t>NICORANDIL</t>
  </si>
  <si>
    <t>Aprior|Ikorel|Nikoran|Nitorubin|SG-75|SID11114278|Nicorandil|Sigmart|Dancor|SID26719873|SID85148372|</t>
  </si>
  <si>
    <t>O(\N=C\1/CCn2c3c/1nccc3c1c2cccc1)CC=C</t>
  </si>
  <si>
    <t>O(c1cc(ccc1)C(C(O)=O)C)c1ccccc1</t>
  </si>
  <si>
    <t>FENOPROFEN</t>
  </si>
  <si>
    <t>53858|Fenoprofen|Nalfon|</t>
  </si>
  <si>
    <t>O(c1cc(ccc1OC)C1CC(=O)NC1)C1CCCC1</t>
  </si>
  <si>
    <t>ROLIPRAM</t>
  </si>
  <si>
    <t>SID85231212|ZK-62711|SID50105263|SID56422401|SID855869|SID26719664|SID26752319|Rolipram|SID26719663|ZK-62771|SID90341367|</t>
  </si>
  <si>
    <t>O1C(=CC(=O)C=C1C(O)=O)C(O)=O</t>
  </si>
  <si>
    <t>O1C(=O)[C@H]2[C@H](C3CC2C=C3)C1=O</t>
  </si>
  <si>
    <t>O1C(C)C(O)C(N)CC1O[C@@H]1c2c(C[C@](O)(C1)C(=O)C)c(O)c1c(C(=O)c3c(cccc3OC)C1=O)c2O</t>
  </si>
  <si>
    <t>O1C(CC(N)CCC(N)C(O)=O)C(O)C(O)C1n1c2ncnc(N)c2nc1</t>
  </si>
  <si>
    <t>O1C(CC(OC)=CC1=O)\C=C\c1ccccc1</t>
  </si>
  <si>
    <t>SID855634|SID26752314|(+/-)-Kavain|SID56423143|</t>
  </si>
  <si>
    <t>O1C(CC)C(O)(C)C(O)C(C)C(=O)C(CC(O)(C)C(OC2OC(CC(N(C)C)C2OC(=O)CCC(OCC)=O)C)C(C)C(OC2OC(C)C(O)C(OC)(C2)C)C(C)C1=O)C</t>
  </si>
  <si>
    <t>O1C(CCC[C@H](O)CCCCCc2c(C1=O)c(O)cc(O)c2)C</t>
  </si>
  <si>
    <t>SID11532982|SID26719676|</t>
  </si>
  <si>
    <t>O1C(CNC1=O)COc1cc(cc(c1)C)C</t>
  </si>
  <si>
    <t>METAXALONE</t>
  </si>
  <si>
    <t>SID26748938|Skelaxin|Metaxalone|AHR-438|</t>
  </si>
  <si>
    <t>O1C(CO)C(O)C(O)C(O)C1Oc1cc(cc(O)c1)C=Cc1ccc(O)cc1</t>
  </si>
  <si>
    <t>O1C(CO)C(O)C(O)C1n1nc(nc1)C(=O)N</t>
  </si>
  <si>
    <t>SID104171233|SID26749915|</t>
  </si>
  <si>
    <t>O1C(COC(=O)c2n(Cc3ccc(cc3)-c3ccccc3-c3nn[nH]n3)c(nc2C(O)(C)C)CCC)=C(OC1=O)C</t>
  </si>
  <si>
    <t>OLMESARTAN MEDOXOMIL</t>
  </si>
  <si>
    <t>SID26748978|Olmesartan Medoxomil|CS-866|Benicar|SID144204998|</t>
  </si>
  <si>
    <t>O1C(c2ccccc2)C(=O)N=C1N</t>
  </si>
  <si>
    <t>PEMOLINE</t>
  </si>
  <si>
    <t>SID26719702|Cylert|Fenoxazol|Pemoline|</t>
  </si>
  <si>
    <t>O1C2(CCC1=O)CCC1C3C(CCC12C)C1(C(=CC(=O)CC1)C=C3)C</t>
  </si>
  <si>
    <t>CANRENONE</t>
  </si>
  <si>
    <t>Canrenone</t>
  </si>
  <si>
    <t>O1C23C(CCC2C)C(CC1(O)C(C3)C(C)C)=C</t>
  </si>
  <si>
    <t>O1C2[C@]34CCN([C@H](Cc5c3c1c(O)cc5)[C@]4(O)CCC2O)CC1CCC1</t>
  </si>
  <si>
    <t>O1C=C(C(=O)c2c1cc(O)cc2)c1ccc(OC)cc1</t>
  </si>
  <si>
    <t>FORMONONETIN</t>
  </si>
  <si>
    <t>SID11113187|SID26753747|NSC-93360|SID46501240|SID26749121|SID399180|</t>
  </si>
  <si>
    <t>O1C=C(C(=O)c2c1cc(O)cc2O)c1ccc(OC)cc1</t>
  </si>
  <si>
    <t>BIOCHANIN</t>
  </si>
  <si>
    <t>SID416963|SID124883150|SID11113288|SID56422868|SID50123128|SID26746976|SID855738|SID124883151|NSC-123538|SID50104034|SID50100559|SID26751494|</t>
  </si>
  <si>
    <t>O1C=C(C(=O)c2c1cc(OC(C)C)cc2)c1ccccc1</t>
  </si>
  <si>
    <t>IPRIFLAVONE</t>
  </si>
  <si>
    <t>Ipriflavone|SID26719630|SID29215021|SID856008|SID56422482|</t>
  </si>
  <si>
    <t>O1C=C(O)C(=O)C=C1CO</t>
  </si>
  <si>
    <t>KOJIC ACID</t>
  </si>
  <si>
    <t>5-Hydroxy-2-(hydroxymethyl)-4-pyrone|SID104171348|Kojic acid|SID26754136|</t>
  </si>
  <si>
    <t>O1C=CC(=O)C(O)=C1C</t>
  </si>
  <si>
    <t>MALTOL</t>
  </si>
  <si>
    <t>SID11532903|Maltol|SID26747324|E636|SID69424|</t>
  </si>
  <si>
    <t>O1CC(=CC1=O)C1CC[C@]2(O)[C@H]3[C@H](C[C@@H](O)[C@]12C)[C@@]1([C@@H](C[C@@H](O[C@@H]2O[C@H](C)[C@@H](O[C@@H]4O[C@H](C)[C@@H](O[C@@H]5O[C@H](C)[C@@H](O)[C@@H](O)C5)[C@@H](O)C4)[C@@H](O)C2)CC1)CC3)C</t>
  </si>
  <si>
    <t>O1CC(=CC1=O)[C@H]1CC[C@]2(O)[C@H]3[C@H](CC[C@]12C)[C@@]1([C@@H](C[C@@H](O[C@@H]2O[C@H](C)[C@@H](O[C@@H]4O[C@H](C)[C@@H](O[C@@H]5O[C@H](C)[C@@H](O)[C@@H](O)C5)[C@@H](O)C4)[C@@H](O)C2)CC1)CC3)C</t>
  </si>
  <si>
    <t>DIGITOXIN</t>
  </si>
  <si>
    <t>SID11533060|SID26754428|Digitoxoside|SID26754429|Crystodigin|SID144205212|Digitoxin|</t>
  </si>
  <si>
    <t>O1CC(=O)N(c2c1cccc2)CC(=O)NC1CCCCCCC1</t>
  </si>
  <si>
    <t>O1CC(=O)N(c2c1cccc2)CC(=O)NCCCN(Cc1ccccc1)CCCC</t>
  </si>
  <si>
    <t>O1CC(O)\C(=C/C[C@H]2[C@]3([C@H](CCC2=C)[C@@](CO)(C)[C@H](O)CC3)C)\C1=O</t>
  </si>
  <si>
    <t>SID93576922</t>
  </si>
  <si>
    <t>O1CC2=C(C=C3N(Cc4c3nc3c(c4)c(CN(C)C)c(O)cc3)C2=O)[C@@](O)(CC)C1=O</t>
  </si>
  <si>
    <t>TOPOTECAN</t>
  </si>
  <si>
    <t>Hycamtin|Topotecan|</t>
  </si>
  <si>
    <t>O1CC2=C(C=C3N(Cc4c3nc3c(c4)cccc3)C2=O)[C@@](O)(CC)C1=O</t>
  </si>
  <si>
    <t>CAMPTOTHECIN</t>
  </si>
  <si>
    <t>SID26747155|SID399733|SID50104727|SID85231337|SID124882714|SID90340668|SID26747154|SID50104726|SID11112910|SID50123248|SID26732559|SID11113913|SID124882713|NSC-94600|SID26747153|SID11111011|</t>
  </si>
  <si>
    <t>O1CC2=C(C=C3N(Cc4c3nc3c(cc(O)cc3)c4CC)C2=O)[C@@](O)(CC)C1=O</t>
  </si>
  <si>
    <t>7-ETHYL-10-HYDROXY-CAMPTOTHECIN</t>
  </si>
  <si>
    <t>7-Ethyl-10-Hydroxy-Camptothecin|SID515301|</t>
  </si>
  <si>
    <t>O1CC2=C(C=C3N(Cc4c3nc3c(cc(OC(=O)N5CCC(N6CCCCC6)CC5)cc3)c4CC)C2=O)[C@@](O)(CC)C1=O</t>
  </si>
  <si>
    <t>IRINOTECAN</t>
  </si>
  <si>
    <t>Camptosar|SID124893595|Irinotecan|</t>
  </si>
  <si>
    <t>O1CC2C(COC2c2cc3OCOc3cc2)C1c1cc2OCOc2cc1</t>
  </si>
  <si>
    <t>SID85272549|SID500089|</t>
  </si>
  <si>
    <t>O1CC=2[C@@H]3C[C@@H]4O[C@]45[C@]4(O[C@H]4[C@@H]4O[C@]4(C(C)C)[C@H]5O)[C@]3(CCC=2C1=O)C</t>
  </si>
  <si>
    <t>TRIPTOLIDE</t>
  </si>
  <si>
    <t>SID438041|Triptolide|SID49681800|</t>
  </si>
  <si>
    <t>O1CCCC1C(=O)N1CCN(CC1)c1nc(N)c2cc(OC)c(OC)cc2n1</t>
  </si>
  <si>
    <t>TERAZOSIN</t>
  </si>
  <si>
    <t>SID90340975|Hytrin|SID855611|SID50085853|Terazosin|</t>
  </si>
  <si>
    <t>O1CCCC1C(=O)NCCCN(C)c1nc(N)c2cc(OC)c(OC)cc2n1</t>
  </si>
  <si>
    <t>ALFUZOSIN</t>
  </si>
  <si>
    <t>SID26749010|SID26719847|SID50107504|SID26749009|SID50107503|Uroxatral|SID90341616|Alfuzosin|</t>
  </si>
  <si>
    <t>O1CCN(CC1)CC1CCc2[nH]c(C)c(c2C1=O)CC</t>
  </si>
  <si>
    <t>MOLINDONE</t>
  </si>
  <si>
    <t>Moban|SID90341242|Molindone|SID26755691|SID50111112|</t>
  </si>
  <si>
    <t>O1CCN(CC1)CCC1CN(CC)C(=O)C1(c1ccccc1)c1ccccc1</t>
  </si>
  <si>
    <t>DOXAPRAM</t>
  </si>
  <si>
    <t>Doxapram|SID50112713|</t>
  </si>
  <si>
    <t>O1CCN(N)C1=O</t>
  </si>
  <si>
    <t>O1CCN(\N=C\c2oc([N+](=O)[O-])cc2)C1=O</t>
  </si>
  <si>
    <t>FURAZOLIDONE</t>
  </si>
  <si>
    <t>Furazolidone|SID26749310|Furall|Furoxone|SID29215179|Nifurazolidone|SID144205055|</t>
  </si>
  <si>
    <t>O1CCOC1(CC(=O)NCc1ccccc1)CC(=O)NCc1ccccc1</t>
  </si>
  <si>
    <t>O1CCOC1CCn1c2c(c3c1cncc3)cccc2</t>
  </si>
  <si>
    <t>O1CC[C@H](NC(=O)CCCCCNC(=O)c2cc3c(cc2)cccc3)C1=O</t>
  </si>
  <si>
    <t>O1CC[C@H](NC(=O)CCCCCNC(=O)c2cc3ncccc3cc2)C1=O</t>
  </si>
  <si>
    <t>O1CC[C@H](NC(=O)c2ccc(cc2)CNC(=O)c2cc3c(cc2)cccc3)C1=O</t>
  </si>
  <si>
    <t>O1CC[C@H](NC(=O)c2ccc(cc2)CNC(=O)c2cc3ncccc3cc2)C1=O</t>
  </si>
  <si>
    <t>O1CCc2c([nH]c3c2cccc3CC)C1(CC(O)=O)CC</t>
  </si>
  <si>
    <t>ETODOLAC</t>
  </si>
  <si>
    <t>SID56422166|AY-24236|Etodolac|Lodine Xl|SID85231029|Etodolic Acid|SID50105240|SID855612|Lodine|SID90340662|</t>
  </si>
  <si>
    <t>O1CCc2c3c(CC[C@H]3CCNC(=O)CC)ccc12</t>
  </si>
  <si>
    <t>RAMELTEON</t>
  </si>
  <si>
    <t>Rozerem|TAK-375|Ramelteon|</t>
  </si>
  <si>
    <t>O1C[C@@H](C2=C1c1c(c3c(cc1)C(CCC3)(C)C)C(=O)C2=O)C</t>
  </si>
  <si>
    <t>CRYPTOTANSHINONE</t>
  </si>
  <si>
    <t>SID24824127|SID26757029|Cryptotanshinone|SID521176|</t>
  </si>
  <si>
    <t>O1C[C@@H](CC[C@]12O[C@@H]1[C@H]([C@@H]2C)[C@@]2([C@H]([C@H]3[C@H](CC2)[C@@]2(C(C[C@@H](O)CC2)=CC3)C)C1)C)C</t>
  </si>
  <si>
    <t>DISOGENIN</t>
  </si>
  <si>
    <t>Disogenin|Diosgenin|</t>
  </si>
  <si>
    <t>O1C[C@@]23[C@H]([C@H](O)[C@]1(O)[C@]14C2CC[C@H]([C@H]1O)C(=C)C4=O)C(CC[C@@H]3O)(C)C</t>
  </si>
  <si>
    <t>O1C[C@H](Cc2n(cnc2)C)[C@H](CC)C1=O</t>
  </si>
  <si>
    <t>PILOCARPINE</t>
  </si>
  <si>
    <t>Pilocarpine|Ocusert Pilo|</t>
  </si>
  <si>
    <t>O1C[C@H]2[C@@H]([C@@H](c3c(cc4OCOc4c3)[C@@H]2O)c2cc(OC)c(OC)c(OC)c2)C1=O</t>
  </si>
  <si>
    <t>PODOFILOX</t>
  </si>
  <si>
    <t>Podophyllotoxin|SID144204425|Podofilox|SID26751475|Condylox|SID26751476|</t>
  </si>
  <si>
    <t>O1C[C@H]2[C@@H]([C@@H](c3c(cc4OCOc4c3)[C@H]2O[C@@H]2O[C@H]3[C@@H](O[C@@H](OC3)C)[C@H](O)[C@H]2O)c2cc(OC)c(O)c(OC)c2)C1=O</t>
  </si>
  <si>
    <t>ETOPOSIDE</t>
  </si>
  <si>
    <t>Vepesid|SID56463308|Etoposide|Toposar|VP-16-213|</t>
  </si>
  <si>
    <t>O1Cc2c(c(O)c(C\C=C(\CCC(O)=O)/C)c(OC)c2C)C1=O</t>
  </si>
  <si>
    <t>MYCOPHENOLIC ACID</t>
  </si>
  <si>
    <t>Myfortic|SID26752207|SID124882524|SID26747168|SID420202|SID144204161|68618|SID47193743|SID11112697|RS-61443 [As Mofetil]|SID26752208|SID11112696|Mycophenolic Acid|SID50104875|SID124882528|SID85148364|Cellcept|Mycophenolic acid|SID11114111|SID124882525|</t>
  </si>
  <si>
    <t>O1Cc2c(cccc2)\C(\c2c1cccc2)=C/CCN(C)C</t>
  </si>
  <si>
    <t>E-DOXEPIN</t>
  </si>
  <si>
    <t>SID11111071|SID50111016|SID90341830|SID11113537|SID11111072|SID104171145|</t>
  </si>
  <si>
    <t>O1Cc2c(cccc2)\C(\c2c1cccc2)=C\CCN(C)C</t>
  </si>
  <si>
    <t>CIDOXEPIN</t>
  </si>
  <si>
    <t>Sinequan|Zonalon|Doxepin|Cidoxepin|</t>
  </si>
  <si>
    <t>O1NC(=O)[C@H](N)C1</t>
  </si>
  <si>
    <t>CYCLOSERINE</t>
  </si>
  <si>
    <t>SID90341765|SID50106003|Seromycin|SID11110914|SID11112194|SID85231334|SID26719637|Cycloserine|SID11110915|SID11112195|SID11110913|</t>
  </si>
  <si>
    <t>O1[C@@H](C)[C@@H](O)[C@@H](N)C[C@@H]1O[C@@H]1c2c(C[C@](O)(C1)C(=O)C)c(O)c1c(C(=O)c3c(cccc3)C1=O)c2O</t>
  </si>
  <si>
    <t>IDARUBICIN</t>
  </si>
  <si>
    <t>Idamycin|SID50106402|SID50106403|Idarubicin|SID50106404|SID90340569|</t>
  </si>
  <si>
    <t>O1[C@@H](C)[C@@H](O)[C@@H](N)C[C@@H]1O[C@@H]1c2c(C[C@](O)(C1)C(=O)CO)c(O)c1c(C(=O)c3c(cccc3OC)C1=O)c2O</t>
  </si>
  <si>
    <t>DOXORUBICIN</t>
  </si>
  <si>
    <t>Adriamycin|Rubex|Adriblastina|Hydroxydaunorubicin|SID124886887|Doxil|Doxorubicin|SID124886893|</t>
  </si>
  <si>
    <t>O1[C@@H](C)[C@H](O)[C@@H](N)C[C@@H]1O[C@@H]1c2c(C[C@](O)(C1)C(=O)CO)c(O)c1c(C(=O)c3c(cccc3OC)C1=O)c2O</t>
  </si>
  <si>
    <t>O1[C@@H](C)[C@H](O)[C@@H](O)[C@@H](O)C1O</t>
  </si>
  <si>
    <t>O1[C@@H](C=C[C@@H]1N1C=C(C)C(=O)NC1=O)CO</t>
  </si>
  <si>
    <t>STAVUDINE</t>
  </si>
  <si>
    <t>d4T|SID438435|D4T|SID26751536|SID50104117|SID17389074|SID855856|Zerit Xr|SID26719688|BMY-27857|Stavudine|SID17389053|SID29215013|Zerit|SID50104116|SID7971664|SID56422159|SID90341632|SID49718181|</t>
  </si>
  <si>
    <t>O1[C@@H](CC(=O)[C@@H](\C=C(/C)\[C@@H](O)[C@@H](OC)C(=O)[C@@H](C[C@@H](\C=C\C=C\C=C(/C)\[C@@H](OC)CC2O[C@](O)([C@@H](CC2)C)C(=O)C(=O)N2[C@@H](CCCC2)C1=O)C)C)C)[C@@H](C[C@H]1C[C@@H](OC)[C@H](OCCO)CC1)C</t>
  </si>
  <si>
    <t>EVEROLIMUS</t>
  </si>
  <si>
    <t>Afinitor|Afinitor Disperz|Everolimus|Zortress|SID144206063|RAD001|</t>
  </si>
  <si>
    <t>O1[C@@H](CC=CC=C[C@H](O)[C@@H](C[C@H](CC=O)[C@H](O[C@@H]2O[C@H](C)[C@@H](O[C@@H]3O[C@@H](C)[C@H](O)[C@](OC(=O)CC(C)C)(C3)C)[C@H](N(C)C)[C@H]2O)[C@@H](OC)[C@H](OC(=O)C)CC1=O)C)C</t>
  </si>
  <si>
    <t>O1[C@@H](CC[C@@H]1N1C=CC(=NC1=O)N)CO</t>
  </si>
  <si>
    <t>ZALCITABINE</t>
  </si>
  <si>
    <t>Dideoxycytidine|DDC|SID11532889|SID144207040|SID17389522|SID50105404|Ro-242027000|Ro-24-2027-000|SID49681781|SID90340765|Hivid|Zalcitabine|SID50105405|</t>
  </si>
  <si>
    <t>O1[C@@H](CC[C@@H]1n1c2ncnc(O)c2nc1)CO</t>
  </si>
  <si>
    <t>DIDANOSINE</t>
  </si>
  <si>
    <t>DDI|SID26719672|SID26754510|Videx Ec|BMY-40900|SID29215491|Dideoxyinosine (DDI)|Videx|SID49718183|SID17389541|Didanosine|SID26757698|</t>
  </si>
  <si>
    <t>O1[C@@H](CN)[C@@H](O)[C@H](O)[C@@H](N)[C@H]1O[C@H]1[C@@H](O)[C@@H](O[C@@H]1CO)O[C@H]1[C@H](O[C@H]2O[C@H](CO)[C@@H](O)[C@H](O)[C@H]2N)[C@@H](N)C[C@@H](N)[C@@H]1O</t>
  </si>
  <si>
    <t>PAROMOMYCIN</t>
  </si>
  <si>
    <t>Aminosidine|Humatin|Paramicina|Paromomycin|Monomycin|</t>
  </si>
  <si>
    <t>O1[C@@H](C[C@@H](O)CC1=O)CC[C@@H]1[C@@H]2C(=C[C@@H](C[C@@H]2OC(=O)C(CC)(C)C)C)C=C[C@@H]1C</t>
  </si>
  <si>
    <t>SIMVASTATIN</t>
  </si>
  <si>
    <t>SID50086525|SID496592|MK-733|Simvastatin|SID144204247|Synvinolin|Zocor|Simvastatin hydroxy acid|</t>
  </si>
  <si>
    <t>O1[C@@H](C[C@@H](O)CC1=O)CC[C@@H]1[C@@H]2C(=C[C@@H](C[C@@H]2OC(=O)[C@H](CC)C)C)C=C[C@@H]1C</t>
  </si>
  <si>
    <t>LOVASTATIN</t>
  </si>
  <si>
    <t>Mevacor|Altoprev|Mevinolin|Lovastatin|SID26751557|SID49732779|MK-803|SID855905|SID144204439|SID17389841|SID496591|</t>
  </si>
  <si>
    <t>O1[C@@H](C[C@@H](O)CC1=O)CC[C@@H]1[C@@H]2C(C=C[C@@H]1C)=CCC[C@@H]2OC(=O)[C@H](CC)C</t>
  </si>
  <si>
    <t>MEVASTATIN</t>
  </si>
  <si>
    <t>SID90340823|SID24820212|SID144205093|SID26719712|Mevastatin|SID89850273|</t>
  </si>
  <si>
    <t>O1[C@@H](C[C@@H](OC(=O)[C@@H](NC=O)CC(C)C)CCCCCCCCCCC)[C@H](CCCCCC)C1=O</t>
  </si>
  <si>
    <t>ORLISTAT</t>
  </si>
  <si>
    <t>SID93576635|SID49681644|Lipstatin|SID26719846|Orlistat|Xenical|Tetrahydrolipstatin|Ro-180647002|ALLI|SID29217614|Ro-18-0647-002|Orlipastat|</t>
  </si>
  <si>
    <t>O1[C@@H](C[C@H]2CO[C@@H](C\C(=C\C(OCCCCCCCCC(O)=O)=O)\C)[C@H](O)[C@@H]2O)[C@@H]1[C@H]([C@@H](O)C)C</t>
  </si>
  <si>
    <t>MUPIROCIN</t>
  </si>
  <si>
    <t>BRL-4910A|Pseudomonic Acid|SID144205736|Bactroban|Mupirocin|SID47193668|Centany|SID50111691|</t>
  </si>
  <si>
    <t>O1[C@@H](Oc2ccc3c(OC(O)=C(NC(=O)c4cc(CC=C(C)C)c(O)cc4)C3=O)c2C)[C@H](O)[C@H](OC(=O)N)[C@@H](OC)C1(C)C</t>
  </si>
  <si>
    <t>O1[C@@H]([C@H](C[C@@H](C)[C@]1(O)CO)C)[C@@H]1O[C@@H]([C@]2(O[C@H](CC2)[C@]2(O[C@]3(O[C@H]([C@H]([C@@H](OC)[C@@H](C(O)=O)C)C)[C@H](C)[C@@H](O)C3)CC2)C)CC)[C@H](C1)C</t>
  </si>
  <si>
    <t>MONENSIN</t>
  </si>
  <si>
    <t>67314|Rumensin [as sodium salt]|E714|Coban [as sodium salt]|Monensin|</t>
  </si>
  <si>
    <t>O1[C@@H](n2c3ncnc(N)c3nc2)[C@@H](O)C[C@H]1CO</t>
  </si>
  <si>
    <t>SID26753267</t>
  </si>
  <si>
    <t>O1[C@@H]2C[C@H](O)[C@@]3([C@H]([C@H](OC(=O)c4ccccc4)[C@@]4(O)C[C@H](OC(=O)[C@H](O)[C@@H](NC(OC(C)(C)C)=O)c5ccccc5)C(=C([C@@H](O)C3=O)C4(C)C)C)[C@]2(OC(=O)C)C1)C</t>
  </si>
  <si>
    <t>SID49681585|SID26719693|</t>
  </si>
  <si>
    <t>O1[C@@H]2C[C@H](O)[C@@]3([C@H]([C@H](OC(=O)c4ccccc4)[C@]4(O)C[C@H](OC(=O)[C@H](O)[C@@H](NC(OC(C)(C)C)=O)c5ccccc5)C(=C([C@@H](O)C3=O)C4(C)C)C)[C@]2(OC(=O)C)C1)C</t>
  </si>
  <si>
    <t>DOCETAXEL</t>
  </si>
  <si>
    <t>Taxotere|SID494081|RP-56976|SID144206334|SID124950708|Docefrez|SID144206639|Docetaxel|</t>
  </si>
  <si>
    <t>O1[C@@H]2O[C@@]3(OO[C@]24[C@@H](CC[C@H]([C@@H]4CC3)C)[C@@H](C)[C@@H]1O)C</t>
  </si>
  <si>
    <t>O1[C@@H]2O[C@@]3(OO[C@]24[C@@H](CC[C@H]([C@@H]4CC3)C)[C@@H](C)[C@H]1OC(=O)CCC(O)=O)C</t>
  </si>
  <si>
    <t>SID26758022|SID49681703|</t>
  </si>
  <si>
    <t>O1[C@@H]2O[C@@]3(OO[C@]24[C@@H](CC[C@H]([C@@H]4CC3)C)[C@@H](C)[C@H]1OC)C</t>
  </si>
  <si>
    <t>ARTEMETHER</t>
  </si>
  <si>
    <t>Artemetheri|SID26758013|SID124893169|Artemether|</t>
  </si>
  <si>
    <t>O1[C@@H]2O[C@@]3(OO[C@]24[C@@H](CC[C@H]([C@@H]4CC3)C)[C@H](C)[C@H]1OC(=O)CCC(O)=O)C</t>
  </si>
  <si>
    <t>O1[C@@H]2[C@@H](C)[C@@]3(O[C@H](C[C@@H](O)C)[C@@H](CC3)C)O[C@H](CC[C@@H](C=CC=CC[C@H](C)[C@@H](O)[C@@H](C)C(=O)[C@H](C)[C@@H](O)[C@H](C)C(=O)[C@H](C)[C@@H](O)[C@@H](C=CC1=O)C)CC)[C@@H]2C</t>
  </si>
  <si>
    <t>O1[C@@H]2[C@@]3(CCN(Cc4c3c1c(OC)cc4)C)C=C[C@H](O)C2</t>
  </si>
  <si>
    <t>GALANTAMINE</t>
  </si>
  <si>
    <t>Galantamine|SID104171341|Razadyne|Razadyne ER|Galanthamine|Reminyl|SID26751839|</t>
  </si>
  <si>
    <t>O1[C@@H]2[C@H](CC1=O)[C@@H](CO)[C@H](O)C2</t>
  </si>
  <si>
    <t>O1[C@@H]2[C@]34CCN(C(Cc5c3c1c(O)cc5)[C@]4(O)Cc1c3c([nH]c12)cccc3)CC(C)=C</t>
  </si>
  <si>
    <t>O1[C@@H]2[C@]34CCN(C(Cc5c3c1c(O)cc5)[C@]4(O)Cc1c3c([nH]c12)cccc3)CC1CC1</t>
  </si>
  <si>
    <t>O1[C@@H]2[C@]34CCN([C@H](Cc5c3c1c(O)cc5)[C@]4(O)CCC2=O)CC1CC1</t>
  </si>
  <si>
    <t>NALTREXONE</t>
  </si>
  <si>
    <t>Celupan|EN-1639A [As Hydrochloride]|EN-1639A|Naltrexone|Revia|Vivitrol|Trexal|Trexan|</t>
  </si>
  <si>
    <t>O1[C@@H]2[C@]34CCN([C@H](Cc5c3c1c(O)cc5)[C@]4(O)CCC2=O)CC=C</t>
  </si>
  <si>
    <t>NALOXONE</t>
  </si>
  <si>
    <t>Suboxone|Narcan|Narcanti|Naloxone|Nalone|</t>
  </si>
  <si>
    <t>O1[C@@]2([C@H](OC1CCC)C[C@H]1[C@H]3[C@@H]([C@@]4(C(=CC(=O)C=C4)CC3)C)[C@@H](O)C[C@@]12C)C(=O)CO</t>
  </si>
  <si>
    <t>BUDESONIDE</t>
  </si>
  <si>
    <t>Entocort Ec|SID855541|Budesonide|Pulmicort Respules|Pulmicort Flexhaler|Rhinocort Aqua|Rhinocort|Uceris|Pulmicort|S-1320|SID90341081|SID56422168|</t>
  </si>
  <si>
    <t>O1[C@H](/C(=C/[C@H]2C[C@@H](OC)[C@H](O)CC2)/C)[C@H](C)[C@@H](O)CC(=O)[C@@H](C=C(C[C@@H](C[C@H](OC)[C@H]2O[C@](O)([C@@H](C[C@@H]2OC)C)C(=O)C(=O)N2[C@@H](CCCC2)C1=O)C)C)CC=C</t>
  </si>
  <si>
    <t>O1[C@H](/C(=C/[C@H]2C[C@@H](OC)[C@H](O)CC2)/C)[C@H](C)[C@@H](O)CC(=O)[C@@H](\C=C(\C[C@@H](C[C@H](OC)[C@H]2O[C@](O)([C@@H](C[C@@H]2OC)C)C(=O)C(=O)N2[C@@H](CCCC2)C1=O)C)/C)CC=C</t>
  </si>
  <si>
    <t>O1[C@H](C(O)=O)[C@@H](O)[C@H](O)[C@@H](O[C@@H]2O[C@H](C(O)=O)[C@@H](O)[C@H](O)[C@H]2O)[C@H]1O[C@H]1CC[C@@]2([C@@H]3[C@](CC[C@H]2C1(C)C)(C)[C@@]1(CC[C@@]2([C@H](C1=CC3=O)C[C@](CC2)(C(O)=O)C)C)C)C</t>
  </si>
  <si>
    <t>GLYCYRRHIZIN</t>
  </si>
  <si>
    <t>Glycyrrhizin|Glycyrrhizic Acid|Glycyrrhizinic Acid|SID26755251|Glycyrrhetinic Acid|E958|</t>
  </si>
  <si>
    <t>O1[C@H](CC)[C@](O)(C)[C@H](O)[C@@H](C)C(=O)[C@@H](C[C@](O)(C)[C@H](O[C@@H]2O[C@@H](C[C@H](N(C)C)[C@H]2O)C)[C@@H](C)[C@H](O[C@@H]2O[C@@H](C)[C@H](O)[C@](OC)(C2)C)[C@@H](C)C1=O)C</t>
  </si>
  <si>
    <t>ERYTHROMYCIN</t>
  </si>
  <si>
    <t>C-Solve-2|E-Solve 2|Erythra-Derm|Ilotycin|Pce|SID49675035|Eryc|E-Base|E-Mycin|PCE|Pfizer-E|Benzamycin|Eryc 125|Ilosone|Staticin|Erythro 200|E-mycin|Ery-Tab|Bristamycin|Emgel|Eryc Sprinkles|Erycette|Erymax|Gallimycin|A/T/S|E-Glades|ERY-TAB|Eryderm|Erythrocin|R-P Mycin|Wyamycin|Akne-Mycin|Erypar|Erythro-Statin|Erythromycin|Erygel|Robimycin|Sansac|T-Stat|ERYC|</t>
  </si>
  <si>
    <t>O1[C@H](CC)[C@](O)(C)[C@H](O)[C@@H](C)C(=O)[C@@H](C[C@](OC)(C)[C@H](O[C@@H]2O[C@@H](C[C@H](N(C)C)[C@H]2O)C)[C@@H](C)[C@H](O[C@@H]2O[C@@H](C)[C@H](O)[C@](OC)(C2)C)[C@@H](C)C1=O)C</t>
  </si>
  <si>
    <t>CLARITHROMYCIN</t>
  </si>
  <si>
    <t>Biaxin|A-56268|ABBOTT-56268|Klaricid|Prevpac|SID26719890|Clarithromycin|Biaxin Xl|Biaxin Xl Pac|Clarithromycin Extended Release|TE-031|SID49648843|</t>
  </si>
  <si>
    <t>O1[C@H](CC)[C@](O)(C)[C@H](O)[C@H](N(C[C@@H](C[C@](O)(C)[C@H](O[C@@H]2O[C@@H](C[C@H](N(C)C)[C@H]2O)C)[C@@H](C)[C@H](O[C@@H]2O[C@@H](C)[C@H](O)[C@](OC)(C2)C)[C@@H](C)C1=O)C)C)C</t>
  </si>
  <si>
    <t>AZITHROMYCIN</t>
  </si>
  <si>
    <t>Azithromycin|XZ-450|SID17389173|Azithromycin Dihydrate|SID49648620|Azasite|CP-62993|Sumamed|Sunamed|ZMax|Zithromax|</t>
  </si>
  <si>
    <t>O1[C@H](CC)[C@]2(OC(=O)N([C@H]2[C@@H](C)C(=O)[C@@H](C[C@](OC)(C)[C@H](O[C@@H]2O[C@@H](C[C@H](N(C)C)[C@H]2O)C)[C@@H](C)C(=O)[C@@H](C)C1=O)C)CCCCn1cc(nc1)-c1cccnc1)C</t>
  </si>
  <si>
    <t>O1[C@H](CO)C(O)[C@H](O)[C@@H]1n1c2ncnc(N[C@H]3CCC[C@@H]3O)c2nc1</t>
  </si>
  <si>
    <t>O1[C@H](CO)[C@@H](N=[N+]=[N-])C[C@@H]1N1C=C(C)C(=O)NC1=O</t>
  </si>
  <si>
    <t>ZIDOVUDINE</t>
  </si>
  <si>
    <t>Retrovir|SID144203613|Azidothymidine|BW-A-509U|SID26751584|BW-A509U|SID855980|SID17390027|BWA509U|SID49718184|SID144204445|AZT|Zidovudine|Compound S|SID90341185|</t>
  </si>
  <si>
    <t>O1[C@H](CO)[C@@H](O)C[C@@H]1N1C=C(C)C(=O)NC1=O</t>
  </si>
  <si>
    <t>TELBIVUDINE</t>
  </si>
  <si>
    <t>SID29215196|Thymidine|Thymidin|Thymidinedeoxyriboside|</t>
  </si>
  <si>
    <t>O1[C@H](CO)[C@@H](O)C[C@@H]1N1C=CC(=O)NC1=O</t>
  </si>
  <si>
    <t>DEOXYURIDINE</t>
  </si>
  <si>
    <t>Deoxyuridine|2'-Deoxyuridine|</t>
  </si>
  <si>
    <t>O1[C@H](CO)[C@@H](O)C[C@@H]1N1C=NC(=NC1=O)N</t>
  </si>
  <si>
    <t>DECITABINE</t>
  </si>
  <si>
    <t>Decitabine|Dacogen|SID144205864|SID57260149|DAC|SID47211573|SID56324652|</t>
  </si>
  <si>
    <t>O1[C@H](CO)[C@@H](O)C[C@@H]1n1c2NC=NC[C@@H](O)c2nc1</t>
  </si>
  <si>
    <t>PENTOSTATIN</t>
  </si>
  <si>
    <t>CI-825|Nipent|PD-81565|Pentostatin|SID124893765|</t>
  </si>
  <si>
    <t>O1[C@H](CO)[C@@H](O)C[C@@H]1n1c2ncnc(N)c2nc1</t>
  </si>
  <si>
    <t>O1[C@H](CO)[C@@H](O)[C@@H](O)[C@@H]1N1C=CC(=O)NC1=O</t>
  </si>
  <si>
    <t>URIDINE</t>
  </si>
  <si>
    <t>Uridine|SID8139953|SID26754144|</t>
  </si>
  <si>
    <t>O1[C@H](CO)[C@@H](O)[C@@H](O)[C@@H]1N1C=NC(=NC1=O)N</t>
  </si>
  <si>
    <t>AZACITIDINE</t>
  </si>
  <si>
    <t>Azacitidine|SID50105471|SID17390033|SID144204583|SID26752817|SID90341307|SID50105470|SID124890084|Ladakamycin|Vidaza|SID50122846|SID56323580|U-18496|SID56320704|</t>
  </si>
  <si>
    <t>O1[C@H](CO)[C@@H](O)[C@@H](O)[C@@H]1N1N=CC(=O)NC1=O</t>
  </si>
  <si>
    <t>6-AZAURIDINE</t>
  </si>
  <si>
    <t>6-Azauridine|6-Aza-Uridine|6-Methyl-Ump|SID8139884|</t>
  </si>
  <si>
    <t>O1[C@H](CO)[C@@H](O)[C@@H](O)[C@@H]1n1c2N=C(NC(=O)c2nc1)N</t>
  </si>
  <si>
    <t>GUANOSINE</t>
  </si>
  <si>
    <t>Guanosine|SID26754281|</t>
  </si>
  <si>
    <t>O1[C@H](CO)[C@@H](O)[C@@H](O)[C@@H]1n1nc(nc1)C(=O)N</t>
  </si>
  <si>
    <t>RIBAVIRIN</t>
  </si>
  <si>
    <t>Ribavarin|SID17389529|SID50105410|Viramid|Tribavirin|Ribavirin|Ribofluranosyl Carboxamide|Ribapak|SID50105411|Rebetol|Virazole|SID50105413|SID144203810|SID90341426|SID50105412|Copegus|Ribasphere|SID8139972|</t>
  </si>
  <si>
    <t>O1[C@H](CO)[C@@H](O)[C@H](O)[C@@H](O)C1Oc1cc(O)c2c(OC(=C(OC3O[C@@H](C)[C@H](O)[C@@H](O)[C@H]3O)C2=O)c2ccc(OC)cc2)c1C\C=C(\C)/C</t>
  </si>
  <si>
    <t>O1[C@H](CO)[C@@H](O)[C@H](O)[C@@H](O)[C@@H]1OCCc1ccc(O)cc1</t>
  </si>
  <si>
    <t>SALIDROSIDE</t>
  </si>
  <si>
    <t>Salidroside</t>
  </si>
  <si>
    <t>O1[C@H](CO)[C@@H](O)[C@H](O)[C@@H](O)[C@@H]1O[C@@H]1OC=C[C@@H]2[C@H]1C(=C[C@H]2O)CO</t>
  </si>
  <si>
    <t>AUCUBIN</t>
  </si>
  <si>
    <t>Aucubin|SID85201030|</t>
  </si>
  <si>
    <t>O1[C@H](CO)[C@@H](O)[C@H](O)[C@@H](O)[C@@H]1O[C@H]1CC[C@]2([C@@H](CC[C@@]3([C@@H]2C[C@@H](O)[C@H]2[C@]3(CC[C@@H]2[C@@](O[C@@H]2O[C@H](CO[C@@H]3OC[C@@H](O)[C@H](O)[C@H]3O)[C@@H](O)[C@H](O)[C@H]2O)(CC\C=C(\C)/C)C)C)C)C1(C)C)C</t>
  </si>
  <si>
    <t>GYNOSAPONIN S</t>
  </si>
  <si>
    <t>Gynosaponin S</t>
  </si>
  <si>
    <t>O1[C@H](CO)[C@@H](O)[C@H](O)[C@@H](O)[C@@H]1Oc1c2OC=C(C(=O)c2ccc1O)c1ccc(O)cc1</t>
  </si>
  <si>
    <t>O1[C@H](CO)[C@@H](O)[C@H](O)[C@@H](O)[C@@H]1Oc1cc(O)cc(O)c1C(=O)CCc1ccc(O)cc1</t>
  </si>
  <si>
    <t>PHLORIZIN</t>
  </si>
  <si>
    <t>Phloridzin|SID26754204|</t>
  </si>
  <si>
    <t>O1[C@H](CO)[C@@H](O)[C@H](O)[C@@H](O)[C@@H]1Oc1cc(cc(O)c1)\C=C\c1ccc(O)cc1</t>
  </si>
  <si>
    <t>PICEID</t>
  </si>
  <si>
    <t>(E)-Polydatin|Piceid|SID26719879|Trans-Piceid|SID525087|SID49681745|(E)-Piceid|</t>
  </si>
  <si>
    <t>O1[C@H](CO)[C@@H](O)[C@H](O)[C@@H](O)[C@@H]1Oc1ccc(O)cc1</t>
  </si>
  <si>
    <t>ARBUTIN</t>
  </si>
  <si>
    <t>SID93576640|Arbutin|</t>
  </si>
  <si>
    <t>O1[C@H](CO)[C@@H](O)[C@H](O)[C@@H](O)[C@@H]1Oc1ccc(cc1)CO</t>
  </si>
  <si>
    <t>GASTRODIN</t>
  </si>
  <si>
    <t>O1[C@H](CO)[C@@H](O)[C@H](O)[C@@H](O)[C@@H]1Oc1ccccc1CO</t>
  </si>
  <si>
    <t>SALICIN</t>
  </si>
  <si>
    <t>Salicin|SID50086599|SID26754404|</t>
  </si>
  <si>
    <t>O1[C@H](CO)[C@@H](O)[C@H](O)[C@@H](OC(=O)c2ccccc2)[C@@H]1Oc1ccccc1COC(=O)C1(O)C=CCCC1=O</t>
  </si>
  <si>
    <t>TREMULACIN</t>
  </si>
  <si>
    <t>Tremulacin</t>
  </si>
  <si>
    <t>O1[C@H](CO)[C@@H](O)[C@H](O)[C@@H](O[C@@H]2O[C@@H](C)[C@H](O)[C@@H](O)[C@H]2O)[C@@H]1Oc1cc(O)c(C(=O)CCc2cc(O)c(OC)cc2)c(O)c1</t>
  </si>
  <si>
    <t>SID17388867</t>
  </si>
  <si>
    <t>O1[C@H](CO)[C@@H](O)[C@H](O)[C@@H](O[C@@H]2O[C@@H](C)[C@H](O)[C@@H](O)[C@H]2O)[C@@H]1Oc1cc(O)c(C(=O)CCc2ccc(O)cc2)c(O)c1</t>
  </si>
  <si>
    <t>O1[C@H](CO)[C@@H](O)[C@H](O)[C@@H](O[C@@H]2O[C@@H](C)[C@H](O)[C@@H](O)[C@H]2O)[C@@H]1Oc1cc(O)c2c(O[C@@H](CC2=O)c2cc(OC)cc(O)c2)c1</t>
  </si>
  <si>
    <t>O1[C@H](CO)[C@@H](O)[C@H](O)[C@@H](O[C@@H]2O[C@@H](C)[C@H](O)[C@@H](O)[C@H]2O)[C@@H]1Oc1cc(O)c2c(O[C@@H](CC2=O)c2ccc(O)cc2)c1</t>
  </si>
  <si>
    <t>SID11532859</t>
  </si>
  <si>
    <t>O1[C@H](CO)[C@@H](O)[C@H](O)[C@@H]1N1C=CC(=NC1=O)N</t>
  </si>
  <si>
    <t>CYTARABINE</t>
  </si>
  <si>
    <t>U-19920|Ara-Cytidine|SID131404637|SID47193873|Depocyt|Cytarabine|Cytosar-U|Tarabine Pfs|SID29215144|SID26719755|Arabinosyl Cytosine|SID144204754|SID90341066|</t>
  </si>
  <si>
    <t>O1[C@H](CO)[C@@H](O)[C@H](O)[C@@H]1n1c2ncnc(N)c2nc1</t>
  </si>
  <si>
    <t>VIDARABINE</t>
  </si>
  <si>
    <t>Vira-A|ARA-A|SID11112564|Vidarabine|SID47193870|CI-673|</t>
  </si>
  <si>
    <t>O1[C@H](CO)[C@@H](O[C@@H]2O[C@@H](C)[C@H](O)[C@@H](O)[C@H]2O)[C@H](O)[C@@H](O[C@@H]2O[C@@H](C)[C@H](O)[C@@H](O)[C@H]2O)[C@@H]1O[C@@H]1CC2=CC[C@@H]3[C@H](CC[C@@]4([C@@H]5[C@@H](O[C@@]6(OC[C@@H](CC6)C)[C@H]5C)CC34)C)[C@]2(CC1)C</t>
  </si>
  <si>
    <t>O1[C@H](CO)[C@@H](O[C@H]2O[C@H](CO)[C@@H](O[C@H]3O[C@H](C)[C@@H](N[C@H]4C=C(CO)[C@@H](O)[C@H](O)[C@H]4O)[C@H](O)[C@H]3O)[C@H](O)[C@H]2O)[C@H](O)[C@@H](O)C1O</t>
  </si>
  <si>
    <t>SID26719884</t>
  </si>
  <si>
    <t>O1[C@H](CO[C@@H]2O[C@@H](C)[C@H](O)[C@@H](O)[C@H]2O)[C@@H](O)[C@H](O)[C@@H](O)[C@@H]1Oc1cc(O)c2c(O[C@@H](CC2=O)c2cc(O)c(OC)cc2)c1</t>
  </si>
  <si>
    <t>HESPERIDIN</t>
  </si>
  <si>
    <t>SID50086731|Hesperidin|SID144203999|NSC-31048|</t>
  </si>
  <si>
    <t>O1[C@H](CO[C@@H]2O[C@@H](C)[C@H](O)[C@@H](O)[C@H]2O)[C@@H](O)[C@H](O)[C@@H](O)[C@@H]1Oc1cc(OC)c2c(O[C@@H](CC2=O)c2cc(O)c(OC)cc2)c1</t>
  </si>
  <si>
    <t>O1[C@H](CO[C@@H]2O[C@H](CO)[C@@H](O)[C@H](O)[C@H]2O)[C@@H](O)[C@H](O)[C@@H](O)[C@@H]1OC(C#N)c1ccccc1</t>
  </si>
  <si>
    <t>VITAMIN B17</t>
  </si>
  <si>
    <t>Vitamin B17</t>
  </si>
  <si>
    <t>O1[C@H]([C@H](O)[C@@H](O)[C@H](O)[C@H]1CO)[C@@H]1c2c(C(=O)c3c1cccc3O)c(O)cc(c2)CO</t>
  </si>
  <si>
    <t>O1[C@H]([C@]2([C@@]3(O[C@@H]3C1=O)[C@]1([C@@H]([C@]34[C@@H](CC1=O)C(O[C@H]3CC(OC4)=O)(C)C)CC2)C)C)c1ccoc1</t>
  </si>
  <si>
    <t>O1[C@H]2OC(=O)[C@@]34[C@@H](OC(=O)C3)C[C@](O)(C24[C@@H](O)C1=O)C(C)(C)C</t>
  </si>
  <si>
    <t>O1[C@H]2O[C@H](O)[C@@H](C3[C@@]24OOC1(CC[C@H]4[C@@H](CC3)C)C)C</t>
  </si>
  <si>
    <t>O1[C@H]2[C@@H](CC\C(=C\CC[C@]3(O[C@@H]23)C)\C)C(=C)C1=O</t>
  </si>
  <si>
    <t>SID144204140</t>
  </si>
  <si>
    <t>O1[C@H]2[C@@H](O[C@H](CO)[C@@H](O)[C@@H]2O)c2c(cc(O)c(OC)c2O)C1=O</t>
  </si>
  <si>
    <t>BERGENIN</t>
  </si>
  <si>
    <t>Bergenin|SID49646245|</t>
  </si>
  <si>
    <t>O1[C@H]2[C@@]13CC[C@H]1[C@@H]4CC[C@H](O)[C@]4(CC[C@@H]1[C@]3(CC(C#N)=C2O)C)C</t>
  </si>
  <si>
    <t>TRILOSTANE</t>
  </si>
  <si>
    <t>WIN-24540|SID144206007|Trilostane|Modrastane|</t>
  </si>
  <si>
    <t>O1[C@H]2[C@H](OC[C@@H]2O[N+](=O)[O-])[C@H](O[N+](=O)[O-])C1</t>
  </si>
  <si>
    <t>SID57260297</t>
  </si>
  <si>
    <t>O1[C@H]2[C@H](O[C@@H]3O[C@@H](CC(=O)[C@]13O)C)[C@@H](O)[C@H](NC)[C@H](O)[C@@H]2NC</t>
  </si>
  <si>
    <t>SPECTINOMYCIN</t>
  </si>
  <si>
    <t>Spectinomycin|Trobicin|</t>
  </si>
  <si>
    <t>O1[C@H]2[C@H]3N([C@@H]([C@@H]12)CC(OC(=O)[C@H](CO)c1ccccc1)C3)C</t>
  </si>
  <si>
    <t>O1[C@H]2[C@H]3OC(=O)[C@@]45O[C@@H]4C[C@@](O)([C@H]([C@@H]2C(O)(C)C)C1=O)[C@@]35C</t>
  </si>
  <si>
    <t>PICROTIN</t>
  </si>
  <si>
    <t>Picrotin</t>
  </si>
  <si>
    <t>O1[C@H]2[C@H]3[N+]([C@@H]([C@@H]12)CC(OC(=O)[C@H](CO)c1ccccc1)C3)(CCCC)C</t>
  </si>
  <si>
    <t>O1[C@]2([C@H](CC1=O)[C@@]1([C@@H](CC2)C(CCC1)(C)C)C)C</t>
  </si>
  <si>
    <t>(3aR)-(+)-Sclareolide|SID49647608|</t>
  </si>
  <si>
    <t>O1[C@]23[C@@H]([C@@](C)([C@@H](O)C=C2)C1=O)[C@@H]([C@]12[C@H]3CC[C@](O)(C1)C(C2)=C)C(O)=O</t>
  </si>
  <si>
    <t>GIBBERELLIN A3</t>
  </si>
  <si>
    <t>(+)-Gibberellic Acid|SID17389868|SID56463589|SID49826122|SID78420|</t>
  </si>
  <si>
    <t>O1c2c(C(=O)C(O)=C1c1cc(O)c(O)c(O)c1)c(O)cc(O)c2</t>
  </si>
  <si>
    <t>MYRICETIN</t>
  </si>
  <si>
    <t>SID477075|SID124880776|SID90341245|SID56463598|SID50106561|SID50106562|SID124880771|SID124880777|SID26753604|SID11111488|SID50124232|SID124880773|SID124880778|SID85231140|SID26753603|NSC-407290|SID11111487|SID11111489|</t>
  </si>
  <si>
    <t>O1c2c(C(=O)C(O)=C1c1cc(O)c(O)cc1)c(O)cc(O)c2</t>
  </si>
  <si>
    <t>QUERCETIN</t>
  </si>
  <si>
    <t>SID50113479|Meletin|SID50113480|SID50113481|SID50104738|SID124881264|SID90341524|SID26752084|SID26752085|SID26752086|SID50113478|SID11113933|SID11111706|Sophoretin|C.I. Natural Red 1|SID50104737|NSC-9219|SID124881263|SID124881266|SID85231204|Xanthaurine|SID11111704|SID124881274|SID26747157|SID124881262|SID50104739|SID74741|SID124881267|SID124881272|SID11111705|SID99460891|</t>
  </si>
  <si>
    <t>O1c2c(C(=O)C(O)=C1c1ccc(O)cc1)c(O)cc(O)c2</t>
  </si>
  <si>
    <t>KAEMPFEROL</t>
  </si>
  <si>
    <t>Rhamnolutin|Rhamnolutein|SID124882309|SID26757741|Trifolitin|SID11112382|SID49674535|Robigenin|Pelargidenolon|SID11112381|Swartziol|SID17389844|SID50105504|Kaempferol|Populnetin|Kempferol|SID46501187|</t>
  </si>
  <si>
    <t>O1c2c(C(=O)C(O)=C1c1ccc(O)cc1O)c(O)cc(O)c2</t>
  </si>
  <si>
    <t>MORIN</t>
  </si>
  <si>
    <t>NSC-19801|SID124880709|SID50104017|SID85231133|SID11111456|SID855692|SID90341521|SID26746965|SID124880704|SID124880702|SID50104016|SID82595|</t>
  </si>
  <si>
    <t>O1c2c(C(=O)C(O)C1c1cc(O)c(O)cc1)c(O)cc(O)c2</t>
  </si>
  <si>
    <t>TAXIFOLIN</t>
  </si>
  <si>
    <t>NSC-2801|SID85231259|SID26753669|SID50107129|SID124881667|SID90341784|SID50107128|</t>
  </si>
  <si>
    <t>O1c2c(C(=O)C(O)C1c1cc3OC(CO)C(Oc3cc1)c1cc(OC)c(O)cc1)c(O)cc(O)c2</t>
  </si>
  <si>
    <t>O1c2c(C(=O)C(O[C@@H]3O[C@@H](C)[C@H](O)[C@@H](O)[C@H]3O)=C1c1cc(O)c(O)c(O)c1)c(O)cc(O)c2</t>
  </si>
  <si>
    <t>SID17505072|SID26756977|NSC-19803|</t>
  </si>
  <si>
    <t>O1c2c(C(=O)C(O[C@@H]3O[C@@H](C)[C@H](O)[C@@H](O)[C@H]3O)=C1c1ccc(OC)cc1)c(O)cc(O[C@@H]1O[C@H](CO)[C@@H](O)[C@H](O)[C@H]1O)c2CC=C(C)C</t>
  </si>
  <si>
    <t>ICARIIN</t>
  </si>
  <si>
    <t>SID26719816</t>
  </si>
  <si>
    <t>O1c2c(C(=O)C(O[C@@H]3O[C@H](CO)[C@@H](O)[C@H](O)[C@H]3O)=C1c1cc(O)c(O)cc1)c(O)cc(O)c2</t>
  </si>
  <si>
    <t>CONTIGOSIDE B</t>
  </si>
  <si>
    <t>NSC-407304|SID49681636|SID26719900|Contigoside B|</t>
  </si>
  <si>
    <t>O1c2c(C(=O)C(O[C@@H]3O[C@H](CO)[C@H](O)[C@H](O)[C@H]3O)=C1c1cc(O)c(O)cc1)c(O)cc(O)c2</t>
  </si>
  <si>
    <t>HYPEROSIDE</t>
  </si>
  <si>
    <t>SID26719903|Hyperoside|</t>
  </si>
  <si>
    <t>O1c2c(C(=O)C(O[C@@H]3O[C@H](CO[C@@H]4O[C@@H](C)[C@H](O)[C@@H](O)[C@H]4O)[C@@H](O)[C@H](O)[C@H]3O)=C1c1cc(O)c(O)cc1)c(O)cc(O)c2</t>
  </si>
  <si>
    <t>RUTIN</t>
  </si>
  <si>
    <t>SID29216321|Rutoside|Rutin|SID26719694|NSC-115918|</t>
  </si>
  <si>
    <t>O1c2c(C(=O)C(O[C@@H]3O[C@H](CO[C@@H]4O[C@@H](C)[C@H](O)[C@@H](O)[C@H]4O)[C@@H](O)[C@H](O)[C@H]3O)=C1c1cc(OCCO)c(OCCO)cc1)c(O)cc(OCCO)c2</t>
  </si>
  <si>
    <t>O1c2c(C(=O)C=C1C(O)=O)c(OCC(O)COc1c3c(OC(=CC3=O)C(O)=O)ccc1)ccc2</t>
  </si>
  <si>
    <t>CROMOLYN</t>
  </si>
  <si>
    <t>SID50123505|SID26751521|SID29215502|SID104171394|SID50103871|Crolom|Cromolyn|</t>
  </si>
  <si>
    <t>O1c2c(C(=O)C=C1C)c(OC)c1c(occ1)c2OC</t>
  </si>
  <si>
    <t>KHELLIN</t>
  </si>
  <si>
    <t>Khellin|SID855890|SID144203925|SID26747029|SID11112216|SID56422220|SID124882072|Khelloyd|Ammivin|</t>
  </si>
  <si>
    <t>O1c2c(C(=O)C=C1c1cc(O)c(O)cc1)c(O)cc(O)c2</t>
  </si>
  <si>
    <t>LUTEOLIN</t>
  </si>
  <si>
    <t>SID124882293|Luteolol|Flacitran|SID26754151|SID26754152|SID26725303|Luteoline|SID11112367|SID46500347|Luteolin|Digitoflavone|SID85256900|SID124882294|SID124882295|SID11112366|</t>
  </si>
  <si>
    <t>O1c2c(C(=O)C=C1c1cc(O)c(OC)cc1)c(O)cc(O)c2</t>
  </si>
  <si>
    <t>DIOSMETIN</t>
  </si>
  <si>
    <t>SID26756923|Diosmetine|Diosmetin|</t>
  </si>
  <si>
    <t>O1c2c(C(=O)C=C1c1cc(O)c(OC)cc1)c(O)cc(O[C@@H]1O[C@H](CO[C@@H]3O[C@@H](C)[C@H](O)[C@@H](O)[C@H]3O)[C@@H](O)[C@H](O)[C@H]1O)c2</t>
  </si>
  <si>
    <t>DIOSMIN</t>
  </si>
  <si>
    <t>SID50085952|Diosmin|</t>
  </si>
  <si>
    <t>O1c2c(C(=O)C=C1c1ccc(O)cc1)c(O)cc(O)c2</t>
  </si>
  <si>
    <t>APIGENIN</t>
  </si>
  <si>
    <t>SID50114379|SID121464|SID26747161|SID26752115|SID26752116|SID17389511|SID85230903|SID11113975|SID11110729|SID46500336|SID124879150|SID124879152|NSC-83244|SID26747162|SID124879148|SID50104771|SID50104773|SID11110728|SID50114380|SID50104772|SID90341029|SID124879154|SID124879155|</t>
  </si>
  <si>
    <t>O1c2c(C(=O)C=C1c1ccccc1)c(O)cc(O)c2</t>
  </si>
  <si>
    <t>CHRYSIN</t>
  </si>
  <si>
    <t>SID49674567|NSC-407436|SID26748373|SID26753724|SID477194|SID26753723|SID124882277|SID46501295|SID26748375|SID124882278|SID11112354|SID124882275|SID124882279|</t>
  </si>
  <si>
    <t>O1c2c(C(=O)C[C@H]1c1cc(O)c(OC)cc1)c(O)cc(O)c2</t>
  </si>
  <si>
    <t>HESPERETIN</t>
  </si>
  <si>
    <t>SID11112384|SID124882313|NSC-57654|SID26754195|SID56463566|SID11112385|</t>
  </si>
  <si>
    <t>O1c2c(C(=O)[C@@H](O)[C@H]1c1cc(O)c(O)cc1)c(O)cc(O)c2</t>
  </si>
  <si>
    <t>O1c2c(C(=O)[C@H](O)[C@H]1c1cc(O)c(O)c(O)c1)c(O)cc(O)c2</t>
  </si>
  <si>
    <t>O1c2c(C(=O)[C@H](O)[C@H]1c1cc(O)c(O)cc1)c(O)cc(O)c2</t>
  </si>
  <si>
    <t>(+)-TAXIFOLIN</t>
  </si>
  <si>
    <t>SID56463005|SID26719897|SID26719898|Cianidanol|SID49681666|</t>
  </si>
  <si>
    <t>O1c2c(C(=O)[C@H](O)[C@H]1c1cc3O[C@@H]([C@H](Oc3cc1)CO)c1cc(OC)c(O)cc1)c(O)cc(O)c2</t>
  </si>
  <si>
    <t>SILYBIN A</t>
  </si>
  <si>
    <t>SID144204621|Silybin A|SID50086851|SID17388738|</t>
  </si>
  <si>
    <t>O1c2c(C3c4cc(O)c(O)cc4C[C@]3(O)C1)ccc(O)c2O</t>
  </si>
  <si>
    <t>O1c2c(C=C(C(=O)C)C1=O)cccc2</t>
  </si>
  <si>
    <t>SID90486|SID56463087|SID11112551|</t>
  </si>
  <si>
    <t>O1c2c(C=C(O)C1=O)cccc2</t>
  </si>
  <si>
    <t>SID26749547|3-Hydroxycoumarin|</t>
  </si>
  <si>
    <t>O1c2c(C=CC1=O)c(OC)cc(OC)c2</t>
  </si>
  <si>
    <t>5|7-Dimethoxycoumarin|SID26748371|SID85272341|</t>
  </si>
  <si>
    <t>O1c2c(C=CC1=O)cc1c(occ1)c2OC</t>
  </si>
  <si>
    <t>METHOXSALEN</t>
  </si>
  <si>
    <t>Uvadex|SID11112313|SID17389831|SID104171301|SID99459|8-MOP|Oxsoralen-Ultra|8-Methoxypsoralen|Methoxsalen|Oxsoralen|SID50105146|SID4255217|Xanthotoxin|</t>
  </si>
  <si>
    <t>O1c2c(C=CC1=O)ccc(OC)c2C\C=C(\C)/C</t>
  </si>
  <si>
    <t>OSTHOLE</t>
  </si>
  <si>
    <t>SID22405493|SID24824097|Osthole|SID26749707|</t>
  </si>
  <si>
    <t>O1c2c(C=CC1=O)cccc2</t>
  </si>
  <si>
    <t>COUMARIN</t>
  </si>
  <si>
    <t>SID74390|SID17389959|SID56422867|2H-Chromen-2-One|SID26753034|SID26753035|SID11533015|Coumarin|</t>
  </si>
  <si>
    <t>O1c2c(CCC1(CCCC(CCCC(CCCC(C)C)C)C)C)c(C)c(O)c(C)c2C</t>
  </si>
  <si>
    <t>SID50107544|SID26749212|</t>
  </si>
  <si>
    <t>O1c2c(CC[C@]1(CCC[C@@H](CCC[C@@H](CCCC(C)C)C)C)C)c(C)c(O)c(C)c2C</t>
  </si>
  <si>
    <t>VITAMIN E</t>
  </si>
  <si>
    <t>SID26754431|SID47193687|Natopherol|Tocopheryl Acetate|d-Alpha|Alpha-tocopherol|Tocopheryl Acid Succinate|d-Alpha|Aquasol E|Tocopherol|Alpha Tocopherol|E307|Tocopheryl Acetate|dl-Alpha|Vitamin E|SID29215204|Eprolin|</t>
  </si>
  <si>
    <t>O1c2c(CC[C@]1(CCC[C@@H](CCC[C@@H](CCCC(C)C)C)C)C)c(C)c(OC(=O)CCC(O)=O)c(C)c2C</t>
  </si>
  <si>
    <t>SID50112815|SID144206109|Alpha-Tocopheryl Succinate|</t>
  </si>
  <si>
    <t>O1c2c(C[C@@H](O)[C@H]1c1cc(O)c(O)cc1)c(O)cc(O)c2</t>
  </si>
  <si>
    <t>(-)-EPICATECHIN</t>
  </si>
  <si>
    <t>SID50086732|(-)-Epicatechin|SID11110917|SID11112310|SID81066101|SID11112309|</t>
  </si>
  <si>
    <t>O1c2c(C[C@@H](OC(=O)c3cc(O)c(O)c(O)c3)[C@H]1c1cc(O)c(O)c(O)c1)c(O)cc(O)c2</t>
  </si>
  <si>
    <t>EPIGALOCATECHIN GALLATE</t>
  </si>
  <si>
    <t>SID49681655|SID26757738|(-)-Epigallocatechin Gallate|SID26719730|</t>
  </si>
  <si>
    <t>O1c2c(C[C@@H]1C(C)=C)c1O[C@H]3[C@H](c4cc(OC)c(OC)cc4OC3)C(=O)c1cc2</t>
  </si>
  <si>
    <t>ROTENONE</t>
  </si>
  <si>
    <t>SID90340839|SID11113277|SID50107019|Canex|SID85231344|SID26753652|SID144204370|Ear Mitacide|SID26753651|Goodwinol|SID104171353|SID50107017|SID124883112|Rotenone|SID87142|SID50107018|</t>
  </si>
  <si>
    <t>O1c2c(C[C@H](O)[C@H]1c1cc(O)c(O)cc1)c(O)cc(O)c2</t>
  </si>
  <si>
    <t>CIANIDANOL</t>
  </si>
  <si>
    <t>SID85231341|SID90341637|SID11113249|(+)-Catechin|Cianidol|SID50105958|Cianidanol|SID69414|SID26753531|</t>
  </si>
  <si>
    <t>O1c2c(OC1)cc-1c(CC[n+]3c-1cc1c(c3)c(OC)c(OC)cc1)c2</t>
  </si>
  <si>
    <t>BERBERINE</t>
  </si>
  <si>
    <t>SID26753128|SID11112431|SID104171310|Berberine|</t>
  </si>
  <si>
    <t>O1c2c(OC1)cc1N(N=C(C(O)=O)C(=O)c1c2)CC</t>
  </si>
  <si>
    <t>CINOXACIN</t>
  </si>
  <si>
    <t>SID56422419|SID90341598|SID50104193|SID85230984|SID50104192|Cinobac|SID855948|Cinoxacin|SID11110995|SID11110996|64716|</t>
  </si>
  <si>
    <t>O1c2c(OCC1C(=O)N1CCN(CC1)c1nc(N)c3cc(OC)c(OC)cc3n1)cccc2</t>
  </si>
  <si>
    <t>DOXAZOSIN</t>
  </si>
  <si>
    <t>Cardura|Doxazosin|SID90341261|SID50105246|SID124883384|</t>
  </si>
  <si>
    <t>O1c2c([C@H]3c4cc(O)c(O)cc4C[C@@]3(O)C1)ccc(O)c2O</t>
  </si>
  <si>
    <t>HEMATOXYLIN</t>
  </si>
  <si>
    <t>Hematoxylin|SID50109874|</t>
  </si>
  <si>
    <t>O1c2c([C@]3(C1=CC(=O)C(C(=O)C)=C3O)C)c(O)c(C)c(O)c2C(=O)C</t>
  </si>
  <si>
    <t>SID26754336|SID11113305|</t>
  </si>
  <si>
    <t>O1c2c(c(O)c(O)c(O)c2)C(=O)C=C1c1ccccc1</t>
  </si>
  <si>
    <t>BAICALEIN</t>
  </si>
  <si>
    <t>5|6|7-Trihydroxyflavone|SID85272355|Baicalein|SID26747176|SID11113153|SID50104952|SID124882853|SID124882851|SID124882850|SID11114203|</t>
  </si>
  <si>
    <t>O1c2c(c(O)c(O)c(O[C@H]3O[C@H](C(O)=O)[C@@H](O)[C@H](O)[C@H]3O)c2)C(=O)C=C1c1ccccc1</t>
  </si>
  <si>
    <t>O1c2c(c(OC)c(OC)c(OC)c2OC)C(=O)C=C1c1cc(OC)c(OC)cc1</t>
  </si>
  <si>
    <t>NOBILETIN</t>
  </si>
  <si>
    <t>SID26725105|NSC-76751|SID22405484|SID26719701|SID117869|SID26749718|</t>
  </si>
  <si>
    <t>O1c2c(c(OC)c(OC)c(OC)c2OC)C(=O)C=C1c1ccc(OC)cc1</t>
  </si>
  <si>
    <t>TANGERETIN</t>
  </si>
  <si>
    <t>SID93576934|NSC-53909|SID26749867|SID104265|</t>
  </si>
  <si>
    <t>O1c2c(cc(cc2)C(C)C)C(=O)c2cc(C(O)=O)c(nc12)N</t>
  </si>
  <si>
    <t>AMLEXANOX</t>
  </si>
  <si>
    <t>Aphthasol|AA-673|Amlexanox|SID50112726|CHX-3673|SID26719859|</t>
  </si>
  <si>
    <t>O1c2c(cc3c(oc(c3)C)c2C)C(=CC1=O)C</t>
  </si>
  <si>
    <t>TRIOXSALEN</t>
  </si>
  <si>
    <t>Trioxsalen|SID114185|Trisoralen|SID26748294|SID11112550|Trioxysalen|SID49647255|</t>
  </si>
  <si>
    <t>O1c2c(ccc(NC(=O)C3NC(=O)CC3)c2)C(=CC1=O)C</t>
  </si>
  <si>
    <t>O1c2c(ccc(O)c2)C(=CC1=O)C</t>
  </si>
  <si>
    <t>HYMECROMONE</t>
  </si>
  <si>
    <t>SID11112236|SID47193740|Hymecromone|LM-94|SID74901|Cantabiline|</t>
  </si>
  <si>
    <t>O1c2c(ccc(O)c2)C(=O)C(O)=C1c1cc(O)c(O)cc1</t>
  </si>
  <si>
    <t>FISETIN</t>
  </si>
  <si>
    <t>SID26749675|NSC-407010|SID476876|SID11113263|SID26753766|SID124883071|SID124883072|SID11113262|</t>
  </si>
  <si>
    <t>O1c2c(ccc(OC(=O)C)c2)C(=CC1=O)C</t>
  </si>
  <si>
    <t>SID14729425|SID67917|SID90470|4-Methyl Umbelliferone Acetate|4-Methylumbelliferyl Acetate|</t>
  </si>
  <si>
    <t>O1c2c(ccc3c2cccc3)C(=O)C=C1c1ccccc1</t>
  </si>
  <si>
    <t>ALPHA-NAPHTHOFLAVONE</t>
  </si>
  <si>
    <t>Alpha-Naphtholflavone|SID124882822|Alpha-Naphtoflavone|SID26754187|Alpha-Naphthoflavone|7|8-Benzoflavone|SID11113127|</t>
  </si>
  <si>
    <t>O1c2c(cccc2)C(=O)C(C(CC)c2ccccc2)=C1O</t>
  </si>
  <si>
    <t>O1c2c(cccc2)C(=O)C(O)=C1c1ccccc1</t>
  </si>
  <si>
    <t>FLAVONOL</t>
  </si>
  <si>
    <t>NCI-57653|SID26749665|NSC-57653|SID93576733|</t>
  </si>
  <si>
    <t>O1c2c(cccc2)C(=O)c2c1cccc2</t>
  </si>
  <si>
    <t>XANTHONE</t>
  </si>
  <si>
    <t>Xanthone|SID26749494|</t>
  </si>
  <si>
    <t>O1c2c(cccc2)C(O)=C(C(CC(=O)C)c2ccccc2)C1=O</t>
  </si>
  <si>
    <t>WARFARIN</t>
  </si>
  <si>
    <t>SID26754489|Jantoven|Warfarin|SID50085958|SID26748308|Coumadin|</t>
  </si>
  <si>
    <t>O1c2c(cccc2)C(O)=C(CC=2C(Oc3c(cccc3)C=2O)=O)C1=O</t>
  </si>
  <si>
    <t>DICUMAROL</t>
  </si>
  <si>
    <t>Bishydroxycoumarin|Dicoumarol|SID11112184|Dicumarol|</t>
  </si>
  <si>
    <t>O1c2c(cccc2)C(c2c1cccc2)C(OCC[N+](C(C)C)(C(C)C)C)=O</t>
  </si>
  <si>
    <t>PROPANTHELINE</t>
  </si>
  <si>
    <t>SID11111683|Propantheline|SID11112101|SID90340675|</t>
  </si>
  <si>
    <t>O1c2c-3c(cc(O)c2O)C(Oc2c-3c(cc(O)c2O)C1=O)=O</t>
  </si>
  <si>
    <t>ELLAGIC ACID</t>
  </si>
  <si>
    <t>Ellagic Acid|SID26753737|SID8139882|SID124882875|SID26748645|SID50123014|SID124882878|Benzoaric Acid|SID144204356|SID104171339|SID26748644|SID477072|SID11113162|SID26514067|</t>
  </si>
  <si>
    <t>O1c2c3[C@@H](N(CCc3cc(OC)c2OC)C)Cc2cc(Oc3ccc(C[C@@H]4N(CCc5cc(OC)c1cc45)C)cc3)c(OC)cc2</t>
  </si>
  <si>
    <t>FANCHININ</t>
  </si>
  <si>
    <t>SID124883161|SID124883162|SID124883165|SID398101|SID26754345|SID26754346|SID118059|SID26725273|NSC-77037|SID56463074|SID124883163|</t>
  </si>
  <si>
    <t>O1c2c3c4c(c(O)c2C)C(=O)C(NC(=O)/C(=C\C=C\[C@H](C)[C@H](O)[C@@H](C)[C@@H](O)[C@@H](C)[C@H](OC(=O)C)[C@H](C)[C@@H](OC)\C=C\O[C@]1(C)C3=O)/C)=C1NC2(N=C14)CCN(CC2)CC(C)C</t>
  </si>
  <si>
    <t>SID17388744</t>
  </si>
  <si>
    <t>O1c2c3c4c(c(O)c2C)C(O)=C(NC(=O)/C(=C\C=C\[C@H](C)[C@H](O)[C@@H](C)[C@@H](O)[C@@H](C)[C@H](OC(=O)C)[C@H](C)[C@@H](OC)\C=C\O[C@]1(C)C3=O)/C)C1=NC2(N=C14)CCN(CC2)CC(C)C</t>
  </si>
  <si>
    <t>SID56323065|SID26719829|</t>
  </si>
  <si>
    <t>O1c2c3c4c(c(O)c2C)C(O)=C(NC(=O)C(=CC=C[C@H](C)[C@H](O)[C@@H](C)[C@@H](O)[C@@H](C)[C@H](OC(=O)C)[C@H](C)[C@@H](OC)C=CO[C@]1(C)C3=O)C)C1=NC2(N=C14)CCN(CC2)CC(C)C</t>
  </si>
  <si>
    <t>O1c2c3c4c(c(O)c2C)c(O)c(NC(=O)/C(=C\C=C\[C@H](C)[C@H](O)[C@@H](C)[C@@H](O)[C@@H](C)[C@H](OC(=O)C)[C@H](C)[C@@H](OC)\C=C\O[C@]1(C)C3=O)/C)c(C=NN1CCN(CC1)C)c4O</t>
  </si>
  <si>
    <t>RIFAMPICIN</t>
  </si>
  <si>
    <t>BA-41166E|L-5103-LEPETIT|Rifadin|Rifampicin|Rimactane|L-5103|Rifampin|SID144204882|BA-411661E|</t>
  </si>
  <si>
    <t>O1c2c3c4c(c(O)c2C)c(O)c(NC(=O)/C(=C\C=C\[C@H](C)[C@H](O)[C@@H](C)[C@@H](O)[C@@H](C)[C@H](OC(=O)C)[C@H](C)[C@@H](OC)\C=C\O[C@]1(C)C3=O)/C)c(C=NN1CCN(CC1)C1CCCC1)c4O</t>
  </si>
  <si>
    <t>RIFAPENTINE</t>
  </si>
  <si>
    <t>Rifapentine|SID144205988|MDL-473|Priftin|Rifampin|</t>
  </si>
  <si>
    <t>O1c2c3c4c(c(O)c2C)c(O)c(NC(=O)/C(=C\C=C\[C@H](C)[C@H](O)[C@@H](C)[C@@H](O)[C@@H](C)[C@H](OC(=O)C)[C@H](C)[C@@H](OC)\C=C\O[C@]1(C)C3=O)/C)c(\C=N\N1CCN(CC1)C)c4O</t>
  </si>
  <si>
    <t>O1c2c3c4c(c(O)c2C)c(O)c(NC(=O)C(=CC=C[C@H](C)[C@H](O)[C@@H](C)[C@@H](O)[C@@H](C)[C@H](OC(=O)C)[C@H](C)[C@@H](OC)C=CO[C@]1(C)C3=O)C)c(C=NN1CCN(CC1)C1CCCC1)c4O</t>
  </si>
  <si>
    <t>O1c2c3c4c(c(O)c2C)c(O)c(NC(=O)C(=CC=C[C@H](C)[C@H](O)[C@@H](C)[C@@H](O)[C@@H](C)[C@H](OC(=O)C)[C@H](C)[C@@H](OC)C=CO[C@]1(C)C3=O)C)c1n2c(nc14)C=C(C=C2)C</t>
  </si>
  <si>
    <t>SID26719831</t>
  </si>
  <si>
    <t>O1c2cc(O)c(O)cc2C=CC1=O</t>
  </si>
  <si>
    <t>ESCULETIN</t>
  </si>
  <si>
    <t>SID87294|Esculetin|6|7-Dihydroxycoumarin|SID124882249|SID26748438|SID11112320|SID855593|</t>
  </si>
  <si>
    <t>O1c2cc(O)c(OC)cc2C=CC1=O</t>
  </si>
  <si>
    <t>SCOPOLETIN</t>
  </si>
  <si>
    <t>SID475672|SID11112240|SID56463587|NSC-405647|SID26748639|SID26753736|SID11112241|</t>
  </si>
  <si>
    <t>O1c2cc(O)c(O[C@@H]3O[C@H](CO)[C@@H](O)[C@H](O)[C@H]3O)cc2C=CC1=O</t>
  </si>
  <si>
    <t>ESCULIN</t>
  </si>
  <si>
    <t>SID26754256|NSC-26665|</t>
  </si>
  <si>
    <t>O1c2cc(O)ccc2C=CC1=O</t>
  </si>
  <si>
    <t>UMBELLIFERONE</t>
  </si>
  <si>
    <t>SID26749818|SID89850282|SID82592|NSC-019790|</t>
  </si>
  <si>
    <t>O1c2cc(ccc2OC1)CN1CCN(CC1)c1ncccn1</t>
  </si>
  <si>
    <t>PIRIBEDIL</t>
  </si>
  <si>
    <t>SID11111687|ET-495|EU-4200|SID90341513|Piribedil|SID11113867|SID11111688|SID104171222|</t>
  </si>
  <si>
    <t>O1c2cc(ccc2OC1)[C@H]1N2[C@H](Cc3c1[nH]c1c3cccc1)C(=O)N(CC2=O)C</t>
  </si>
  <si>
    <t>TADALAFIL</t>
  </si>
  <si>
    <t>IC351|SID49666420|IC-351|Tadalafil|Cialis|SID26719828|Adcirca|</t>
  </si>
  <si>
    <t>O1c2cc(ccc2OC1)\C=C\C(O)C(C)(C)C</t>
  </si>
  <si>
    <t>STIRIPENTOL</t>
  </si>
  <si>
    <t>Stiripentol|BCX-2600|SID124896656|</t>
  </si>
  <si>
    <t>O1c2cc(ccc2OC1)\C=C\C=C\C(=O)N1CCCCC1</t>
  </si>
  <si>
    <t>PIPERINE</t>
  </si>
  <si>
    <t>SID26748436|SID26753730|Piperine|SID56463241|</t>
  </si>
  <si>
    <t>O=C(C(C)(C)c1cccnc1)c1cccnc1</t>
  </si>
  <si>
    <t>METYRAPONE</t>
  </si>
  <si>
    <t>Metopirone|Metyrapone|SID56323421|SID124881925|SID11112126|</t>
  </si>
  <si>
    <t>O=C(C)c1c2[nH]c3c(c2ccc1)cccc3</t>
  </si>
  <si>
    <t>O=C(C)c1cc(ccc1C)C(C)C</t>
  </si>
  <si>
    <t>O=C(CC#N)c1nccc2c1[nH]c1c2cccc1</t>
  </si>
  <si>
    <t>O=C(CN)c1ccccc1</t>
  </si>
  <si>
    <t>SID124893583</t>
  </si>
  <si>
    <t>O=C(CN=[N+]=[N-])c1nccc2c1[nH]c1c2cccc1</t>
  </si>
  <si>
    <t>O=C(C[C@@H]1N(C)[C@@H](CCC1)C[C@H](O)c1ccccc1)c1ccccc1</t>
  </si>
  <si>
    <t>(-)-LOBELINE</t>
  </si>
  <si>
    <t>SID26751618|Alpha-Lobeline|Alpha-Lobeline Hydrochloride|SID90340738|SID50104285|(-)-Lobeline|SID29215024|SID144204451|</t>
  </si>
  <si>
    <t>O=C(N(C)C)Cc1n2C=C(C=Cc2nc1-c1ccc(cc1)C)C</t>
  </si>
  <si>
    <t>ZOLPIDEM</t>
  </si>
  <si>
    <t>Ambien|SID26749064|Zolpidem|SID144205024|</t>
  </si>
  <si>
    <t>O=C(N(CC#C)C)c1ccc(cc1)CNC(=O)c1cc2c(cc1)cccc2</t>
  </si>
  <si>
    <t>O=C(N(CC#C)C)c1ccc(cc1)CNC(=O)c1cc2ncccc2cc1</t>
  </si>
  <si>
    <t>O=C(N(CC)CC)N1CCN(CC1)C</t>
  </si>
  <si>
    <t>DIETHYLCARBAMAZINE</t>
  </si>
  <si>
    <t>Hetrazan|Diethylcarbamazine|</t>
  </si>
  <si>
    <t>O=C(N(CC)CC)[C@@]1(C[C@@H]1CN)c1ccccc1</t>
  </si>
  <si>
    <t>MILNACIPRAN</t>
  </si>
  <si>
    <t>Milnacipran</t>
  </si>
  <si>
    <t>O=C(N(CC)c1cc(ccc1)C=1n2ncc(c2N=CC=1)C#N)C</t>
  </si>
  <si>
    <t>ZALEPLON</t>
  </si>
  <si>
    <t>Sonata|SID29216208|L-846|LJC 10846|CL-284846|L846|ZAL-846|SID26719706|LJC-10846|Zaleplon|</t>
  </si>
  <si>
    <t>O=C(N(CC)c1ccccc1C)\C=C\C</t>
  </si>
  <si>
    <t>CROTAMITON</t>
  </si>
  <si>
    <t>Eurax|SID26747823|SID85148369|SID26719689|Crotan|Crotamiton|</t>
  </si>
  <si>
    <t>O=C(N(O)CCCCCNC(=O)CCC(=O)N(O)CCCCCN)CCC(=O)NCCCCCN(O)C(=O)C</t>
  </si>
  <si>
    <t>DEFEROXAMINE</t>
  </si>
  <si>
    <t>Desferrioxamine|Deferoxamine|SID93577020|Desferal|</t>
  </si>
  <si>
    <t>O=C(N)C(CCN(C(C)C)C(C)C)(c1ccccc1)c1ncccc1</t>
  </si>
  <si>
    <t>DISOPYRAMIDE</t>
  </si>
  <si>
    <t>SID50106174|SID85231006|Disopyramide|Norpace|SID85148360|SC-7031|SID90340571|SID90341382|Rythmodan|Norpace Cr|</t>
  </si>
  <si>
    <t>O=C(N)C(CC[N+]1(CCCCC1)C)(c1ccccc1)c1ccccc1</t>
  </si>
  <si>
    <t>FENPIVERINIUM</t>
  </si>
  <si>
    <t>Fenpiverinium|SID26758043|</t>
  </si>
  <si>
    <t>O=C(N)N1c2c(C=Cc3c1cccc3)cccc2</t>
  </si>
  <si>
    <t>CARBAMAZEPINE</t>
  </si>
  <si>
    <t>Carbatrol|Equetro|Tegretol-Xr|Tegretol Xr|SID17389547|Tegretol|G-32883|SID56422193|SID26751576|Epitol|Carbamazepine|SID90341617|SID11110939|SID11110940|SID56314829|SID855967|Teril|SID50104203|SID124879629|</t>
  </si>
  <si>
    <t>O=C(N)[C@H]1NCCC1</t>
  </si>
  <si>
    <t>O=C(N)c1cccnc1</t>
  </si>
  <si>
    <t>NIACINAMIDE</t>
  </si>
  <si>
    <t>SID29215143|SID8139965|Nicotinic Acid Amide|Nicotylamide|Niacinamide|Nicotinamide|</t>
  </si>
  <si>
    <t>O=C(N)c1nccnc1</t>
  </si>
  <si>
    <t>PYRAZINAMIDE</t>
  </si>
  <si>
    <t>SID121269831|SID90341475|SID50105394|Pyrazinecarboxamide|SID26752748|SID8139959|SID17389747|Pyrazinamide|SID11111657|</t>
  </si>
  <si>
    <t>O=C(NC(C)C)c1ccc(cc1)CNNC</t>
  </si>
  <si>
    <t>PROCARBAZINE</t>
  </si>
  <si>
    <t>Matulane|Procarbazine|SID11112335|</t>
  </si>
  <si>
    <t>O=C(NC(CCCNC(N)=N)C(=O)Nc1ccc([N+](=O)[O-])cc1)c1ccccc1</t>
  </si>
  <si>
    <t>O=C(NC(Cc1ccccc1)(C)c1ccccc1)CN</t>
  </si>
  <si>
    <t>REMACEMIDE</t>
  </si>
  <si>
    <t>Remacemide</t>
  </si>
  <si>
    <t>O=C(NC1C[C@@H]2N([C@H](C1)CCC2)C)c1nn(c2c1cccc2)C</t>
  </si>
  <si>
    <t>O=C(NCCCCCC(=O)N(CC#C)C)c1cc2c(cc1)cccc2</t>
  </si>
  <si>
    <t>O=C(NCCCCCC(=O)N(CC#C)C)c1cc2ncccc2cc1</t>
  </si>
  <si>
    <t>O=C(NCCCCCC(=O)NCCN(CC#N)C)c1cc2c(cc1)cccc2</t>
  </si>
  <si>
    <t>O=C(NCCCCCC(=O)NCCN(CC#N)C)c1cc2ncccc2cc1</t>
  </si>
  <si>
    <t>O=C(NCCCCCC(=O)NN)c1cc2c(cc1)cccc2</t>
  </si>
  <si>
    <t>O=C(NCCCCCC(=O)NN)c1cc2ncccc2cc1</t>
  </si>
  <si>
    <t>O=C(NCCCCCC(=O)NNC(=O)CC)c1cc2ncccc2cc1</t>
  </si>
  <si>
    <t>O=C(NCCCCCC(=O)NNC(=O)c1ccccc1)c1cc2ncccc2cc1</t>
  </si>
  <si>
    <t>O=C(NCCCCCC(=O)NNC(=O)c1cccnc1)c1cc2ncccc2cc1</t>
  </si>
  <si>
    <t>O=C(NCCCCCC(=O)NNc1ncccc1)c1cc2c(cc1)cccc2</t>
  </si>
  <si>
    <t>O=C(NCCCCCC(=O)NNc1ncccc1)c1cc2ncccc2cc1</t>
  </si>
  <si>
    <t>O=C(NCCCCCCC(=O)NO)c1cnc(nc1)N(c1ccccc1)c1ccccc1</t>
  </si>
  <si>
    <t>RICOLINOSTAT</t>
  </si>
  <si>
    <t>Ricolinostat</t>
  </si>
  <si>
    <t>O=C(NCCCCCCNC(=O)C)C</t>
  </si>
  <si>
    <t>HEXAMETHYLENEBISACETAMIDE</t>
  </si>
  <si>
    <t>SID26719684|SID855828|SID400297|Hexamethylenebisacetamide|SID56422195|</t>
  </si>
  <si>
    <t>O=C(NCCCN(C)C)c1c2c(ncc1-c1cccnc1)cccc2</t>
  </si>
  <si>
    <t>SID508788</t>
  </si>
  <si>
    <t>O=C(NCCCN(C)C)c1n(cc(NC(=O)CCn2c3ncnc(N)c3nc2)c1)C</t>
  </si>
  <si>
    <t>O=C(NCCN(C)C)c1nccc2c1[nH]c1c2cccc1</t>
  </si>
  <si>
    <t>O=C(NCCN(CC)CC)c1ccc(N)cc1</t>
  </si>
  <si>
    <t>PROCAINAMIDE</t>
  </si>
  <si>
    <t>Pronestyl|SID11111691|Procainamide|SID90340905|Procan|SID26751611|Procanbid|Pronestyl-SR|SID11111690|Procapan|SID144203797|</t>
  </si>
  <si>
    <t>O=C(NCc1ccc(cc1)C(=O)NCCN(CC#N)C)c1cc2c(cc1)cccc2</t>
  </si>
  <si>
    <t>O=C(NCc1ccc(cc1)C(=O)NN)c1cc2c(cc1)cccc2</t>
  </si>
  <si>
    <t>O=C(NCc1ccc(cc1)C(=O)NN)c1cc2ncccc2cc1</t>
  </si>
  <si>
    <t>O=C(NCc1ccc(cc1)C(=O)NNC(=O)CC)c1cc2c(cc1)cccc2</t>
  </si>
  <si>
    <t>O=C(NCc1ccc(cc1)C(=O)NNC(=O)CC)c1cc2ncccc2cc1</t>
  </si>
  <si>
    <t>O=C(NCc1ccc(cc1)C(=O)NNC(=O)c1ccccc1)c1cc2c(cc1)cccc2</t>
  </si>
  <si>
    <t>O=C(NCc1ccc(cc1)C(=O)NNC(=O)c1ccccc1)c1cc2ncccc2cc1</t>
  </si>
  <si>
    <t>O=C(NCc1ccc(cc1)C(=O)NNC(=O)c1cccnc1)c1cc2c(cc1)cccc2</t>
  </si>
  <si>
    <t>O=C(NCc1ccc(cc1)C(=O)NNC(=O)c1cccnc1)c1cc2ncccc2cc1</t>
  </si>
  <si>
    <t>O=C(NCc1ccc(cc1)C(=O)NNc1ncccc1)c1cc2c(cc1)cccc2</t>
  </si>
  <si>
    <t>O=C(NCc1ccc(cc1)C(=O)NNc1ncccc1)c1cc2ncccc2cc1</t>
  </si>
  <si>
    <t>O=C(NN)c1ccncc1</t>
  </si>
  <si>
    <t>ISONIAZID</t>
  </si>
  <si>
    <t>Rimifon|INH|SID855769|SID121269825|Hyzyd|SID17389848|Dow-Isoniazid|Isoniazid|Nydrazid|Stanozide|SID11112128|SID124881933|Laniazid|SID26746988|SID26751504|Isonicotinylhydrazine|SID49718175|</t>
  </si>
  <si>
    <t>O=C(NNCCC(=O)NCc1ccccc1)c1ccncc1</t>
  </si>
  <si>
    <t>NIALAMIDE</t>
  </si>
  <si>
    <t>SID855800|SID144203759|SID56422110|Nialamide|SID50104074|SID11111522|SID11111523|SID85231151|SID90341025|</t>
  </si>
  <si>
    <t>O=C(NO)C</t>
  </si>
  <si>
    <t>ACETOHYDROXAMIC ACID</t>
  </si>
  <si>
    <t>Acetohydroxamic acid|SID144204853|Acetohydroxamic Acid|Lithostat|SID26747835|</t>
  </si>
  <si>
    <t>O=C(NO)C=Cc1ccc(cc1)CNCCc1c2c([nH]c1C)cccc2</t>
  </si>
  <si>
    <t>PANOBINOSTAT</t>
  </si>
  <si>
    <t>LBH589|Panobinostat|</t>
  </si>
  <si>
    <t>O=C(NO)N</t>
  </si>
  <si>
    <t>HYDROXYUREA</t>
  </si>
  <si>
    <t>SID26747533|SID85231078|SID50106399|Hydroxyurea|Droxia|Hydroxycarbamide|SID90752|SID11111283|SQ-1089|SID57260119|SID90341681|Hydrea|</t>
  </si>
  <si>
    <t>O=C(NO)\C=C\c1cc2nc(n(c2cc1)CCN(CC)CC)CCCC</t>
  </si>
  <si>
    <t>O=C(NO)c1ccc(NC(=O)[C@@H](C(C)C)c2ccccc2)cc1</t>
  </si>
  <si>
    <t>O=C(NO)c1ccc(cc1)Cn1c2CCN(Cc2c2c1cccc2)C</t>
  </si>
  <si>
    <t>TUBASTATIN A</t>
  </si>
  <si>
    <t>Tubastatin A</t>
  </si>
  <si>
    <t>O=C(NO)c1cnc(nc1)N1CCC(CC1)CNCc1c2c(n(c1)C)cccc2</t>
  </si>
  <si>
    <t>QUISINOSTAT</t>
  </si>
  <si>
    <t>JNJ-26481585|Quisinostat|</t>
  </si>
  <si>
    <t>O=C(N[C@@H](CC(=O)N)C(=O)N[C@H]([C@H](O)CN1C[C@@H]2[C@H](C[C@H]1C(=O)NC(C)(C)C)CCCC2)Cc1ccccc1)c1nc2c(cc1)cccc2</t>
  </si>
  <si>
    <t>SAQUINAVIR</t>
  </si>
  <si>
    <t>Saquinavir|Ro-318959000|Ro-31-8959|Invirase|Fortovase|SID49666064|</t>
  </si>
  <si>
    <t>O=C(Nc1c(cccc1C)C)C(N)C</t>
  </si>
  <si>
    <t>TOCAINIDE</t>
  </si>
  <si>
    <t>W-36095|Tocainide|Tonocard|SID90341559|</t>
  </si>
  <si>
    <t>O=C(Nc1c(cccc1C)C)C1N(CCCC1)C</t>
  </si>
  <si>
    <t>MEPIVACAINE</t>
  </si>
  <si>
    <t>Mepivacaine|Polocaine|Polocaine-Mpf|Carbocaine|</t>
  </si>
  <si>
    <t>O=C(Nc1c(cccc1C)C)CN(CC)CC</t>
  </si>
  <si>
    <t>LIDOCAINE</t>
  </si>
  <si>
    <t>Lidocaine|Lidopen|Terramycin|SID11111384|Alphacaine|Anestacon|Lidocaton|Lignostab|SID11111385|Lidoderm|SID104171182|SID26751483|SID855682|Octocaine|Embolex|Iontocaine|Lignocaine|Dentipatch|Lignocaine Hcl|SID90340642|SID56422194|SID26751484|Xylocaine|LMX|</t>
  </si>
  <si>
    <t>O=C(Nc1c(cccc1C)C)[C@H]1N(CCCC1)CCC</t>
  </si>
  <si>
    <t>ROPIVACAINE</t>
  </si>
  <si>
    <t>SID26758019|Ropivacaine|</t>
  </si>
  <si>
    <t>O=C(Nc1cc(NC(=O)NCc2ccncc2)ccc1C)NCc1ccncc1</t>
  </si>
  <si>
    <t>O=C(Nc1cc(Nc2nc(ccn2)-c2cccnc2)c(cc1)C)c1ccc(cc1)CN1CCN(CC1)C</t>
  </si>
  <si>
    <t>IMATINIB</t>
  </si>
  <si>
    <t>SID124892209|Gleevec|SID103905596|STI-571|Imatinib|SID50100104|SID124892208|SID29215405|SID124892207|SID26755316|</t>
  </si>
  <si>
    <t>O=C(Nc1cc(ccc1)C)CCc1ccc(N2C(N=C(N=C2N)N)(C)C)cc1</t>
  </si>
  <si>
    <t>O=C(Nc1cc(ccc1)C=1NCCN=1)c1cc(ccc1)C(=O)Nc1cc(ccc1)C=1NCCN=1</t>
  </si>
  <si>
    <t>O=C(Nc1cc(n(c1)C)C(=O)NCCC(N)=N)c1n(cc(NC(=O)CNC(N)=N)c1)C</t>
  </si>
  <si>
    <t>NETROPSIN</t>
  </si>
  <si>
    <t>Netropsin</t>
  </si>
  <si>
    <t>O=C(Nc1ccc(cc1)C1=NC(CN1)C)NCCCNC(=O)Nc1ccc(cc1)C1=NC(CN1)C</t>
  </si>
  <si>
    <t>O=C(Nc1ccc(cc1)C=1NCCN=1)CCC(=O)Nc1ccc(cc1)C=1NCCN=1</t>
  </si>
  <si>
    <t>O=C(Nc1ccccc1)CCCCCCC(=O)NO</t>
  </si>
  <si>
    <t>VORINOSTAT</t>
  </si>
  <si>
    <t>Vorinostat|SID104171411|SID124893442|SID144207172|SID49645508|Zolinza|</t>
  </si>
  <si>
    <t>O=C(Nc1ccccc1)Nc1ccccc1</t>
  </si>
  <si>
    <t>SID93576666|SID26747341|SID103904380|SID103904397|SID17389030|1|3-Diphenyl-Urea|1|3-Diphenylurea|</t>
  </si>
  <si>
    <t>O=C(Nc1ccccc1C)C(NCCC)C</t>
  </si>
  <si>
    <t>PRILOCAINE</t>
  </si>
  <si>
    <t>SID90341069|Citanest|Prilocaine|</t>
  </si>
  <si>
    <t>O=C(Nc1ccccc1N)c1ccc(NC(=O)C)cc1</t>
  </si>
  <si>
    <t>TACEDINALINE</t>
  </si>
  <si>
    <t>Tacedinaline|GOE-5549|CI-994|PD-123654|</t>
  </si>
  <si>
    <t>O=C(Nc1ncccc1)CCCCCCC(=O)NO</t>
  </si>
  <si>
    <t>Octanedioic acid hydroxyamide pyridin-2-ylamide</t>
  </si>
  <si>
    <t>O=C(OCC(COC(=O)NC(C)C)(C)CCC)N</t>
  </si>
  <si>
    <t>O=C([C@@H](\C=C(/C=C\C(=O)NO)\C)C)c1ccc(N(C)C)cc1</t>
  </si>
  <si>
    <t>O=C([O-])C[C@@H](O)C[N+](C)(C)C</t>
  </si>
  <si>
    <t>LEVOCARNITINE</t>
  </si>
  <si>
    <t>Levocarnitine Chloride|Bicarnesine|Carnitor|SID56320718|Carnitor Sf|Vitamin Bt|Carnitine|Levocarnitine|</t>
  </si>
  <si>
    <t>O=C(c1nccc2c1[nH]c1c2cccc1)[CH-][N+]#N</t>
  </si>
  <si>
    <t>O=C(n1c2c(c3c1cccc3)ccnc2C)C</t>
  </si>
  <si>
    <t>O=C/1c2c(N\C\1=C\1/c3c(NC/1=O)cccc3)cccc2</t>
  </si>
  <si>
    <t>INDIRUBIN</t>
  </si>
  <si>
    <t>SID26683720|Indirubin|</t>
  </si>
  <si>
    <t>O=C1C(=C1c1ccccc1)c1ccccc1</t>
  </si>
  <si>
    <t>SID26719757|SID29217871|SID144205875|</t>
  </si>
  <si>
    <t>O=C1C2=Nc3n(nnn3)N=C2c2c1cccc2</t>
  </si>
  <si>
    <t>O=C1C2=Nn3c(nnc3N)N=C2c2c1cccc2</t>
  </si>
  <si>
    <t>O=C1C=C(C)C(=O)C=C1C(C)C</t>
  </si>
  <si>
    <t>THYMOQUINONE</t>
  </si>
  <si>
    <t>Thymoquinone</t>
  </si>
  <si>
    <t>O=C1C=C(n2c3c1nccc3c1c2cccc1)C</t>
  </si>
  <si>
    <t>O=C1C=C2CC[C@@H]3[C@@H]([C@]2(C=C1)C)C(=O)C[C@]1([C@H]3CC[C@]1(O)C(=O)CO)C</t>
  </si>
  <si>
    <t>PREDNISONE</t>
  </si>
  <si>
    <t>Meticorten|Prednisone Intensol|Rayos|SID144204565|SID17389753|Deltasone|Paracort|SID50085971|Orasone|Delta-Dome|Cortan|Sterapred|SID75351|SID56314869|Delta-dome|Fernisone|Liquid Pred|Prednicen-M|Prednisone|Servisone|</t>
  </si>
  <si>
    <t>O=C1C=C2CC[C@@H]3[C@@H]([C@]2(C=C1)C)[C@@H](O)C[C@]1([C@H]3CC[C@]1(O)C(=O)CO)C</t>
  </si>
  <si>
    <t>PREDNISOLONE</t>
  </si>
  <si>
    <t>SID50085972|Pediapred|Meti-derm|Desowen|Hydeltra-Tba|Pred-G|Servisone|Fernisolone-P|Meti-Derm|Meticortelone|Tridesilon|Delta-cortef|Poly-Pred|Prednisolone|Prelone|Verdeso|Hydeltra|Cortalone|Delta-Dome|Dermatop|Sterane|Delta-Cortef|Neo-Delta-Cortef|SID144204880|</t>
  </si>
  <si>
    <t>O=C1C=C2CC[C@@H]3[C@@H]([C@]2(C=C1)C)[C@@H](O)C[C@]1([C@H]3CC[C@]1(O)C(=O)COC(=O)C)C</t>
  </si>
  <si>
    <t>PREDNISOLONE ACETATE</t>
  </si>
  <si>
    <t>Sterane|Pred Mild|Pred Forte|Meticortelone|Flo-Pred|Econopred|Omnipred|SID56422451|Prednisolone Acetate|Prednisolone acetate|SID855649|</t>
  </si>
  <si>
    <t>O=C1C=C2CC[C@@H]3[C@@H]([C@]2(C=C1)C)[C@@H](O)C[C@]1([C@H]3CC[C@]1(O)C(=O)COC(=O)CCC(O)=O)C</t>
  </si>
  <si>
    <t>PREDNISOLONE HEMISUCCINATE</t>
  </si>
  <si>
    <t>Prednisolone Succinate|Prednisolone Hemisuccinate|</t>
  </si>
  <si>
    <t>O=C1C=C2[C@@]([C@@H]3[C@H]([C@@H]4CC[C@](O)(C(=O)CO)[C@]4(C[C@@H]3O)C)C[C@@H]2C)(C=C1)C</t>
  </si>
  <si>
    <t>METHYLPREDNISOLONE</t>
  </si>
  <si>
    <t>Depo-Medrol|SID855789|U-67590A|SID82706|A-Methapred|M-Predrol|Methylprednisolone|Solu-Medrol|SID56424125|Medrol|</t>
  </si>
  <si>
    <t>O=C1C=C2[C@@]([C@@H]3[C@H]([C@@H]4CC[C@](O)(C(=O)COC(=O)C)[C@]4(C[C@@H]3O)C)C[C@@H]2C)(C=C1)C</t>
  </si>
  <si>
    <t>SID50085428</t>
  </si>
  <si>
    <t>O=C1C=Cn2c3c1[n+](ccc3c1c2cccc1)C</t>
  </si>
  <si>
    <t>O=C1C=Cn2c3c1nccc3c1c2cccc1</t>
  </si>
  <si>
    <t>O=C1C=Cn2c3c1nccc3c1cc([N+](=O)[O-])ccc12</t>
  </si>
  <si>
    <t>O=C1CCC2=C3[C@H]([C@@H]4CC[C@](OC(=O)C)(C(=O)C)[C@]4(C[C@@H]3c3ccc(N(C)C)cc3)C)CCC2=C1</t>
  </si>
  <si>
    <t>ULIPRISTAL ACETATE</t>
  </si>
  <si>
    <t>Ulipristal acetate|VA2914|CDB-2914|Ellaone|ella|Ulipristal Acetate|</t>
  </si>
  <si>
    <t>O=C1CCCC1Cc1ccc(cc1)C(C(O)=O)C</t>
  </si>
  <si>
    <t>LOXOPROFEN</t>
  </si>
  <si>
    <t>Loxomac|Loxoprofen|SID50106490|SID90341428|Oxeno|Loxoprofen Sodium|Loxonin|SID85231106|</t>
  </si>
  <si>
    <t>O=C1CC[C@@H]2[C@@H]3[C@H]([C@@H]4CC[C@@](O)(C#C)[C@]4(CC3)C)CCC2=C1</t>
  </si>
  <si>
    <t>NORETHINDRONE</t>
  </si>
  <si>
    <t>Nor-Qd|SID144204875|Combipatch|Errin|Micronor|Heather|Camila|Norethindrone|Norlutate|Femhrt|SID49647479|Activella|Aygestin|Norethisterone|Norlutin|Norethidrone|</t>
  </si>
  <si>
    <t>O=C1CC[C@@H]2[C@@H]3[C@H]([C@@H]4CC[C@@](O)(C#C)[C@]4(CC3)CC)CCC2=C1</t>
  </si>
  <si>
    <t>LEVONORGESTREL</t>
  </si>
  <si>
    <t>Norplant System|SID29215264|SID56422866|Sprintec|Ovrette|Prefest|Previfem|Skyla|Plan B|Tri-Previfem|Tri-Sprintec|SID11532896|Mirena|Norplant|WY-5104|Plan B One-Step|SID26719646|Levonorgestrel|Norplant Ii|WY-3707|</t>
  </si>
  <si>
    <t>O=C1CC[C@@H]2[C@@H]3[C@H]([C@@H]4CC[C@@](OC(=O)C)(C#C)[C@]4(CC3)C)CCC2=C1</t>
  </si>
  <si>
    <t>NORETHINDRONE ACETATE</t>
  </si>
  <si>
    <t>Aygestin|Norethindrone Acetate|Norethindrone acetate|SID144206922|Norethidrone Acetate|Norlutate|SID29215468|</t>
  </si>
  <si>
    <t>O=C1CC[C@@H]2[C@@H]3[C@H]([C@@H]4CC[C@H](O)[C@]4(CC3)C)CCC2=C1</t>
  </si>
  <si>
    <t>NANDROLONE</t>
  </si>
  <si>
    <t>Durabolin|Nandrolin|Nortestosterone|Anabolin Forte|SID85148374|Nandrolone|SID29215354|SID144206750|SID144206718|Deca-Durabolin|</t>
  </si>
  <si>
    <t>O=C1CC[C@@]2([C@@H]3[C@H]([C@@H]4CC[C@@](O)(C)[C@]4(CC3)C)CCC2=C1)C</t>
  </si>
  <si>
    <t>METHYLTESTOSTERONE</t>
  </si>
  <si>
    <t>Oreton|SID17388912|SID56463771|SID144206712|Metandren|SID26719668|Android 25|Testred|Android|Android 5|Methyltestosterone|Methitest|Oreton Methyl|SID144214019|SID144206713|Android 10|Virilon|</t>
  </si>
  <si>
    <t>O=C1CC[C@@]2([C@@H]3[C@H]([C@@H]4CC[C@H](C(=O)C)[C@]4(CC3)C)CCC2=C1)C</t>
  </si>
  <si>
    <t>PROGESTERONE</t>
  </si>
  <si>
    <t>SID56424141|Progestin|SID855688|Regumate|SID50104007|SID26751486|Progestasert|SID26751485|Gesterol|SID50104004|SID17388760|Prometrium|Syngestrone|SID50104005|SID90340816|Crinone|SID75083|SID144206708|Endometrin|Progesterone|SID17389514|SID26719639|</t>
  </si>
  <si>
    <t>O=C1CC[C@@]2([C@@H]3[C@H]([C@@H]4CC[C@H](C(=O)C)[C@]4(C[C@@H]3O)C)C[C@@H](C2=C1)C)C</t>
  </si>
  <si>
    <t>MEDRYSONE</t>
  </si>
  <si>
    <t>U-8471|SID144204077|HMS|SID11533031|Medrysone|SID56423131|Hydroxymesterone|</t>
  </si>
  <si>
    <t>O=C1CC[C@@]2([C@@H]3[C@H]([C@@H]4CC[C@H](C(=O)COC(=O)C(C)(C)C)[C@]4(CC3)C)CCC2=C1)C</t>
  </si>
  <si>
    <t>DESOXYCORTICOSTERONE PIVALATE</t>
  </si>
  <si>
    <t>Desoxycorticosterone Pivalate|Desoxycorticosterone pivalate|Percorten|</t>
  </si>
  <si>
    <t>O=C1CC[C@@]2([C@@H]3[C@H]([C@@H]4CC[C@H](O)[C@]4(CC3)C)CCC2=C1)C</t>
  </si>
  <si>
    <t>TESTOSTERONE</t>
  </si>
  <si>
    <t>Axiron|Androderm|Fortesta|Testoderm|Testosterone|SID50085980|Androgel|Depo-Testosterone|Striant|Testim|Testoderm tts|Androgel 1%|SID56462804|Depo-Testadiol|Testim 1%|Testopel|Delatestryl|SID17389513|</t>
  </si>
  <si>
    <t>O=C1CC[C@@]2([C@@H]3[C@H]([C@@H]4CC[C@](O)(C(=O)C)[C@]4(CC3)C)C[C@@H](C2=C1)C)C</t>
  </si>
  <si>
    <t>SID144206952|SID56422093|SID855830|</t>
  </si>
  <si>
    <t>O=C1CC[C@@]2([C@@H]3[C@H]([C@@H]4CC[C@](O)(C(=O)CO)[C@]4(C[C@@H]3O)C)CCC2=C1)C</t>
  </si>
  <si>
    <t>HYDROCORTISONE</t>
  </si>
  <si>
    <t>Cetacort|Flexicort|Hi-Cor|Magnacort|Nogenic hc|Anucort-Hc|SID90341326|SID26751519|SID29215010|Colocort|Hytone|Penecort|Texacort|SID75748|A-Hydrocort|Ala-Scalp|Cortisol|Cortril|Hc|Ophthocort|Pandel|Terra-Cortril|SID26751520|Anusol hc|Cor-Oticin|Cort-Dome|Hydrocortisone|Hydrocortone|Nutracort|SID85148352|Acticort|Aeroseb-Hc|Balneol-Hc|Cortifoam|Glycort|Hc #1|Hc #4|Hydro-Rx|Proctocort|Anusol-Hc|SID56422453|Cortef|Cortenema|Dermacort|Micort-HC|Synacort|U-Cort|Westcort|Ala-Cort|Beta-Hc|Eldecort|Epicort|Neo-Cortef|Solu-Cortef|SID855803|Cortone|H-Cort|Hydrocortisone In Absorbase|Stie-Cort|Locoid|</t>
  </si>
  <si>
    <t>O=C1CC[C@@]2([C@@H]3[C@H]([C@@H]4CC[C@](O)(C(=O)COC(=O)C)[C@]4(CC3=O)C)CCC2=C1)C</t>
  </si>
  <si>
    <t>CORTISONE ACETATE</t>
  </si>
  <si>
    <t>Cortisone Acetate|SID29214995|Cortisone acetate|SID90341460|Cortone|SID50103888|Cortisone|SID855514|</t>
  </si>
  <si>
    <t>O=C1CC[C@@]2([C@@H]3[C@H]([C@@H]4CC[C@](O)(C(=O)COC(=O)C)[C@]4(C[C@@H]3O)C)CCC2=C1)C</t>
  </si>
  <si>
    <t>HYDROCORTISONE ACETATE</t>
  </si>
  <si>
    <t>Cortef Acetate|Hydrocortisone Acetate|Hemsol-Hc|Hydrocortone|Cortril|SID56422202|Cortifoam|Micort-Hc|Orabase Hca|Dricort|Hydrocortisone acetate|SID855532|</t>
  </si>
  <si>
    <t>O=C1CC[C@@]2([C@@H]3[C@H]([C@@H]4CC[C@](O)(C(=O)COC(=O)CCC(O)=O)[C@]4(C[C@@H]3O)C)CCC2=C1)C</t>
  </si>
  <si>
    <t>HYDROCORTISONE HEMISUCCINATE</t>
  </si>
  <si>
    <t>Solu-Cortef|SID56422426|Hydrocortisone Succinate|SID855704|Hydrocortisone Hemisuccinate|NSC-7576|Hydrocortisone succinate|</t>
  </si>
  <si>
    <t>O=C1CC[C@@]2([C@@H]3[C@H]([C@@H]4CC[C@](OC(=O)C)(C(=O)C)[C@]4(CC3)C)C[C@@H](C2=C1)C)C</t>
  </si>
  <si>
    <t>MEDROXYPROGESTERONE ACETATE</t>
  </si>
  <si>
    <t>Amen|SID144204872|Prempro|Provera|SID855664|SID56422500|Medroxyprogesterone|Medroxyprogesterone acetate|Depo-Provera|SID17388931|SID26751478|Lunelle|Curretab|Cycrin|Depo-Subq Provera 104|Medroxiprogesterone Acetate|Medroxyprogesterone Acetate|</t>
  </si>
  <si>
    <t>O=C1CC[C@@]2([C@@H]3[C@H]([C@@H]4CC[C@](OC(=O)CCCCC)(C(=O)C)[C@]4(CC3)C)CCC2=C1)C</t>
  </si>
  <si>
    <t>HYDROXYPROGESTERONE CAPROATE</t>
  </si>
  <si>
    <t>Hydroxyprogesterone|Hydroxyprogesterone Caproate|Oxiprogesterone Caproate|SID144207051|Delalutin|Makena|SID56424128|SID855528|</t>
  </si>
  <si>
    <t>O=C1CC[C@H]2[C@H]3[C@H](CC[C@]12C)[C@@]1(C(C[C@@H](O)CC1)=CC3)C</t>
  </si>
  <si>
    <t>PRASTERONE</t>
  </si>
  <si>
    <t>Dehydroandrosterone|SID50106136|Prasterone|SID50106135|SID75250|SID144204773|SID26753548|SID29215152|SID56320669|</t>
  </si>
  <si>
    <t>O=C1CC[C@]2([C@H](C1)CC[C@H]1[C@@H]3CC[C@@](O)(C)[C@]3(CC[C@@H]12)C)C</t>
  </si>
  <si>
    <t>MESTANOLONE</t>
  </si>
  <si>
    <t>Mestanolone|SID26719703|</t>
  </si>
  <si>
    <t>O=C1CCn2c3c1nccc3c1c2cccc1</t>
  </si>
  <si>
    <t>O=C1C[C@H]2CC[C@]1(C)C2(C)C</t>
  </si>
  <si>
    <t>CAMPHOR</t>
  </si>
  <si>
    <t>Camphor|SID144204546|Trans-Pi-Oxocamphor|SID17389071|SID49816688|D-CAMPHOR|SID17389023|SID50105387|DL-Camphor|SID29215100|SID26752736|</t>
  </si>
  <si>
    <t>O=C1C[C@H]2[C@H]([C@@H]3CC[C@H]([C@@H](CCC(O)=O)C)[C@@]13C)C(=O)C[C@@H]1CC(=O)CC[C@@]12C</t>
  </si>
  <si>
    <t>DEHYDROCHOLIC ACID</t>
  </si>
  <si>
    <t>SID56422207|SID855992|Decholin|Dilabil|Procholon|SID144205072|Dehydrocholic Acid|</t>
  </si>
  <si>
    <t>O=C1Cc2c(N(c3c1cccc3)C(=O)N)cccc2</t>
  </si>
  <si>
    <t>OXCARBAZEPINE</t>
  </si>
  <si>
    <t>Oxcarbazepine|SID866068|SID144204534|SID26747194|SID26719673|KIN-493|Oxtellar Xr|Trileptal|SID50085868|GP-47680|</t>
  </si>
  <si>
    <t>O=C1N(C(Cc2c3c([nH]c2)cccc3)C(O)=O)C(=O)C=2C1=CCCC=2</t>
  </si>
  <si>
    <t>O=C1N(C)C(=O)CC1c1ccccc1</t>
  </si>
  <si>
    <t>PHENSUXIMIDE</t>
  </si>
  <si>
    <t>SID144203933|Milontin|Phensuximide|SID56463169|</t>
  </si>
  <si>
    <t>O=C1N(C)C(=O)N(C)C(NCCN(CCCc2ccc([N+](=O)[O-])cc2)CCO)=C1</t>
  </si>
  <si>
    <t>NIFEKALANT</t>
  </si>
  <si>
    <t>SID26758059|Nifekalant|</t>
  </si>
  <si>
    <t>O=C1N(C)C(=O)N(c2[nH]cnc12)C</t>
  </si>
  <si>
    <t>THEOPHYLLINE</t>
  </si>
  <si>
    <t>Elixophyllin|Slo-Bid|Theobid Jr.|Theophyl-Sr|Theolair-sr|Labid|Theoclear-80|Uniphyl|Theocin|SID144204378|Aerolate Jr|Duraphyl|Somophyllin-Crt|Sustaire|Theoclear L.A.-260|Theolair|Theolair-Sr|Quibron|Accurbron|Aquaphyllin|Somophyllin-T|T-Phyl|Theochron|Respbid|Theo-Dur|SID68760|SID855679|Aerolate|Elixomin|Elixophyllin Sr|Slo-Phyllin|Theoclear-200|Theolixir|Theophyl-225|Theophylline-Sr|Theovent|SID50103998|SID56463437|Aerolate Iii|Dimethylxanthine|Quibron-T|Theoclear L.A.-130|Uni-Dur|SID17389715|Bronkodyl|Elixicon|Lanophyllin|Quibron-T/Sr|Theo-24|Theoclear-100|Theophyl|Theophylline|SID90341676|SID104171361|Aerolate Sr|Theobid|</t>
  </si>
  <si>
    <t>O=C1N(C)C(=O)N(c2nc[nH]c12)C</t>
  </si>
  <si>
    <t>O=C1N(C)C(=O)N(c2ncn(c12)CC(O)CN(CCO)C)C</t>
  </si>
  <si>
    <t>O=C1N(C)C(=O)N(c2ncn(c12)CCCCC(=O)C)C</t>
  </si>
  <si>
    <t>LOMIFYLLINE</t>
  </si>
  <si>
    <t>SID26719887|Lomifylline|</t>
  </si>
  <si>
    <t>O=C1N(C)C(=O)N=C2N(N=C(N=C12)c1ncccc1)C</t>
  </si>
  <si>
    <t>SID24788424|SID99351059|</t>
  </si>
  <si>
    <t>O=C1N(C)C(=O)NC1(CC)c1ccccc1</t>
  </si>
  <si>
    <t>MEPHENYTOIN</t>
  </si>
  <si>
    <t>Mephenytoin|Methoin|Mesantoin|SID56463168|</t>
  </si>
  <si>
    <t>O=C1N(C)[C@@H](CC1)c1cccnc1</t>
  </si>
  <si>
    <t>COTININE</t>
  </si>
  <si>
    <t>SID50106042|SID50106043|SID90341278|SID50106041|SID26753539|SID50106044|Cotinine|</t>
  </si>
  <si>
    <t>O=C1N(C)[C@@H]([C@H](O)[C@@H](C\C=C\C)C)C(=O)N[C@@H](CC)C(=O)N(CC(=O)N(C)[C@@H](CC(C)C)C(=O)N[C@@H](C(C)C)C(=O)N(C)[C@@H](CC(C)C)C(=O)N[C@@H](C)C(=O)N[C@H](C)C(=O)N(C)[C@@H](CC(C)C)C(=O)N(C)[C@@H](CC(C)C)C(=O)N(C)[C@@H]1C(C)C)C</t>
  </si>
  <si>
    <t>O=C1N(CCC1)[C@@H](CC)C(=O)N</t>
  </si>
  <si>
    <t>LEVETIRACETAM</t>
  </si>
  <si>
    <t>Levetiracetam|UCB-22059|Keppra Xr|SID90341134|Keppra|UCB-L059|Levetiracetam In Sodium Chloride|SID26719810|</t>
  </si>
  <si>
    <t>O=C1N(CCCCC(=O)C)C(=O)N(c2ncn(c12)C)C</t>
  </si>
  <si>
    <t>PENTOXIFYLLINE</t>
  </si>
  <si>
    <t>SID26719692|SID90341235|SID50085870|Oxpentifylline|BL-191|Trental|SID857899|SID50105176|Pentoxil|Pentoxifylline|SID85231180|SID11111613|SID11111614|</t>
  </si>
  <si>
    <t>O=C1N(CCCCN2CCN(CC2)c2ncccn2)C(=O)CC2(C1)CCCC2</t>
  </si>
  <si>
    <t>BUSPIRONE</t>
  </si>
  <si>
    <t>SID11110857|Buspirone|SID104171117|SID26751994|SID11113821|SID11112732|Buspar|SID90340780|</t>
  </si>
  <si>
    <t>O=C1N(CCc2n(c3c(c12)cccc3)C)Cc1nc[nH]c1C</t>
  </si>
  <si>
    <t>ALOSETRON</t>
  </si>
  <si>
    <t>Alosetron|Lotronex|</t>
  </si>
  <si>
    <t>O=C1N(C[C@H]2CCCc3c2c1ccc3)[C@H]1C2CCN(C1)CC2</t>
  </si>
  <si>
    <t>PALONOSETRON</t>
  </si>
  <si>
    <t>Aurothioglucose|Aloxi|Palonosetron|</t>
  </si>
  <si>
    <t>O=C1N(Cc2ccc(cc2)-c2ccccc2-c2nn[nH]n2)C(=NC12CCCC2)CCCC</t>
  </si>
  <si>
    <t>IRBESARTAN</t>
  </si>
  <si>
    <t>SID26748950|Avapro|BMS-186295|Irbesartan|SID26719813|SR-47436|</t>
  </si>
  <si>
    <t>O=C1N(N=C(CC1)c1ccccc1)CC(=O)NCCCN(CC)c1cc(ccc1)C</t>
  </si>
  <si>
    <t>SID24415369</t>
  </si>
  <si>
    <t>O=C1N(N=C(CC1)c1ccccc1)CC(=O)NCCCN1CCN(CC1)C</t>
  </si>
  <si>
    <t>O=C1N(N=C(CC1)c1ccccc1)CC(=O)NCCN1CCc2c(C1)cccc2</t>
  </si>
  <si>
    <t>SID17510861</t>
  </si>
  <si>
    <t>O=C1N(c2c(CC[C@@H]1N[C@@H](CCc1ccccc1)C(OCC)=O)cccc2)CC(O)=O</t>
  </si>
  <si>
    <t>BENAZEPRIL</t>
  </si>
  <si>
    <t>Lotensin|Benazepril|Lotrel|</t>
  </si>
  <si>
    <t>O=C1N(c2c(cc([N+](=O)[O-])cc2)C(=NC1)c1ccccc1)C</t>
  </si>
  <si>
    <t>NIMETAZEPAM</t>
  </si>
  <si>
    <t>SID144205758|Erimin|S-1530|Nimetazepam|SID26757999|SID26719705|</t>
  </si>
  <si>
    <t>O=C1N2C(=Nc3c1cccc3)c1[nH]c3c(c1CC2)cccc3</t>
  </si>
  <si>
    <t>RUTAECARPINE</t>
  </si>
  <si>
    <t>Rutaecarpine|SID26753647|SID11111740|SID90341446|SID85231210|SID17405647|SID56463774|SID50106991|SID50106990|SID138575|</t>
  </si>
  <si>
    <t>O=C1N2C(N(c3c1cccc3)C)c1[nH]c3c(c1CC2)cccc3</t>
  </si>
  <si>
    <t>SID26756934</t>
  </si>
  <si>
    <t>O=C1N2C([C@@H]3C[C@H](C2)CNC3)=CC=C1</t>
  </si>
  <si>
    <t>CYTISINE</t>
  </si>
  <si>
    <t>(-)-Cytisine|SID11114058|SID11112361|SID26752181|SID56463106|SID477069|</t>
  </si>
  <si>
    <t>O=C1N2C(c3c(CC2)cccc3)CN(C1)C(=O)C1CCCCC1</t>
  </si>
  <si>
    <t>PRAZIQUANTEL</t>
  </si>
  <si>
    <t>Cesol|SID85231186|Cestocur|SID90341571|EMBAY-8440|SID50105220|Biltricide|Praziquantel|SID855582|SID26747203|Droncit|SID858012|</t>
  </si>
  <si>
    <t>O=C1N2[C@@H]([C@@H]3[C@H]4N(CCC[C@H]4C2)CCC3)CC=C1</t>
  </si>
  <si>
    <t>SOPHOCARPINE</t>
  </si>
  <si>
    <t>Sophocarpine</t>
  </si>
  <si>
    <t>O=C1N2[C@@H]([C@@H]3[C@H]4N(CCC[C@H]4C2)CCC3)CCC1</t>
  </si>
  <si>
    <t>MATRINE</t>
  </si>
  <si>
    <t>Matrine</t>
  </si>
  <si>
    <t>O=C1N2[C@@H]([C@@H]3[C@H]4[N+]([O-])(CCC[C@H]4C2)CCC3)CCC1</t>
  </si>
  <si>
    <t>OXYMATRINE</t>
  </si>
  <si>
    <t>Oxymatrine|SID49647019|</t>
  </si>
  <si>
    <t>O=C1N=C(N)C(=CN1)C</t>
  </si>
  <si>
    <t>O=C1N=C(N)C=CN1</t>
  </si>
  <si>
    <t>CYTOSINE</t>
  </si>
  <si>
    <t>SID56322619</t>
  </si>
  <si>
    <t>O=C1N=C(Nc2n(cnc12)COC(CO)CO)N</t>
  </si>
  <si>
    <t>GANCICLOVIR</t>
  </si>
  <si>
    <t>Cymevene|Zirgan|BW-759U|SID56424026|SID11111225|Cytovene|Ganciclovir|Vitrasert|SID50106328|SID11111224|RS-21592|SID50113251|SID8139883|SID90341439|SID144203711|</t>
  </si>
  <si>
    <t>O=C1N=C(Nc2ncc(nc12)CNc1ccc(cc1)C(=O)N[C@@H](CCC(O)=O)C(O)=O)N</t>
  </si>
  <si>
    <t>FOLIC ACID</t>
  </si>
  <si>
    <t>SID50085945|Pteroylglutamic Acid|SID11112150|Folic Acid|Vitamin Bc|Vitamin M|SID26754169|Folvite|Folacin|Folicet|</t>
  </si>
  <si>
    <t>O=C1N=CN=C2NNC=C12</t>
  </si>
  <si>
    <t>ALLOPURINOL</t>
  </si>
  <si>
    <t>Zyloprim|SID26747845|SID56424020|BW-56158|SID8139898|BW-56-158|Lopurin|SID17389550|SID50105533|SID11110781|Allopurinol|</t>
  </si>
  <si>
    <t>O=C1NC(=Nc2[nH]cnc12)N</t>
  </si>
  <si>
    <t>GUANINE</t>
  </si>
  <si>
    <t>Guanine</t>
  </si>
  <si>
    <t>O=C1NC(=O)C(=C1c1c2c(n(c1)C1CCN(CC1)Cc1ncccc1)cccc2)c1c2c(n(c1)C)cccc2</t>
  </si>
  <si>
    <t>ENZASTAURIN</t>
  </si>
  <si>
    <t>LY-317615|SID137275839|Enzastaurin|</t>
  </si>
  <si>
    <t>O=C1NC(=O)CCC1N1C(=O)c2c(cccc2)C1=O</t>
  </si>
  <si>
    <t>THALIDOMIDE</t>
  </si>
  <si>
    <t>SID111716|Thalidomide|SID50104514|SID11532929|SID26751823|Thalomid|K-17|SID90341724|SID124881523|</t>
  </si>
  <si>
    <t>O=C1NC(=O)N(c2ncn(c12)C)C</t>
  </si>
  <si>
    <t>THEOBROMINE</t>
  </si>
  <si>
    <t>Theobromine|SID11111888|SID85231258|Theobromine(20%)|SID856014|SID26751592|SID90341332|SID50104235|</t>
  </si>
  <si>
    <t>O=C1NC(=O)N=C2N(c3cc(C)c(cc3N=C12)C)C[C@H](O)[C@H](O)[C@H](O)CO</t>
  </si>
  <si>
    <t>RIBOFLAVIN</t>
  </si>
  <si>
    <t>Vitamin B 2|SID144204364|Flavaxin|Vitamin B2|Riboflavine|Riboflavin|E101|Lactoflavin|Riboflavin Tetrabutyrate|Vitamin G|SID17389635|</t>
  </si>
  <si>
    <t>O=C1NC(=O)NC(=C1)C(O)=O</t>
  </si>
  <si>
    <t>OROTIC ACID</t>
  </si>
  <si>
    <t>SID17388814|Orotic Acid|</t>
  </si>
  <si>
    <t>O=C1NC(=O)NC1NC(=O)N</t>
  </si>
  <si>
    <t>ALLANTOIN</t>
  </si>
  <si>
    <t>SID73440|SID26748398|SID26665884|Allantoin|</t>
  </si>
  <si>
    <t>O=C1NC(=O)NC=C1</t>
  </si>
  <si>
    <t>URACIL</t>
  </si>
  <si>
    <t>SQ-8493|SQ-6201|SID51088798|SQ-7726|SID70371|Uracil|BMS-205603-01|</t>
  </si>
  <si>
    <t>O=C1NC(C)=C(C=C1C#N)c1ccncc1</t>
  </si>
  <si>
    <t>MILRINONE</t>
  </si>
  <si>
    <t>Milrinone|WIN-47203-2|SID11114110|SID11532967|SID26757809|SID50104873|SID11111460|SID11111461|SID49681694|WIN-472032|SID90341667|SID144205666|Primacor|</t>
  </si>
  <si>
    <t>O=C1NC2=C(C=C1)[C@@]/1(N)CC(=C[C@@H](C2)\C\1=C\C)C</t>
  </si>
  <si>
    <t>HUPERAINE A</t>
  </si>
  <si>
    <t>Huperazine A|Huperaine A|Hyperazzine A|</t>
  </si>
  <si>
    <t>O=C1NC=Cc2c1[nH]c1c2cccc1</t>
  </si>
  <si>
    <t>O=C1NC=Nc2nc[nH]c12</t>
  </si>
  <si>
    <t>HYPOXANTHINE</t>
  </si>
  <si>
    <t>Hypoxanthine|SID26749634|</t>
  </si>
  <si>
    <t>O=C1NCNC(=O)C1(CC)c1ccccc1</t>
  </si>
  <si>
    <t>PRIMIDONE</t>
  </si>
  <si>
    <t>Neurosyn|Mysoline|SID17389534|SID11111659|Primidone|SID90340844|SID11113350|SID11112270|Lepsiral|SID855864|SID50126364|SID56324597|SID50104129|</t>
  </si>
  <si>
    <t>O=C1NCNC(=O)C1(c2ccccc2)CC</t>
  </si>
  <si>
    <t>O=C1N[C@@H](CC1)C(O)=O</t>
  </si>
  <si>
    <t>PYROGLUTAMIC ACID</t>
  </si>
  <si>
    <t>SID144205489|SID57260135|SID29216300|</t>
  </si>
  <si>
    <t>O=C1N[C@@H]2CC[C@H]3[C@@H]4CC[C@H](C(=O)NC(C)(C)C)[C@]4(CC[C@@H]3[C@]2(C=C1)C)C</t>
  </si>
  <si>
    <t>FINASTERIDE</t>
  </si>
  <si>
    <t>SID49666458|MK-906|Propecia|Proscar|SID26753508|SID144204268|Finasteride|SID26753509|SID26719811|</t>
  </si>
  <si>
    <t>O=C1N\C(=C/c2[nH]c(Cc3[nH]c(\C=C\4/NC(=O)C(C)=C/4C=C)c(C)c3CCC(O)=O)c(CCC(O)=O)c2C)\C(C)=C1C=C</t>
  </si>
  <si>
    <t>O=C1Nc2c(cc([N+](=O)[O-])cc2)C(=NC1)c1ccccc1</t>
  </si>
  <si>
    <t>NITRAZEPAM</t>
  </si>
  <si>
    <t>Nitrazadon|Somnite|SID29215277|Mogadon|Ro-53059|Insoma|Nitrazepam|Paxadorm|SID50086824|Alodorm|Ormodon|Remnos|Ro-45360|Pacisyn|Arem|Nitrados|</t>
  </si>
  <si>
    <t>O=C1Nc2c(nccc2C)N(c2ncccc12)C1CC1</t>
  </si>
  <si>
    <t>NEVIRAPINE</t>
  </si>
  <si>
    <t>Nevirapine|SID17388862|Viramune|SID49718173|BIRG-0587|Viramune Xr|SID865943|SID26719643|</t>
  </si>
  <si>
    <t>O=C1Nc2cccnc2N(c2c1cccc2)C(=O)CN1CCCCC1CN(CC)CC</t>
  </si>
  <si>
    <t>OTENZEPAD</t>
  </si>
  <si>
    <t>Otenzepad|SID26719787|SID510727|</t>
  </si>
  <si>
    <t>O=C1[C@H]2[C@](CC[C@@H]3[C@@]2(CC[C@H](O)C3(C)C)C)(C)[C@@]2(CC[C@@]3([C@H](C2=C1)C[C@](CC3)(C(O)=O)C)C)C</t>
  </si>
  <si>
    <t>ENOXOLONE</t>
  </si>
  <si>
    <t>Rhetinic Acid|SID29215195|SID144204355|Enoxolone|SID104171338|SID11533025|SID26754257|NSC-35350|Glycyrrhetic Acid|SID56424132|NSC-35347|Uralenic Acid|</t>
  </si>
  <si>
    <t>O=C1c2c(-c3nc(nnc13)N)cccc2</t>
  </si>
  <si>
    <t>O=C1c2c(NC1=O)cccc2</t>
  </si>
  <si>
    <t>ISATIN</t>
  </si>
  <si>
    <t>SID47193744|Isatin|</t>
  </si>
  <si>
    <t>O=C1c2c(Nc3c1cccc3)cccc2</t>
  </si>
  <si>
    <t>ACRIDONE</t>
  </si>
  <si>
    <t>9(10H)-Acridone|Acridin-9(10H)-one|SID14742234|</t>
  </si>
  <si>
    <t>O=C1c2c(cccc2)C(=O)C(C)=C1CC=C(CCCC(CCCC(CCCC(C)C)C)C)C</t>
  </si>
  <si>
    <t>SID57260130|SID29215362|</t>
  </si>
  <si>
    <t>O=C1c2c(cccc2)C(=O)C=C1C</t>
  </si>
  <si>
    <t>MENADIONE</t>
  </si>
  <si>
    <t>SID56422378|Kayquinone|Menaphthene|Vitamin K 3|SID104171275|SID11112142|Menadione|SID26748651|Menaphthone|Klotogen|SID70547|SID11532917|Hykinone|Kappaxin|SID144203885|</t>
  </si>
  <si>
    <t>O=C1c2c(n(c3c2cccc3)C)CCC1Cn1ccnc1C</t>
  </si>
  <si>
    <t>ONDANSETRON</t>
  </si>
  <si>
    <t>Zofran Odt|Zofran|GR-38032F|Desmethylondansetron|Zuplenz|Ondansetron|GR-38032|</t>
  </si>
  <si>
    <t>O=C1c2ccc(nc2N(C=C1C(O)=O)CC)C</t>
  </si>
  <si>
    <t>NALIDIXIC ACID</t>
  </si>
  <si>
    <t>Uroneg|Nalidixic Acid|Neggram|Neg Gram|SID855620|SID26746931|SID26751459|Wintomylon|SID17389812|SID120913|SID56422386|SID90340622|SID26751460|Nalidixane|WIN-18320|SID124883418|</t>
  </si>
  <si>
    <t>O=C1c2nccc3c4c(n(C=C1C#CCO)c23)cccc4</t>
  </si>
  <si>
    <t>O=C1c2nccc3c4c(n(C=C1C(O)=O)c23)cccc4</t>
  </si>
  <si>
    <t>O=C1c2ncccc2-n2c3c1nccc3c1c2cccc1</t>
  </si>
  <si>
    <t>O=C1n2c(N=NN1C)c(nc2)C(=O)N</t>
  </si>
  <si>
    <t>TEMOZOLOMIDE</t>
  </si>
  <si>
    <t>SID99355753|SCH-52365|Temodar|Temozolomide|Temodal|SID465959|SID50112683|CCRG-81045|SID26719845|M&amp;amp;B-39831|M-39831|</t>
  </si>
  <si>
    <t>O=C1n2c3c(-c4c1cccc4)cccc3c1c2cccc1</t>
  </si>
  <si>
    <t>O=C1n2c3c(nccc3c3c2cccc3)-c2nc3c(cc12)cccc3</t>
  </si>
  <si>
    <t>O=C1n2c3c(nccc3c3c2cccc3)-c2ncncc12</t>
  </si>
  <si>
    <t>O=C3N1CCC[C@H]1[C@]2(O)O[C@](C(=O)N2[C@H]3Cc4ccccc4)(NC(=O)[C@@H]7C[C@@H]8c5cccc6c5c(cn6)C[C@H]8N(C)C7)C</t>
  </si>
  <si>
    <t>O=NC=C1N(C=CC=C1)C</t>
  </si>
  <si>
    <t>O=[N+]([O-])c1c2n[nH]cc2ccc1</t>
  </si>
  <si>
    <t>7-NITROINDAZOLE</t>
  </si>
  <si>
    <t>SID26746920|7-Nitroindazole|SID56422885|SID11111551|SID50103946|SID11113328|SID855595|SID90340658|</t>
  </si>
  <si>
    <t>OB(O)[C@@H](NC(=O)[C@@H](NC(=O)c1nccnc1)Cc1ccccc1)CC(C)C</t>
  </si>
  <si>
    <t>BORTEZOMIB</t>
  </si>
  <si>
    <t>SID124950705|Bortezomib|LDP-341|Velcade|SID144206183|SID518755|SID144206225|PS-341|</t>
  </si>
  <si>
    <t>OC(=O)C(=O)CCC(O)=O</t>
  </si>
  <si>
    <t>ALPHA-KETOGLUTARIC ACID</t>
  </si>
  <si>
    <t>2-Oxopentanedioic Acid|2-Oxoglutarate|Alpha-Ketoglutarate|SID80706|SID17389187|</t>
  </si>
  <si>
    <t>OC(=O)C(=O)Cc1ccccc1</t>
  </si>
  <si>
    <t>PHENYLPYRUVATE</t>
  </si>
  <si>
    <t>Phenylpyruvate</t>
  </si>
  <si>
    <t>OC(=O)C(=O)NC(=O)CCCCCNC(=O)c1cc2c(cc1)cccc2</t>
  </si>
  <si>
    <t>OC(=O)C(=O)NC(=O)CCCCCNC(=O)c1cc2ncccc2cc1</t>
  </si>
  <si>
    <t>OC(=O)C(=O)NCCCNC(=O)c1ccc(cc1)CNC(=O)c1cc2ncccc2cc1</t>
  </si>
  <si>
    <t>OC(=O)C(C)c1cc(ccc1)C(=O)c1ccccc1</t>
  </si>
  <si>
    <t>KETOPROFEN</t>
  </si>
  <si>
    <t>SID85231099|SID11532908|Oruvail|SID90341309|SID26747548|Orudis|Nexcede|SID50086520|Orudis Kt|SID50106498|R.P. 19583|Actron|Ketoprofen|RP-19583|SID857801|</t>
  </si>
  <si>
    <t>OC(=O)C(C)c1ccc(cc1)CC(C)C</t>
  </si>
  <si>
    <t>IBUPROFEN</t>
  </si>
  <si>
    <t>Motrin Ib|SID56422436|SID26752326|Children's Elixsure|Junior Strength Advil|Rufen|Tab-Profen|SID85231082|SID124880375|Children's Advil-Flavored|Children'S Ibuprofen|Ibu-Tab|Pediatric Advil|SID104171175|Advil|Ibuprin|Medipren|Motrin|U-18573|SID855602|SID138460|SID50105276|Advil Liqui-Gels|Children's Advil|Ibu-Tab 200|Ibuprohm|Junior Strength Ibuprofen|Motrin Migraine Pain|Caldolor|Midol Liquid Gels|SID26747223|SID26747224|Children'S Motrin|Ibu|Nuprin|SID90341584|Advil Migraine Liqui-Gels|Cap-Profen|Profen|SID50105277|SID50105278|Aches-N-Pain|Ibuprofen|Junior Strength Motrin|Midol|</t>
  </si>
  <si>
    <t>OC(=O)C(CC)c1ccccc1</t>
  </si>
  <si>
    <t>OC(=O)C(CCC)CCC</t>
  </si>
  <si>
    <t>VALPROIC ACID</t>
  </si>
  <si>
    <t>SID26752921|Stavzor|SID399407|Valproic Acid|SID17389523|Depakene|Valproic acid|44089|SID90341449|</t>
  </si>
  <si>
    <t>OC(=O)C(N)CCCC(O)=O</t>
  </si>
  <si>
    <t>2-Amino-Hexanedioic Acid</t>
  </si>
  <si>
    <t>OC(=O)C(N)CCCN</t>
  </si>
  <si>
    <t>OC(=O)C(N)Cc1c2c([nH]c1)cccc2</t>
  </si>
  <si>
    <t>SID124881538|DL-Tryptophan|SID77648|SID26748296|</t>
  </si>
  <si>
    <t>OC(=O)C(N)Cc1ccccc1</t>
  </si>
  <si>
    <t>DL-PHENYLALANINE</t>
  </si>
  <si>
    <t>SID75308</t>
  </si>
  <si>
    <t>OC(=O)C1CCC(CC1)CN</t>
  </si>
  <si>
    <t>SID11112474</t>
  </si>
  <si>
    <t>OC(=O)C1CCn2c1ccc2C(=O)c1ccccc1</t>
  </si>
  <si>
    <t>KETOROLAC</t>
  </si>
  <si>
    <t>SID90341692|Ketorolac|Toradol|Acular|</t>
  </si>
  <si>
    <t>OC(=O)C=1CC[C@@H](CC=1)C(C)=C</t>
  </si>
  <si>
    <t>PERILLIC ACID</t>
  </si>
  <si>
    <t>Perillic Acid|SID26732640|(-)-Perillic Acid|SID11111656|</t>
  </si>
  <si>
    <t>OC(=O)CC1(CCCCC1)CN</t>
  </si>
  <si>
    <t>GABAPENTIN</t>
  </si>
  <si>
    <t>Gabapentin|Gralise|SID11113327|SID50103936|SID11112806|GOE-3450|Neurontin|SID855579|CI-945|SID90340599|SID104171164|</t>
  </si>
  <si>
    <t>OC(=O)CCC</t>
  </si>
  <si>
    <t>BUTANOIC ACID</t>
  </si>
  <si>
    <t>Butanoic acid</t>
  </si>
  <si>
    <t>OC(=O)CCC(=O)CN</t>
  </si>
  <si>
    <t>AMINOLEVULINIC ACID</t>
  </si>
  <si>
    <t>SID56322917|Aminolevulinic acid|Levulan Kerastick|Aminolevulinic Acid|Levulan|Metvixia|</t>
  </si>
  <si>
    <t>OC(=O)CCC(=O)NN(C)C</t>
  </si>
  <si>
    <t>N-(Dimethylamino)Succinamic Acid</t>
  </si>
  <si>
    <t>OC(=O)CCC(O)=O</t>
  </si>
  <si>
    <t>SUCCINIC ACID</t>
  </si>
  <si>
    <t>SID29215296|E363|Succinic Acid|SID144205165|</t>
  </si>
  <si>
    <t>OC(=O)CCC1CCCCC1</t>
  </si>
  <si>
    <t>OC(=O)CCCCCCCC(O)=O</t>
  </si>
  <si>
    <t>AZELAIC ACID</t>
  </si>
  <si>
    <t>SID11110663|Azelaic Acid|SID50105776|SID56422409|ZK-62498|SID8139926|SID90341560|Azelex|Finacea|SID85230873|</t>
  </si>
  <si>
    <t>OC(=O)CCCCCCC\C=C/C\C=C/CCCCC</t>
  </si>
  <si>
    <t>LINOLEIC ACID</t>
  </si>
  <si>
    <t>SID17388946|SID144204618|Linoleic Acid|SID26752888|Octadeca-9|12-Dienoic Acid|Linoleate|</t>
  </si>
  <si>
    <t>OC(=O)CCCCCCC\C=C/C\C=C/C\C=C/CC</t>
  </si>
  <si>
    <t>LINOLENIC ACID</t>
  </si>
  <si>
    <t>Alpha-Lna|SID29215108|SID26752892|SID50105513|Linolenate|SID57260459|Linolenic Acid|SID17388945|</t>
  </si>
  <si>
    <t>OC(=O)CCCCCCC\C=C\CCCCCCCC</t>
  </si>
  <si>
    <t>ELAIDIC ACID</t>
  </si>
  <si>
    <t>Elaidic Acid|Octadec-9-Enoic Acid Anion|</t>
  </si>
  <si>
    <t>OC(=O)CCCN</t>
  </si>
  <si>
    <t>GAMMA-AMINOBUTYRIC ACID</t>
  </si>
  <si>
    <t>Gamma-Aminobutyric Acid|SID26751685|SID85230901|SID104171103|SID90341695|SID11113457|SID11110722|SID8139983|SID50104376|</t>
  </si>
  <si>
    <t>OC(=O)CCCc1c2c([nH]c1)cccc2</t>
  </si>
  <si>
    <t>Indole-3-Butyric Acid|SID26757715|</t>
  </si>
  <si>
    <t>OC(=O)CCCc1ccccc1</t>
  </si>
  <si>
    <t>PHENYLBUTANOIC ACID</t>
  </si>
  <si>
    <t>Phenylbutyrate|SID67217|SID855904|Phenylbutanoic Acid|</t>
  </si>
  <si>
    <t>OC(=O)CCN(O)C(=O)CCCCCCCCN(C)C</t>
  </si>
  <si>
    <t>OC(=O)CCNc1nc(nc(N2CCc3c(CC2)cccc3)c1)-c1ncccc1</t>
  </si>
  <si>
    <t>OC(=O)CC[C@@H](N)C(O)=O</t>
  </si>
  <si>
    <t>D-GLUTAMATE</t>
  </si>
  <si>
    <t>E620|SID26751650|SID26751651|SID11111223|SID11113411|SID144206603|Glutamic acid|</t>
  </si>
  <si>
    <t>OC(=O)CC[C@H](NC(=O)N)C(O)=O</t>
  </si>
  <si>
    <t>CARGLUMIC ACID</t>
  </si>
  <si>
    <t>OE-312 (Laboratory-Code-Designation)|Carglumic acid|Carbaglu|Carglumic Acid|</t>
  </si>
  <si>
    <t>OC(=O)CC[C@H](NC(=O)c1ccc(N(Cc2nc3c(nc(nc3N)N)nc2)C)cc1)C(O)=O</t>
  </si>
  <si>
    <t>METHOTREXATE</t>
  </si>
  <si>
    <t>Mexate|SID124886991|SID26752120|Methotrexate|Abitrexate|Mexate-AQ|TCMDC-125858|SID90340825|TCMDC-123832|CL-14377|Methylaminopterin|SID67627|SID50104777|SID26752122|SID26752121|SID144204495|Trexall|Amethopterin|SID50104778|Folex|Rheumatrex|TCMDC-125488|SID11113978|SID56463665|</t>
  </si>
  <si>
    <t>OC(=O)CCc1c2c([nH]c1)cccc2</t>
  </si>
  <si>
    <t>INDOLYLPROPIONIC ACID</t>
  </si>
  <si>
    <t>3-Indolepropionicacid|Indole-3-Propionic Acid|</t>
  </si>
  <si>
    <t>OC(=O)CNC(=O)C(NC(=O)CNC(=O)C(N)Cc1ccccc1)Cc1ccccc1</t>
  </si>
  <si>
    <t>OC(=O)C\C(=C/C(O)=O)\C(O)=O</t>
  </si>
  <si>
    <t>SID4252529|SID26749885|</t>
  </si>
  <si>
    <t>OC(=O)Cc1ccc(NC(=O)C)cc1</t>
  </si>
  <si>
    <t>ACTARIT</t>
  </si>
  <si>
    <t>SID29216131|SID50085440|Actarit|</t>
  </si>
  <si>
    <t>OC(=O)[C@@H](N(Cc1ccc(cc1)-c1ccccc1-c1nn[nH]n1)C(=O)CCCC)C(C)C</t>
  </si>
  <si>
    <t>VALSARTAN</t>
  </si>
  <si>
    <t>Exforge|Diovan|CGP-48933|Valsartan|SID26719825|</t>
  </si>
  <si>
    <t>OC(=O)[C@@H](N)CCC(=O)N</t>
  </si>
  <si>
    <t>GLUTAMINE</t>
  </si>
  <si>
    <t>Levoglutamide|L-Glutamine|Nutrestore|SID90341595|SID50106343|Glutamine|SID26747519|</t>
  </si>
  <si>
    <t>OC(=O)[C@@H](N)CCCNC(=NC)N</t>
  </si>
  <si>
    <t>TARGININE</t>
  </si>
  <si>
    <t>SID11113694|SID90340995|Targinine|SID11111490|</t>
  </si>
  <si>
    <t>OC(=O)[C@@H](N)CCCNC(=O)N</t>
  </si>
  <si>
    <t>L-CITRULLINE</t>
  </si>
  <si>
    <t>L-Citrulline</t>
  </si>
  <si>
    <t>OC(=O)[C@@H](N)Cc1c2c([nH]c1)cccc2</t>
  </si>
  <si>
    <t>TRYPTOPHAN</t>
  </si>
  <si>
    <t>SID11111851|SID50107109|L-Tryptophan|SID50107108|Tryptophan|SID26732620|SID90341602|</t>
  </si>
  <si>
    <t>OC(=O)[C@@H](NC(=O)[C@@H](O)[C@H](N)Cc1ccccc1)CC(C)C</t>
  </si>
  <si>
    <t>UBENIMEX</t>
  </si>
  <si>
    <t>Ubenimex|SID26752255|SID11114244|Bestatin|SID90341182|</t>
  </si>
  <si>
    <t>OC(=O)[C@H]1N(CCC1)C(=O)[C@@H](N[C@@H](CCc1ccccc1)C(O)=O)C</t>
  </si>
  <si>
    <t>ENALAPRILAT</t>
  </si>
  <si>
    <t>MK-421|Vasotec|MK-422|Enalaprilat|</t>
  </si>
  <si>
    <t>OC(=O)[C@H]1NCC1</t>
  </si>
  <si>
    <t>Azetidine-2-Carboxylic Acid|SID50105741|</t>
  </si>
  <si>
    <t>OC(=O)[C@H]1NCCC1</t>
  </si>
  <si>
    <t>L-PROLINE</t>
  </si>
  <si>
    <t>SID4253464|Pyrrolidine-2-Carboxylic Acid|Proline|L-Proline|</t>
  </si>
  <si>
    <t>OC(=O)\C=C(/C=C/C=C(\C=C\C=1C(CCCC=1C)(C)C)/C)\C</t>
  </si>
  <si>
    <t>OC(=O)\C=C\c1ccc(cc1)Cn1ccnc1</t>
  </si>
  <si>
    <t>OZAGREL</t>
  </si>
  <si>
    <t>Ozagrel Sodium|Ozagrel|</t>
  </si>
  <si>
    <t>OC(=O)\C=C\c1ccccc1</t>
  </si>
  <si>
    <t>CINNAMIC ACID</t>
  </si>
  <si>
    <t>3-Phenylacrylic Acid|(E)-Cinnamic Acid|E-Cinnamic Acid|Trans-Cinnamic Acid|Cinnamic Acid|</t>
  </si>
  <si>
    <t>OC(=O)\C=C\c1nc[nH]c1</t>
  </si>
  <si>
    <t>SID90341479|SID56422865|4-Imidazoleacrylic Acid|SID111433|SID50107206|SID11532901|</t>
  </si>
  <si>
    <t>OC(=O)c1ccccc1-c1ccc(cc1)Cn1c2c(nc1CCC)c(cc(c2)-c1nc2c(n1C)cccc2)C</t>
  </si>
  <si>
    <t>TELMISARTAN</t>
  </si>
  <si>
    <t>Telmisartan|SID49648460|SID26719833|BIBR-277SE|Micardis|BIBR-277-SE|SID26749005|SID137275807|</t>
  </si>
  <si>
    <t>OC(=O)c1ccccc1Nc1cccc(C)c1C</t>
  </si>
  <si>
    <t>MEFENAMIC ACID</t>
  </si>
  <si>
    <t>CN-35355|SID26746974|SID144203895|Mefenamic Acid|SID56422190|SID104171280|SID855723|Mefenamic acid|Ponstel|CI-473|INF-3355|SID26751493|SID11112163|SID124882006|</t>
  </si>
  <si>
    <t>OC(=O)c1cccnc1</t>
  </si>
  <si>
    <t>NIACIN</t>
  </si>
  <si>
    <t>Niacin Td|SID8139875|SID11112153|Niaspan Er|Niacor|Wampocap|SID104171277|Nicotinic Acid|Niaspan Titration Starter Pack|Niacin|Niaspan|Nicolar|Simcor|</t>
  </si>
  <si>
    <t>OC(=O)c1nc(ccc1)C(O)=O</t>
  </si>
  <si>
    <t>DIPICOLINIC ACID</t>
  </si>
  <si>
    <t>SID863941|Dipicolinic Acid|</t>
  </si>
  <si>
    <t>OC(=O)c1ncc(cc1)CCCC</t>
  </si>
  <si>
    <t>FUSARIC ACID</t>
  </si>
  <si>
    <t>SID85231049|5-Butylpicolinic Acid|SID90340782|SID50106313|SID11111187|SID56463520|SID11111188|Fusaric Acid|SID124880115|SID26753580|</t>
  </si>
  <si>
    <t>OC(=O)c1nccc2c1[nH]c1c2cccc1</t>
  </si>
  <si>
    <t>OC(=O)c1nccnc1</t>
  </si>
  <si>
    <t>PYRAZINOIC ACID</t>
  </si>
  <si>
    <t>Pyrazinoic acid|SID8139877|</t>
  </si>
  <si>
    <t>OC(C(CO)(C)C)C(=O)NCCCO</t>
  </si>
  <si>
    <t>PANTHENOL</t>
  </si>
  <si>
    <t>SID56320906|Panthenol|</t>
  </si>
  <si>
    <t>OC(C)(C)c1nc(n(Cc2ccc(cc2)-c2ccccc2-c2nn[nH]n2)c1C(O)=O)CCC</t>
  </si>
  <si>
    <t>OLMESARTAN</t>
  </si>
  <si>
    <t>Benicar Hct|Benicar|Olmesartan|SID26719844|RNH-6270|</t>
  </si>
  <si>
    <t>OC(C1CCN(CC1)CCCC(O)c1ccc(cc1)C(C(O)=O)(C)C)(c1ccccc1)c1ccccc1</t>
  </si>
  <si>
    <t>FEXOFENADINE</t>
  </si>
  <si>
    <t>Allegra|Fexofenadine|SID90341422|SID50105687|</t>
  </si>
  <si>
    <t>OC(CC(=O)[O-])C[N+](C)(C)C</t>
  </si>
  <si>
    <t>CARNITINE</t>
  </si>
  <si>
    <t>Carnitine Chloride|Carnitine|</t>
  </si>
  <si>
    <t>OC(CCC(N)C(O)=O)CN</t>
  </si>
  <si>
    <t>OC(CCC(O)=O)C(O)=O</t>
  </si>
  <si>
    <t>OC(CCCC(CCCC(CCCC(C)C)C)C)(C=C)C</t>
  </si>
  <si>
    <t>SID17388964|1-phyten-3-ol|SID50105462|SID85148670|</t>
  </si>
  <si>
    <t>OC(CCCN1CCCCC1)(c1ccccc1)c1ccccc1</t>
  </si>
  <si>
    <t>DIPHENIDOL</t>
  </si>
  <si>
    <t>SK&amp;amp;F-478|Vontrol|SK-478|Difenidol|Diphenidol|SID50100475|Difenidol Hydrochloride|SID11112531|SID144206624|</t>
  </si>
  <si>
    <t>OC(CCN1CCCC1)(C1CCCCC1)c1ccccc1</t>
  </si>
  <si>
    <t>PROCYCLIDINE</t>
  </si>
  <si>
    <t>Procyclidine</t>
  </si>
  <si>
    <t>OC(CCN1CCCCC1)(C1CCCCC1)c1ccccc1</t>
  </si>
  <si>
    <t>TRIHEXYPHENIDYL</t>
  </si>
  <si>
    <t>Trihexyphenidyl|SID90341555|Artane|SID50105266|</t>
  </si>
  <si>
    <t>OC(CC\C=C(\C)/C)(C=C)C</t>
  </si>
  <si>
    <t>LINALOOL</t>
  </si>
  <si>
    <t>SID56462784|Linalool|SID17388947|</t>
  </si>
  <si>
    <t>OC(CC\C=C(\CC\C=C(\C)/C)/C)(C=C)C</t>
  </si>
  <si>
    <t>NEROLIDOL</t>
  </si>
  <si>
    <t>SID26753775|SID26749854|Trans-Nerolidol|Nerolidol|</t>
  </si>
  <si>
    <t>OC(Cn1c(ncc1[N+](=O)[O-])C)C</t>
  </si>
  <si>
    <t>SECNIDAZOLE</t>
  </si>
  <si>
    <t>SID26719698|RP-14539|PM-185184|Secnidazole|SID14742762|SID50086443|</t>
  </si>
  <si>
    <t>OC([C@@H](O)CO)[C@@H](O)CO</t>
  </si>
  <si>
    <t>OC([C@H](O)CO)[C@@H](O)CO</t>
  </si>
  <si>
    <t>SID29217740</t>
  </si>
  <si>
    <t>OC1(CCC(=CC1)C)C(C)C</t>
  </si>
  <si>
    <t>TERPINEOL</t>
  </si>
  <si>
    <t>Terpineol</t>
  </si>
  <si>
    <t>OC1(CCC2C3C(CCC12C)C1(C(=CC(=O)CC1)CC3)C)C(=O)CO</t>
  </si>
  <si>
    <t>SID50085900</t>
  </si>
  <si>
    <t>OC1(CCCc2c1[nH]c1c2cccc1)C(=O)C</t>
  </si>
  <si>
    <t>OC1(\C=C\C(=C/C(O)=O)\C)C(CC(=O)C=C1C)(C)C</t>
  </si>
  <si>
    <t>ABSCISIC ACID</t>
  </si>
  <si>
    <t>(+/-)-Abscisic Acid|Abscisic Acid|SID17389210|</t>
  </si>
  <si>
    <t>OC12C(C(N(C)C)C(=O)C(C(=O)N)=C1O)C(O)C1C(=C2O)C(=O)c2c(cccc2O)C1C</t>
  </si>
  <si>
    <t>OC12CC3(CC(C1)CC(C3)C2)[C@H](N)C(=O)N1[C@@H]2[C@H](C[C@H]1C#N)C2</t>
  </si>
  <si>
    <t>SAXAGLIPTIN</t>
  </si>
  <si>
    <t>Saxagliptin|BMS-477118|BMS-477118-11|</t>
  </si>
  <si>
    <t>OC1=CC(=O)c2c(cccc2)C1=O</t>
  </si>
  <si>
    <t>LAWSONE</t>
  </si>
  <si>
    <t>SID26749851|SID50107733|2-Hydroxynaphthoquinone|</t>
  </si>
  <si>
    <t>OC1C2(CC(=O)N(CCCCN3CCN(CC3)c3ncccn3)C1=O)CCCC2</t>
  </si>
  <si>
    <t>6-HYDROXYBUSPIRONE</t>
  </si>
  <si>
    <t>6-hydroxybuspirone</t>
  </si>
  <si>
    <t>OC1CC2C(C\C(\C2)=C/CCCC(OCC(=O)c2ccccc2)=O)C1\C=C\C(O)C(CC#CC)C</t>
  </si>
  <si>
    <t>OC1CCC2C3C(CCC12C)C1(C(=CC(=O)CC1)CC3)C</t>
  </si>
  <si>
    <t>SID7977359</t>
  </si>
  <si>
    <t>OC1CCn2c3c1nccc3c1c2cccc1</t>
  </si>
  <si>
    <t>OC1[C@H](O)CC(=CC1O)C(O)=O</t>
  </si>
  <si>
    <t>OC=1C(=O)C=CN(C)C=1C</t>
  </si>
  <si>
    <t>DEFERIPRONE</t>
  </si>
  <si>
    <t>Ferriprox|APO-066|L1|SID26752603|Deferiprone|PL1|SID8139956|CP20|SID26719648|APO-66|DN-180-01-AF|SID104233432|</t>
  </si>
  <si>
    <t>OC=1C[C@@H]2CC[C@H]3[C@@H]4CC[C@@](O)(C)[C@]4(CC[C@@H]3[C@]2(CC=1C=O)C)C</t>
  </si>
  <si>
    <t>SID26719677</t>
  </si>
  <si>
    <t>OC=1NC(c2ccccc2)(c2ccccc2)C(=O)N=1</t>
  </si>
  <si>
    <t>PHENYTOIN</t>
  </si>
  <si>
    <t>Dilantin|SID26753026|SID90340679|SID26753028|SID85230999|SID144204412|Dilantin-125|Phenytex|SID17389903|Phenytoin|SID26753027|SID50106148|SID124886706|SID11111069|Dilabid|SID11532994|Hydantol|SID90341165|Dilantin-30|Diphenylhydantoin|Phentytoin|Phenytek|SID56423134|</t>
  </si>
  <si>
    <t>OC=1[C@@H](N(C)C)[C@@H]2C[C@H]3C(=C(O)[C@]2(O)C(=O)C=1C(=O)N)C(=O)c1c(cccc1O)[C@]3(O)C</t>
  </si>
  <si>
    <t>TETRACYCLINE</t>
  </si>
  <si>
    <t>Cyclopar|Vetquamycin|Panmycin|Achromycin|Liquamycin|Tetracycline|E701|Tetracyn|</t>
  </si>
  <si>
    <t>OC=1[C@@H](N(C)C)[C@H]2[C@@](O)(C(=O)C=1C(=O)N)C(O)=C1[C@@H]([C@](O)(c3c(C1=O)c(O)ccc3)C)[C@@H]2O</t>
  </si>
  <si>
    <t>OXYTETRACYCLINE</t>
  </si>
  <si>
    <t>Hi-Tet|Terramycin|Tetraplex|Terrafungine|E703|Oxitetracycline|Oxytetracycline|Microtet|OXTC|</t>
  </si>
  <si>
    <t>OC=1[C@]2(O)[C@@H](C[C@H]3C(C2=O)=C(O)c2c(C3)c(N(C)C)ccc2O)[C@H](N(C)C)C(=O)C=1C(=O)N</t>
  </si>
  <si>
    <t>OC=1[C@]2(O)[C@@H](C[C@H]3C(C2=O)=C(O)c2c(cccc2O)C3C)[C@H](N(C)C)C(=O)C=1C(=O)N</t>
  </si>
  <si>
    <t>OCC(C(=O)N(Cc1ccncc1)CC)c1ccccc1</t>
  </si>
  <si>
    <t>TROPICAMIDE</t>
  </si>
  <si>
    <t>SID104171259|Tropicacyl|SID50086517|Mydriacyl|SID50104635|SID90341160|SID26747134|SID85231280|Tropicamide|Mydriafair|</t>
  </si>
  <si>
    <t>OCC(NCCNC(CC)CO)CC</t>
  </si>
  <si>
    <t>SID863795</t>
  </si>
  <si>
    <t>OCC1C(C)(C)C1C=C(C)C</t>
  </si>
  <si>
    <t>SID26749619</t>
  </si>
  <si>
    <t>OCCC(CC\C=C(\C)/C)C</t>
  </si>
  <si>
    <t>CITRONELLOL</t>
  </si>
  <si>
    <t>DL-citronellol|SID85272322|Citronellol|SID17389148|SID50105573|</t>
  </si>
  <si>
    <t>OCCN(CCO)c1nc(N2CCCCC2)c2nc(nc(N3CCCCC3)c2n1)N(CCO)CCO</t>
  </si>
  <si>
    <t>DIPYRIDAMOLE</t>
  </si>
  <si>
    <t>SID26747068|SID90340971|SID26751581|SID144203684|Dipyridamole|Persantine|SID11111117|SID124879984|SID50104215|SID85231021|RA-8|Iv Persantine|SID855977|SID56423153|SID124879978|SID489152|SID11111116|SID124879980|SID11113358|SID26751580|SID50104213|SID104171148|</t>
  </si>
  <si>
    <t>OCCN(Cc1ccc(cc1)C=CC(=O)NO)CCc1c2c([nH]c1)cccc2</t>
  </si>
  <si>
    <t>DACINOSTAT</t>
  </si>
  <si>
    <t>NVP-LAQ824|Dacinostat|</t>
  </si>
  <si>
    <t>OCCn1c(ncc1[N+](=O)[O-])C</t>
  </si>
  <si>
    <t>METRONIDAZOLE</t>
  </si>
  <si>
    <t>RP-8823|SID17389815|Flagyl|Metrogel-Vaginal|Metromidol|Metronidazole|Flagyl 375|Flagyl Er|BAYER-5360|Flagyl I.V. Rtu In Plastic Container|Metrocream|SID26719631|BAY-5360|Satric|SID11112343|Vandazole|SID144203992|Noritate|SID104171304|SID855672|Metrolotion|Protostat|Metric 21|Metrolyl|Metrogel|</t>
  </si>
  <si>
    <t>OC[C@@H](NC(=O)[C@@H]1C=C2[C@H](N(C1)C)Cc1c3c2cccc3[nH]c1)CC</t>
  </si>
  <si>
    <t>METHYLERGONOVINE</t>
  </si>
  <si>
    <t>SID104171343|SID26751766|SID90341291|SID144204360|SID50104453|Methylergonovine|</t>
  </si>
  <si>
    <t>OC[C@@H](NCCN[C@@H](CC)CO)CC</t>
  </si>
  <si>
    <t>ETHAMBUTOL</t>
  </si>
  <si>
    <t>Ethambutol</t>
  </si>
  <si>
    <t>OC[C@@H](O)[C@@H](O)[C@H](O)[C@@H](O)CO</t>
  </si>
  <si>
    <t>SORBITOL</t>
  </si>
  <si>
    <t>Sorbitol|D-Sorbitol|E420|SID56322758|</t>
  </si>
  <si>
    <t>OC[C@@H](O)[C@@H](O)[C@H](O)[C@H](O)CO</t>
  </si>
  <si>
    <t>MANNITOL</t>
  </si>
  <si>
    <t>Alexitol sodium|Aridol Kit|Diosmol|SID144205645|SID26757663|D-Mannitol|Osmitrol|Resectisol|Mannitol|Mannite|E421|Manna Sugar|SID56322640|</t>
  </si>
  <si>
    <t>OC[C@@H]1CC(n2c3nc(nc(NC4CC4)c3nc2)N)C=C1</t>
  </si>
  <si>
    <t>OC\C=C(\C=C\C=C(\C=C\C=1C(CCCC=1C)(C)C)/C)/C</t>
  </si>
  <si>
    <t>RETINOL</t>
  </si>
  <si>
    <t>Oleovitamin A|SID26753109|SID144204369|SID26747393|SID26753110|SID124883068|Retinol Palmitate|Vitamin A|Aphalin|SID50105638|SID416404|Retinol|Retinol Acetate|Vitamin A Oil|Vitamin a|Vitamin A 1|SID104171352|SID47193665|SID17389530|Aquasol A|</t>
  </si>
  <si>
    <t>OC\C=C(\CCC=C(C)C)/C</t>
  </si>
  <si>
    <t>GERANIOL</t>
  </si>
  <si>
    <t>SID74795|SID26748503|SID26753731|Geraniol|SID4252542|</t>
  </si>
  <si>
    <t>OC\C=C(\CC\C=C(\CCC=C(C)C)/C)/C</t>
  </si>
  <si>
    <t>FARNESOL</t>
  </si>
  <si>
    <t>SID26753762|SID26753763|SID26749666|Farnesol|</t>
  </si>
  <si>
    <t>OCc1c2c([nH]c1)cccc2</t>
  </si>
  <si>
    <t>SID26747235|SID57260065|SID17388972|SID124889851|SID144214016|Indole-3-Carbinol|</t>
  </si>
  <si>
    <t>OCc1cccnc1</t>
  </si>
  <si>
    <t>NICOTINYL ALCOHOL</t>
  </si>
  <si>
    <t>Nicotinyl Alcohol (Pyridylcarbinol)|Ro-15155|SID29215333|NU-2121|Pyridylmethanol|Roniacol|Nicotinyl Alcohol Tartrate|Nicotinyl Alcohol|Pyridylcarbinol|</t>
  </si>
  <si>
    <t>OCc1ncc([N+](=O)[O-])n1CCO</t>
  </si>
  <si>
    <t>ON1C(=N)C=C(N=C1N)N1CCCCC1</t>
  </si>
  <si>
    <t>SID855572</t>
  </si>
  <si>
    <t>ON1C(N)=CC(=NC1=N)N1CCCCC1</t>
  </si>
  <si>
    <t>O[C@@H]([C@H]1N2C[C@@H]([C@H](C1)CC2)C=C)c1c2c(ncc1)cccc2</t>
  </si>
  <si>
    <t>CINCHONIDINE</t>
  </si>
  <si>
    <t>TCMDC-123934|Cinchonidine|SID56463101|</t>
  </si>
  <si>
    <t>O[C@@H]1CC2=CC=C3[C@@H]4CC[C@H]([C@@H](\C=C\[C@@H](C(C)C)C)C)[C@]4(CC[C@@H]3[C@]2(CC1)C)C</t>
  </si>
  <si>
    <t>ERGOSTEROL</t>
  </si>
  <si>
    <t>Ergosterol D</t>
  </si>
  <si>
    <t>O[C@@H]1CC2=CC[C@H]3[C@@H]4CC[C@H]([C@@H](CC[C@H](C(C)C)CC)C)[C@]4(CC[C@@H]3[C@]2(CC1)C)C</t>
  </si>
  <si>
    <t>BETA-SITOSTEROL</t>
  </si>
  <si>
    <t>SID73808|beta-Sitosterol|b-Sitosterol|</t>
  </si>
  <si>
    <t>O[C@@H]1CC2=CC[C@H]3[C@@H]4CC[C@H]([C@@H](\C=C\[C@H](C(C)C)CC)C)[C@]4(CC[C@@H]3[C@]2(CC1)C)C</t>
  </si>
  <si>
    <t>STIGMASTEROL</t>
  </si>
  <si>
    <t>SID26754398|stigmasterol|</t>
  </si>
  <si>
    <t>O[C@@H]1CCCC[C@H]1N1CCC(CC1)c1ccccc1</t>
  </si>
  <si>
    <t>VESAMICOL</t>
  </si>
  <si>
    <t>Vesamicol|(-)-Vesamicol|(+/-)-Vesamicol|SID11111952|</t>
  </si>
  <si>
    <t>O[C@@H]1CC[C@]2([C@@H](C1)CC[C@H]1[C@H]3CC[C@H]([C@@H](CCC(O)=O)C)[C@]3(CC[C@@H]12)C)C</t>
  </si>
  <si>
    <t>LITHOCHOLIC ACID</t>
  </si>
  <si>
    <t>Lithocholic Acid|Litocholic Acid|SID26752953|SID26752955|SID519980|SID56463230|SID17389842|</t>
  </si>
  <si>
    <t>O[C@@H]1CC[C@]2([C@@H](C1)C[C@@H](O)[C@H]1[C@@H]3CC[C@H]([C@@H](CCC(O)=O)C)[C@]3(CC[C@@H]12)C)C</t>
  </si>
  <si>
    <t>CHENODIOL</t>
  </si>
  <si>
    <t>Chenix|Chenodiol|SID26754178|SID144203963|Chenic Acid|SID56463362|Chenodeoxycholic Acid|</t>
  </si>
  <si>
    <t>O[C@@H]1CC[C@]2([C@@H](C1)C[C@H](O)[C@H]1[C@@H]3CC[C@H]([C@@H](CCC(O)=O)C)[C@]3(CC[C@@H]12)C)C</t>
  </si>
  <si>
    <t>URSODIOL</t>
  </si>
  <si>
    <t>Actigall|Urso 250|Urso Forte|Urso|Ursodeoxycholic Acid|Ursodesoxycholic Acid|Ursodiol|SID11532904|</t>
  </si>
  <si>
    <t>O[C@@H]1CC[C@]2([C@@H](C1)[C@@H](O)C[C@H]1[C@@H]3CC[C@H]([C@@H](CCC(O)=O)C)[C@]3(CC[C@@H]12)C)C</t>
  </si>
  <si>
    <t>HYODEOXYCHOLIC_ACID</t>
  </si>
  <si>
    <t>HDCA</t>
  </si>
  <si>
    <t>O[C@@H]1C[C@H](O)[C@H](C\C=C/CCCC(OC(C)C)=O)[C@H]1CC[C@@H](O)CCc1ccccc1</t>
  </si>
  <si>
    <t>O[C@@H]1C[C@]2([C@H]3[C@]4([C@@]5([C@@H](CC3)C(C)(C)[C@@H](NC)CC5)C4)CC[C@]2(C)[C@H]1[C@@H](NC)C)C</t>
  </si>
  <si>
    <t>O[C@@H]1Cc2c(cccc2)[C@@H]1NC(=O)[C@H](Cc1ccccc1)C[C@H](O)CN1CCN(C[C@H]1C(=O)NC(C)(C)C)Cc1cccnc1</t>
  </si>
  <si>
    <t>INDINAVIR</t>
  </si>
  <si>
    <t>Indinavir|MK-639|L-735524|Crixivan|SID29215411|</t>
  </si>
  <si>
    <t>O[C@@H]1[C@]([C@@H]2CC[C@@]3([C@H](CC=C4[C@@H]5[C@@H](C)[C@@H](CC[C@@]5(CC[C@@]34C)C(O)=O)C)[C@]2(C[C@H]1O)C)C)(CO)C</t>
  </si>
  <si>
    <t>ASIATIC ACID</t>
  </si>
  <si>
    <t>NSC-88135</t>
  </si>
  <si>
    <t>O[C@@]1(CCC2[C@@](CCCC2(C)C)(C)[C@H]1CCC(O)(C=C)C)C</t>
  </si>
  <si>
    <t>SCLAREOL</t>
  </si>
  <si>
    <t>O[C@H]([C@@H]1N2C[C@@H]([C@H](C1)CC2)C=C)c1c2c(ncc1)cccc2</t>
  </si>
  <si>
    <t>CINCHONINE</t>
  </si>
  <si>
    <t>TCMDC-123933|SID72169|SID56463110|GNF-Pf-3189|Cinchonine|</t>
  </si>
  <si>
    <t>O[C@H]1CC[C@@H]2[C@H](C[C@@H]3N(CCc4c5c([nH]c34)cccc5)C2)[C@@H]1C(OC)=O</t>
  </si>
  <si>
    <t>CORYNANTHEINE</t>
  </si>
  <si>
    <t>Corynanthine|Corynantheine|SID56323956|SID11111718|SID11111717|SID26751946|SID50104622|</t>
  </si>
  <si>
    <t>O[C@H]1CC[C@@H]2[C@H](C[C@@H]3N(CCc4c5c([nH]c34)cccc5)C2)[C@H]1C(OC)=O</t>
  </si>
  <si>
    <t>YOHIMBINE</t>
  </si>
  <si>
    <t>Yohimbine|SID144203570|SID46501178|SID90340710|</t>
  </si>
  <si>
    <t>O[C@H]1CC[C@]2([C@@H](CC[C@@]3([C@@H]2CC=C2[C@@H]4CC(CC[C@@]4(CC[C@]23C)C(O)=O)(C)C)C)C1(C)C)C</t>
  </si>
  <si>
    <t>OLEANOLIC_ACID</t>
  </si>
  <si>
    <t>SID26725302|NSC-114945|SID26754292|</t>
  </si>
  <si>
    <t>O[C@H]1CC[C@]2([C@@H](CC[C@@]3([C@@H]2CC=C2[C@@H]4[C@@H](C)[C@@H](CC[C@@]4(CC[C@]23C)C(O)=O)C)C)C1(C)C)C</t>
  </si>
  <si>
    <t>URSOLIC ACID</t>
  </si>
  <si>
    <t>SID56463656|NSC-4060|SID26754242|SID26725260|</t>
  </si>
  <si>
    <t>O[C@H]1C[C@H](O)C\C(=C\C=C/2\[C@@H]3CC[C@H]([C@@H](CCCC(O)(C)C)C)[C@]3(CCC\2)C)\C1=C</t>
  </si>
  <si>
    <t>O[C@H]1C[C@H](O)C\C(=C\C=C/2\[C@@H]3CC[C@H]([C@@H](\C=C\[C@@H](O)C4CC4)C)[C@]3(CCC\2)C)\C1=C</t>
  </si>
  <si>
    <t>O[C@H]1C[C@H]2[C@H]([C@@H]3CC[C@H]([C@@H](CCC(O)=O)C)[C@@]13C)[C@H](O)C[C@@H]1C[C@H](O)CC[C@@]12C</t>
  </si>
  <si>
    <t>CHOLIC ACID</t>
  </si>
  <si>
    <t>SID26754162|E1000|SID26754161|Cholic Acid|</t>
  </si>
  <si>
    <t>O[C@H]1[C@@H](O)[C@H](n2c3c(nc2)c(ncc3)N)C=C1CC</t>
  </si>
  <si>
    <t>O[C@H]1[C@@H](O)[C@H](n2c3ncnc(N)c3nc2)C=C1CO</t>
  </si>
  <si>
    <t>NEOPLANOCIN A</t>
  </si>
  <si>
    <t>Neoplanocin A|NPA|</t>
  </si>
  <si>
    <t>O[C@H]1[C@H](O)[C@@H](O)CN(CCCC)[C@@H]1CO</t>
  </si>
  <si>
    <t>MIGLUSTAT</t>
  </si>
  <si>
    <t>OGT-918|Miglustat|Zavesca|</t>
  </si>
  <si>
    <t>O[C@H]1[C@H](O)[C@@H](O)CN(CCO)[C@@H]1CO</t>
  </si>
  <si>
    <t>MIGLITOL</t>
  </si>
  <si>
    <t>BAY-M-1099|Miglitol|SID26719889|Diastabol|Glyset|SID49681630|</t>
  </si>
  <si>
    <t>O[C@]1(CC[C@H]2[C@H]3[C@@H]([C@@H]4C(CC3)=CCCC4)CC[C@]12C)CC</t>
  </si>
  <si>
    <t>ETHYLESTRENOL</t>
  </si>
  <si>
    <t>Ethyloestrenol|SID50112767|Ethylestrenol|Ethylnandrol|Maxibolin|SID144206065|</t>
  </si>
  <si>
    <t>O[C@]1(CC[C@H]2[C@H]3[C@H](CC[C@]12C)[C@@]1(C(C[C@@H](O)CC1)=CC3)C)C</t>
  </si>
  <si>
    <t>METHANDRIOL</t>
  </si>
  <si>
    <t>Methandriol|Methylandrostenediol|Methostan|Mestenediol|</t>
  </si>
  <si>
    <t>O[C@]1(CC[C@H]2[C@H]3[C@H](CC[C@]12C)[C@@]1([C@H](Cc2[nH]ncc2C1)CC3)C)C</t>
  </si>
  <si>
    <t>O[C@]1(CC[C@H]2[C@H]3[C@H](CC[C@]12C)[C@@]1([C@H](Cc2n[nH]cc2C1)CC3)C)C</t>
  </si>
  <si>
    <t>Oc1[nH]c2c(cccc2)c1C1=Nc2c(cccc2)C1=O</t>
  </si>
  <si>
    <t>SID85272409|SID26719818|</t>
  </si>
  <si>
    <t>Oc1[nH]cnc-2nncc1-2</t>
  </si>
  <si>
    <t>Oc1c(C=O)c(cnc1C)CO</t>
  </si>
  <si>
    <t>PYRIDOXAL</t>
  </si>
  <si>
    <t>SID29215199|SID29215200|SID26754377|Pyridoxal|</t>
  </si>
  <si>
    <t>Oc1c(CO)c(cnc1C)CO</t>
  </si>
  <si>
    <t>PYRIDOXINE</t>
  </si>
  <si>
    <t>Vitamin B6|M.V.I.-12|Pyridoxine|SID11112145|Hexa-Betalin|</t>
  </si>
  <si>
    <t>Oc1c(O)c(c2c(cc(C)c(-c3c(cc4c(c(C=O)c(O)c(O)c4C(C)C)c3O)C)c2O)c1C(C)C)C=O</t>
  </si>
  <si>
    <t>GOSSYPOL</t>
  </si>
  <si>
    <t>SID124882242|SID124882244|SID124882246|SID26747182|SID104171302|SID26752256|SID26752257|Gossypol|SID8139932|SID11114252|SID11112318|SID144203985|SID90341416|SID50104971|SID106063|SID26747183|(-)-Gossypol|SID124882245|</t>
  </si>
  <si>
    <t>Oc1c(O)cc(cc1O)C(OCC)=O</t>
  </si>
  <si>
    <t>ETHYLGALLATE</t>
  </si>
  <si>
    <t>E313</t>
  </si>
  <si>
    <t>Oc1c([N+](=O)[O-])cc(cc1O)\C=C(\C(=O)N(CC)CC)/C#N</t>
  </si>
  <si>
    <t>ENTACAPONE</t>
  </si>
  <si>
    <t>SID26757974|Entacapone|OR-611|Comtan|</t>
  </si>
  <si>
    <t>Oc1c(c2c(cc1C(O)=O)cccc2)Cc1c2c(cc(C(O)=O)c1O)cccc2</t>
  </si>
  <si>
    <t>PAMOIC ACID</t>
  </si>
  <si>
    <t>SID4252816|SID89510|SID124877297|Pamoic Acid|SID124896566|</t>
  </si>
  <si>
    <t>Oc1c(cccc1C(C)C)C(C)C</t>
  </si>
  <si>
    <t>PROPOFOL</t>
  </si>
  <si>
    <t>ICI-35868|SID17389856|Propofol|Disoprivan|Diprivan|Disoprofol|SID47193694|SID26747380|SID11111122|SID90341256|Rapinovet|SID11111121|SID50105615|</t>
  </si>
  <si>
    <t>Oc1c2c(C(=O)c3c(C2=O)c(NCCNCCO)ccc3NCCNCCO)c(O)cc1</t>
  </si>
  <si>
    <t>MITOXANTRONE</t>
  </si>
  <si>
    <t>Novantrone|SID85856281|SID11111482|Mitoxantrone Hydrochloride|SID142727|SID50111146|Mitoxantrone|SID92763439|SID90341083|SID11111483|</t>
  </si>
  <si>
    <t>Oc1c2c(C(=O)c3c(cccc3)C2=O)c(O)cc1O</t>
  </si>
  <si>
    <t>PURPURIN</t>
  </si>
  <si>
    <t>1|2|4-Trihydroxy-Anthraquinone|SID85272408|SID539798|SID89850279|SID26753755|Purpurin|SID26749352|</t>
  </si>
  <si>
    <t>Oc1c2c(cc(c1)C(O)=O)C(=O)c1c(C2=O)c(O)ccc1</t>
  </si>
  <si>
    <t>RHEIN</t>
  </si>
  <si>
    <t>SID124883454|SID855879|SID17388745|Rhein|SID50104142|</t>
  </si>
  <si>
    <t>Oc1c2c(cc(c1)C)C(=O)c1c(C2=O)c(O)cc(O)c1</t>
  </si>
  <si>
    <t>EMODIN</t>
  </si>
  <si>
    <t>SID17389019|SID11111157|SID85231039|SID11111158|Emodin|SID124880055|SID47193718|SID50105616|SID477762|SID90340961|SID50105617|SID26753048|SID124880057|</t>
  </si>
  <si>
    <t>Oc1c2c(cc(c1)C)C(=O)c1c(C2=O)c(O)ccc1</t>
  </si>
  <si>
    <t>SID22405477|SID26747395|SID17389107|SID50105639|</t>
  </si>
  <si>
    <t>Oc1c2c(ccc1)C(=O)C(=CC2=O)C</t>
  </si>
  <si>
    <t>PLUMBAGIN</t>
  </si>
  <si>
    <t>SID26747815|SID133894|plumbagin|SID26753709|</t>
  </si>
  <si>
    <t>Oc1c2nc(ccc2ccc1)C(O)=O</t>
  </si>
  <si>
    <t>SID26728552|SID48410106|</t>
  </si>
  <si>
    <t>Oc1c2ncccc2c(cc1)C(O)=O</t>
  </si>
  <si>
    <t>SID85736331|SID99495762|SID90419359|</t>
  </si>
  <si>
    <t>Oc1cc(O)c2nc3c(nc2c1C=O)c(O)ccc3C(OC)=O</t>
  </si>
  <si>
    <t>LOMOFUNGIN</t>
  </si>
  <si>
    <t>SID407018|U-24792|SID26732584|Lomofungin|</t>
  </si>
  <si>
    <t>Oc1cc(O)cc(O)c1C(=O)C</t>
  </si>
  <si>
    <t>2,4,6-TRIHYDROXYACETOPHENONE</t>
  </si>
  <si>
    <t>2|4|6-Trihydroxyacetophenone|2|4|6-Trihydroxy Acetophenone|SID26749616|</t>
  </si>
  <si>
    <t>Oc1cc(O)cc(O)c1C(=O)CCc1ccc(O)cc1</t>
  </si>
  <si>
    <t>PHLORETIN</t>
  </si>
  <si>
    <t>SID124881191|SID124881194|Phloretin|SID26747651|SID26753632|2'|4|4'|6'-Tetrahydroxydihydrochalcone|SID26725279|SID11111666|SID50106910|SID90341086|SID46500461|2'|4|4'|6'-Tetrahydroxy-Dihydrochalcone|SID85231195|SID11111667|SID50106911|</t>
  </si>
  <si>
    <t>Oc1cc(O)ccc1C(=O)\C=C\c1ccc(O)cc1</t>
  </si>
  <si>
    <t>ISOLIQUIRITIGENIN</t>
  </si>
  <si>
    <t>SID26752559|SID50105360|Isoliquiritigenin|SID93576722|SID26747225|SID14728533|SID90340639|SID50105357|SID50105359|SID50105356|SID50105358|</t>
  </si>
  <si>
    <t>Oc1cc([N+](CC)(C)C)ccc1</t>
  </si>
  <si>
    <t>EDROPHONIUM</t>
  </si>
  <si>
    <t>ENLON-PLUS|SID11111144|Edrophonium|SID11111143|Enlon|SID50104222|SID90341680|Tensilon|SID50100235|Reversol|</t>
  </si>
  <si>
    <t>Oc1cc(cc(O)c1)C(O)CNC(C)(C)C</t>
  </si>
  <si>
    <t>TERBUTALINE</t>
  </si>
  <si>
    <t>Bricanyl|Brethaire|SID90341646|Brethine|Terbutaline|</t>
  </si>
  <si>
    <t>Oc1cc(cc(O)c1)C(O)CNC(C)C</t>
  </si>
  <si>
    <t>METAPROTERENOL</t>
  </si>
  <si>
    <t>SID26748125|Alupent|Metaproterenol|Prometa|SID90340962|</t>
  </si>
  <si>
    <t>Oc1cc(cc(O)c1)\C=C/c1ccc(O)cc1</t>
  </si>
  <si>
    <t>CIS-RESVERATROL</t>
  </si>
  <si>
    <t>(Z)-Resveratrol|SID50100557|SID124883086|SID11111743|SID11111742|SID11113359|Cis-Resveratrol|SID11113271|</t>
  </si>
  <si>
    <t>Oc1cc(cc(O)c1)\C=C\c1ccc(O)cc1</t>
  </si>
  <si>
    <t>RESVERATROL</t>
  </si>
  <si>
    <t>SID124883089|SID17388746|SID26747077|SID90341821|SID124883094|SID50104225|SID26751587|3|5|4'-Trihydroxy-trans-stilbene|SID50104223|SID855986|SID26751586|SID50104224|Resveratrol|SID26747076|SID49734167|SID144203808|SID50126366|SID458391|SID85231343|SID124883091|SID124883093|</t>
  </si>
  <si>
    <t>Oc1cc(ccc1O)C(O)=C1C(=O)C2(CC=C(C)C)C(C)(C)C(CC(CC(C(C)=C)CC=C(C)C)(C2=O)C1=O)CC=C(C)C</t>
  </si>
  <si>
    <t>Oc1cc(ccc1O)C(O)=O</t>
  </si>
  <si>
    <t>PROTOCATECHUIC ACID</t>
  </si>
  <si>
    <t>Protacatechuic Acid|SID26665736|</t>
  </si>
  <si>
    <t>Oc1cc(ccc1O)C(O)CN</t>
  </si>
  <si>
    <t>SID90341653</t>
  </si>
  <si>
    <t>Oc1cc(ccc1O)C(O)CNC</t>
  </si>
  <si>
    <t>RACEPINEPHRINE</t>
  </si>
  <si>
    <t>Vaponefrin|Racepinephrine|Racepinefrine|SID90341754|</t>
  </si>
  <si>
    <t>Oc1cc(ccc1O)C(O)CNC(C)C</t>
  </si>
  <si>
    <t>ISOPROTERENOL</t>
  </si>
  <si>
    <t>SID144203723|SID50104946|SID104171176|Isoproterenol|SID50111114|SID90340610|SID26752240|</t>
  </si>
  <si>
    <t>Oc1cc(ccc1O)CC(C(Cc1cc(O)c(O)cc1)C)C</t>
  </si>
  <si>
    <t>NORDIHYDROGUAIARETIC ACID</t>
  </si>
  <si>
    <t>SID124880893|SID50106728|SID11111541|CHX-100|Masoprocol|SID104171200|SID50100292|SID50106727|SID70634|Actinex|Meso-Nordihydroguaiaretic Acid|SID124891671|SID90341429|SID855767|SID50105253|Nordihydroguaiaretic acid|SID11111540|MESO-NDGA|SID50105254|</t>
  </si>
  <si>
    <t>Oc1cc(ccc1O)CC(N)(C(O)=O)C</t>
  </si>
  <si>
    <t>METHYLDOPA (RACEMIC)</t>
  </si>
  <si>
    <t>2-Amino-3-(3|4-Dihydroxy-Phenyl)-2- Methyl-Propionic Acid(Catechol Metabolite)|SID50106599|SID50106598|SID85231121|Methyldopa|SID90340754|</t>
  </si>
  <si>
    <t>Oc1cc(ccc1O)CC(NN)(C(O)=O)C</t>
  </si>
  <si>
    <t>SID124879489</t>
  </si>
  <si>
    <t>Oc1cc(ccc1O)CC(O)=O</t>
  </si>
  <si>
    <t xml:space="preserve">3,4-DIHYDROXYPHENYLACETIC ACID </t>
  </si>
  <si>
    <t>DOPAC|SID50106188|SID85231019|SID124879971|SID11111112|SID26753554|SID26732626|SID90341470|</t>
  </si>
  <si>
    <t>Oc1cc(ccc1O)CC(O)C(O)=O</t>
  </si>
  <si>
    <t>Oc1cc(ccc1O)CCN</t>
  </si>
  <si>
    <t>DOPAMINE</t>
  </si>
  <si>
    <t>Sinemet|SID26750067|SID50107800|SID144203718|Dopamine|Intropin|Parcopa|SID26753786|Carbilev|SID104171172|SID124880336|SID11111282|SID90341661|SID124880337|SID57288369|SID26753787|</t>
  </si>
  <si>
    <t>Oc1cc(ccc1O)C[C@@](N)(C(O)=O)C</t>
  </si>
  <si>
    <t>SID26748136|SID124882350|SID11112415|SID11111409|SID11111408|</t>
  </si>
  <si>
    <t>Oc1cc(ccc1O)[C@@H](O)CNC</t>
  </si>
  <si>
    <t>EPINEPHRINE</t>
  </si>
  <si>
    <t>Bronkaid Mist|Medihaler-Epi|Sus-Phrine|Adrenaclick|SID90341589|Epinephrine Hydrochloride|Epipen Jr.|Levo-Methylaminoethanolcatechol|Sus-Phrine Sulfite-Free|Twinject 0.15|Twinject 0.3|Epinephrine|Auvi-Q|SID26754418|SID26754419|Primatene Mist|Epi E Z Pen Jr|Twinject|SID29215202|SID11111154|Adrenaline|Akpro|Epipen|Epipen E Z Pen|Propine|Ana-Kit|Adrenalin|SID26754420|</t>
  </si>
  <si>
    <t>Oc1cc(ccc1O)\C=C\C(O)=O</t>
  </si>
  <si>
    <t>CAFFEIC ACID</t>
  </si>
  <si>
    <t>Caffeic acid|SID50104062|SID26746990|SID50104061|SID50104063|SID90340699|SID50104065|SID26751505|SID124883134|SID50104064|SID855772|SID106262|trans-Caffeate|SID85231345|SID124883138|SID56422203|</t>
  </si>
  <si>
    <t>Oc1cc(ccc1O)\C=C\C(O[C@@H]1C[C@@](O)(C[C@@H](O)[C@H]1O)C(O)=O)=O</t>
  </si>
  <si>
    <t>CHLOROGENIC ACID</t>
  </si>
  <si>
    <t>SID56463713|NSC-407296|</t>
  </si>
  <si>
    <t>Oc1cc(nc2c1cccc2)C(O)=O</t>
  </si>
  <si>
    <t>TRANSTORINE</t>
  </si>
  <si>
    <t>SID26747099|SID50104348|SID11113415|SID26747100|SID26751656|SID90340624|Kynurenic Acid|SID50104346|SID124880499|SID124880498|SID85231101|SID11111352|SID50104347|SID56463252|</t>
  </si>
  <si>
    <t>Oc1cc2CC[C@H]3NCc4c([C@@H]3c2cc1O)cccc4</t>
  </si>
  <si>
    <t>DIHYDREXIDINE</t>
  </si>
  <si>
    <t>Dihydrexidine|SID11111082|Rel-Dihydrexidine|SID124886952|</t>
  </si>
  <si>
    <t>Oc1cc2CC[C@H]3[C@@H]4CC[C@@](O)(C#C)[C@]4(CC[C@@H]3c2cc1)C</t>
  </si>
  <si>
    <t>ETHINYL ESTRADIOL</t>
  </si>
  <si>
    <t>Estinyl|SID76025|Ginestrene|Ethinyl Estradiol|Ethynylestradiol|Lynoral|Ethinyloestradiol|SID144204698|Etinestryl|Ethinylestradiol|SID26753042|Follicoral|Feminone|</t>
  </si>
  <si>
    <t>Oc1cc2CC[C@H]3[C@@H]4CC[C@H](O)[C@]4(CC[C@@H]3c2cc1)C</t>
  </si>
  <si>
    <t>ESTRADIOL</t>
  </si>
  <si>
    <t>Agofollin|Alfatradiol|Destradiol|Estrogel|Menostar|Dihydrotheelin|Oestradiol|SID56422158|SID90341590|Femring|Gynergon|Gynoestryl|Vagifem 8|SID26753050|SID8139865|Elestrim|Alora|Dihydroxyestrin|Elestrin|Estraderm|Estradiol|Estring|Gynodiol|Gynogen|SID26753052|SID50105620|SID29215117|SID50105619|Divigel|Esclim|Femtrace|Aquagen|Climara Pro|Estradiol hemihydrate|SID29215116|SID17389898|SID29215115|SID144204699|Depo-Estradiol|Estrace|Vagifem|Vivelle|Vivelle-Dot|SID26753051|Evamist|Fempatch|ECP|Estradiol Hemihydrate|Gvnodiol|Climara|Estrasorb|Innofem|E-Cypionate|Vagifem 18|Minivelle|SID50124031|</t>
  </si>
  <si>
    <t>Oc1cc2CC[C@H]3[C@@H]4CC[C@H](OC(=O)CCCC)[C@]4(CC[C@@H]3c2cc1)C</t>
  </si>
  <si>
    <t>ESTRADIOL VALERATE</t>
  </si>
  <si>
    <t>Estradiol Valerate|Estradiol valerate|Oestradiol Valerate|Delestrogen|SID56422428|SID855707|SID144204865|</t>
  </si>
  <si>
    <t>Oc1cc2[C@]34[C@@H]([C@@H](N(CC3)C)Cc2cc1)CCCC4</t>
  </si>
  <si>
    <t>DEXTRORPHAN</t>
  </si>
  <si>
    <t>Dextrorphan</t>
  </si>
  <si>
    <t>Oc1cc2[nH]c3c(c2cc1)ccnc3C</t>
  </si>
  <si>
    <t>SID26666784|SID124882889|SID11113167|SID26754311|</t>
  </si>
  <si>
    <t>Oc1cc2c([nH]cc2CC(N)C(O)=O)cc1</t>
  </si>
  <si>
    <t>Oc1cc2c([nH]cc2C[C@H](N)C(O)=O)cc1</t>
  </si>
  <si>
    <t>OXITRIPTAN</t>
  </si>
  <si>
    <t>SID50105516|SID11111290|Oxitriptan|SID26752894|SID50105515|SID90340691|SID124890389|SID17388954|SID56463305|</t>
  </si>
  <si>
    <t>Oc1ccc(N(CC=2NCCN=2)c2ccc(cc2)C)cc1</t>
  </si>
  <si>
    <t>Oc1ccc(N)cc1C(O)=O</t>
  </si>
  <si>
    <t>MESALAMINE</t>
  </si>
  <si>
    <t>Canasa|Mesalamine|Asacol Hd|SID104171289|Fisalamine|Lialda|Pentasa|SID11112235|Sfrowasa|SID26752847|Colazal|SID17389224|Asacol|Mesalazine|Rowasa|SID49681712|Apriso|</t>
  </si>
  <si>
    <t>Oc1ccc(N2N(C(=O)C(CCCC)C2=O)c2ccccc2)cc1</t>
  </si>
  <si>
    <t>OXYPHENBUTAZONE</t>
  </si>
  <si>
    <t>Oxiphenbutazone|Oxyphenbutazone|Oxazolidin|SID26748182|Tandearil|SID56463172|SID144203965|</t>
  </si>
  <si>
    <t>Oc1ccc(N=Nc2ccc(cc2)C(=O)NCCC(O)=O)cc1C(O)=O</t>
  </si>
  <si>
    <t>BALSALAZIDE</t>
  </si>
  <si>
    <t>Balsalazide|SID26758056|</t>
  </si>
  <si>
    <t>Oc1ccc(NC(=O)CCC\C=C/C\C=C/C\C=C/C\C=C/CCCCC)cc1</t>
  </si>
  <si>
    <t>SID49681664|AM-404|SID11113927|SID26719716|</t>
  </si>
  <si>
    <t>Oc1ccc(cc1)C(O)C(N1CCC(CC1)Cc1ccccc1)C</t>
  </si>
  <si>
    <t>IFENPRODIL</t>
  </si>
  <si>
    <t>SID50104451|RC 61-91|SID90341159|SID144204466|Ifenprodil Tartrate|SID26751765|SID29215029|Ifenprodil|SID50104452|</t>
  </si>
  <si>
    <t>Oc1ccc(cc1)C(O)CN</t>
  </si>
  <si>
    <t>OCTOPAMINE</t>
  </si>
  <si>
    <t>SID144203766|Octopamine|SID90341287|ND-50|SID104171205|</t>
  </si>
  <si>
    <t>Oc1ccc(cc1)C(O)CNC</t>
  </si>
  <si>
    <t>OXEDRINE</t>
  </si>
  <si>
    <t>Synephrine|SID50105255|SID90340909|SID49681813|SID17388717|Oxedrine|SID855689|SID85231217|</t>
  </si>
  <si>
    <t>Oc1ccc(cc1)CC(NC(=O)C(NC(=O)C(NC(=O)C(NC(=O)C1NC(=O)CC1)Cc1nc[nH]c1)Cc1c2c([nH]c1)cccc2)CO)C(=O)NC(C(=O)NC(CC(C)C)C(=O)N[C@@H](CCCN=C(N)N)C(=O)N1CCCC1C(=O)NNC(=O)N)COC(C)(C)C</t>
  </si>
  <si>
    <t>GOSERELIN</t>
  </si>
  <si>
    <t>Goserelin|ICI-118630|Zoladex|Goserelin Acetate|</t>
  </si>
  <si>
    <t>Oc1ccc(cc1)CC(O)=O</t>
  </si>
  <si>
    <t>2-(4-Hydroxyphenyl)Acetic Acid|SID47193702|</t>
  </si>
  <si>
    <t>Oc1ccc(cc1)CCN</t>
  </si>
  <si>
    <t>TYRAMINE</t>
  </si>
  <si>
    <t>Tyramine|SID104171251|SID90341354|SID858070|SID11111872|</t>
  </si>
  <si>
    <t>Oc1ccc(cc1)CCN(C)C</t>
  </si>
  <si>
    <t>HORDENINE</t>
  </si>
  <si>
    <t>Hordenine|SID26754605|</t>
  </si>
  <si>
    <t>Oc1ccc(cc1)C[C@@H](N)C(O)=O</t>
  </si>
  <si>
    <t>D-Tyrosine|SID26754407|SID26754408|</t>
  </si>
  <si>
    <t>Oc1ccc(cc1)C[C@H](N)C(O)=O.OC(=O)CC[C@H](N)C(O)=O.OC(=O)C.OC(=O)[C@@H](N)CCCCN.OC(=O)[C@@H](N)C</t>
  </si>
  <si>
    <t>Oc1ccc(cc1)C[C@](N)(C(O)=O)C</t>
  </si>
  <si>
    <t>METYROSINE</t>
  </si>
  <si>
    <t>SID50106644|SID50106645|SID50106646|Demser|Metyrosine|L-588357-0|MK-781|SID90341393|Metirosine|SID29215162|</t>
  </si>
  <si>
    <t>Oc1ccc(cc1-c1cc(CC=C)c(O)cc1)CC=C</t>
  </si>
  <si>
    <t>HONOKIOL</t>
  </si>
  <si>
    <t>SID26756947|SID24823977|SID49681541|Honokiol|SID29216424|</t>
  </si>
  <si>
    <t>Oc1ccc(cc1-c1cc(ccc1O)CC=C)CC=C</t>
  </si>
  <si>
    <t>MAGNOLOL</t>
  </si>
  <si>
    <t>Magnolol|SID26755255|SID24824085|SID26755254|</t>
  </si>
  <si>
    <t>Oc1ccc(cc1C(=O)N)C(O)CNC(CCc1ccccc1)C</t>
  </si>
  <si>
    <t>LABETALOL</t>
  </si>
  <si>
    <t>Normozide|Trandate|Labetalol|SID90341718|Normodyne|</t>
  </si>
  <si>
    <t>Oc1ccc(cc1CO)C(O)CNC(C)(C)C</t>
  </si>
  <si>
    <t>ALBUTEROL</t>
  </si>
  <si>
    <t>Accuneb|Salbutamol|PROVENTIL-HFA|Combivent|Ventolin Hfa|Albuterol|Ventolin|SID104171238|Volmax|Proventil Hfa|SID90340718|SID90341530|Duoneb|Proventil|Proair Hfa|SID50104505|</t>
  </si>
  <si>
    <t>Oc1ccc(cc1CO)C(O)CNCCCCCCOCCCCc1ccccc1</t>
  </si>
  <si>
    <t>SALMETEROL</t>
  </si>
  <si>
    <t>Serevent|SID26719802|Serevent Diskus|GR-33343X|Salmeterol|SID144207133|Salmaterol|GR-33343-X|</t>
  </si>
  <si>
    <t>Oc1ccc(cc1[C@H](CCN(C(C)C)C(C)C)c1ccccc1)C</t>
  </si>
  <si>
    <t>TOLTERODINE</t>
  </si>
  <si>
    <t>KABI-2234|SID144205290|Tolterodine|SID49666284|Detrol|SID29215497|</t>
  </si>
  <si>
    <t>Oc1cccc(CCCCCCCCCCCCCCC)c1C(O)=O</t>
  </si>
  <si>
    <t>ANACARDIC ACID</t>
  </si>
  <si>
    <t>Anacardic Acid|6-(Pentadecyl)Salicylic Acid|Anarcadic Acid|6-Pentadecatrienylsalicylic Acid|</t>
  </si>
  <si>
    <t>Oc1cccc(CCCCCCC\C=C/CCCCCC)c1C(O)=O</t>
  </si>
  <si>
    <t>GINGKOLIC ACID</t>
  </si>
  <si>
    <t>6[8'(Z )-Pentadecenyl]Salicylic Acid|Anacardic Acid 8'Z-Monoene|Gingkolic Acid|SID26749344|</t>
  </si>
  <si>
    <t>Oc1nc(C)c(cc1C#N)-c1ccncc1</t>
  </si>
  <si>
    <t>Oc1nc(nc2n(cnc12)CCC(CO)CO)N</t>
  </si>
  <si>
    <t>PENCICLOVIR</t>
  </si>
  <si>
    <t>Vectavir|SID144205801|Penciclovir|Denavir|BRL-39123|</t>
  </si>
  <si>
    <t>Oc1nc(nc2n(cnc12)COC(CO)CO)N</t>
  </si>
  <si>
    <t>Oc1nc(nc2n(cnc12)COCCO)N</t>
  </si>
  <si>
    <t>ACYCLOVIR</t>
  </si>
  <si>
    <t>Aciclovir|Acycloguanosine|Cyclovir|SID50105759|SID50104033|Acyclovir|SID50112892|SID144203626|Zovirax|SID11110743|SID11110742|SID124879196|SID26747423|SID855732|SID90341314|</t>
  </si>
  <si>
    <t>Oc1nc(nc2n(cnc12)COCCOC(=O)[C@@H](N)C(C)C)N</t>
  </si>
  <si>
    <t>VALACYCLOVIR</t>
  </si>
  <si>
    <t>SID29215498|Valacyclovir|Valtrex|SID56422581|</t>
  </si>
  <si>
    <t>Oc1nc(nc2ncc(nc12)CNc1ccc(cc1)C(=O)N[C@@H](CCC(O)=O)C(O)=O)N</t>
  </si>
  <si>
    <t>Oc1nc2c(cccc2)c(c1)C(O)=O</t>
  </si>
  <si>
    <t>P(O)(O)(=O)C(O)=O</t>
  </si>
  <si>
    <t>FOSCARNET</t>
  </si>
  <si>
    <t>Foscavir|Foscarnet|</t>
  </si>
  <si>
    <t>P(O)(O)(=O)[C@H]1O[C@H]1C</t>
  </si>
  <si>
    <t>FOSFOMYCIN</t>
  </si>
  <si>
    <t>Fosfomycin|Fosfomycin Calcium|Fosfomycin Sodium|Monurol|</t>
  </si>
  <si>
    <t>P(OCC1OC(N2C=CC(=NC2=O)N)C(O)C1O)(O)(O)=O</t>
  </si>
  <si>
    <t>SID92763959|SID403149|</t>
  </si>
  <si>
    <t>P(OC[C@H]1O[C@@H](N2C=C(CC=C2)C(=O)N)[C@H](O)[C@@H]1O)(OP(OC[C@H]1O[C@@H](n2c3ncnc(N)c3nc2)[C@H](O)[C@@H]1O)(O)=O)(O)=O</t>
  </si>
  <si>
    <t>P(OC[C@H]1O[C@@H](N2C=CC(=O)NC2=O)[C@H](O)[C@@H]1O)(OP(OP(O)(O)=O)(O)=O)(O)=O</t>
  </si>
  <si>
    <t>URIDINE TRIPHOSPHATE</t>
  </si>
  <si>
    <t>SID26756678|UTP|Uridine triphosphate|Uridine-5'-triphosphate|</t>
  </si>
  <si>
    <t>P(OC[C@H]1O[C@@H]([n+]2cc(ccc2)C(=O)N)[C@H](O)[C@@H]1O)(OP(OC[C@H]1O[C@@H](n2c3ncnc(N)c3nc2)[C@H](O)[C@@H]1O)(O)=O)(=O)[O-]</t>
  </si>
  <si>
    <t>NADIDE</t>
  </si>
  <si>
    <t>Diphosphopyridine Nucleotide|Nadide|CO-I|NAD|DPN|Nicotinamide Adenine Dinucleotide|</t>
  </si>
  <si>
    <t>P(OC[C@H]1O[C@@H](n2c3N=CNC(=O)c3nc2)[C@H](O)[C@@H]1O)(O)(O)=O</t>
  </si>
  <si>
    <t>SID26754274</t>
  </si>
  <si>
    <t>P(OC[C@H]1O[C@@H](n2c3ncnc(N)c3nc2)[C@H](O)[C@@H]1O)(OP(OC[C@@H](O)[C@@H](O)[C@@H](O)CN1C2=NC(=O)NC(=O)C2=Nc2cc(C)c(cc12)C)(O)=O)(O)=O</t>
  </si>
  <si>
    <t>FLAVIN ADENINE DINUCLEOTIDE</t>
  </si>
  <si>
    <t>Flavin Adenine Dinucleotide|SID50112827|</t>
  </si>
  <si>
    <t>P(OC[C@H]1O[C@@H](n2c3ncnc(N)c3nc2)[C@H](O)[C@@H]1O)(OP(OP(O)(O)=O)(O)=O)(O)=O</t>
  </si>
  <si>
    <t>ADENOSINE TRIPHOSPHATE</t>
  </si>
  <si>
    <t>SID26756664|SID26514303|ATP|Adenosine triphosphate|</t>
  </si>
  <si>
    <t>P(OC[C@H]1O[C@@H](n2nc(nc2)C(=O)N)[C@H](O)[C@@H]1O)(OP(OP(O)(O)=O)(O)=O)(O)=O</t>
  </si>
  <si>
    <t>RIBAVIRIN TRIPHOSPHATE</t>
  </si>
  <si>
    <t>Ribavirin 5'-Triphosphate</t>
  </si>
  <si>
    <t>S(=O)(=O)(C)C</t>
  </si>
  <si>
    <t>METHANESULFONYLMETHANE</t>
  </si>
  <si>
    <t>SID26750007|Methanesulfonylmethane|</t>
  </si>
  <si>
    <t>S(=O)(=O)(C)c1ccc(cc1)C=1COC(=O)C=1c1ccccc1</t>
  </si>
  <si>
    <t>ROFECOXIB</t>
  </si>
  <si>
    <t>MK-0966|SID26748942|MK-966|Rofecoxib|Vioxx|SID49665949|SID535364|</t>
  </si>
  <si>
    <t>S(=O)(=O)(CC(O)(C(=O)Nc1cc(C(F)(F)F)c(cc1)C#N)C)c1ccc(F)cc1</t>
  </si>
  <si>
    <t>BICALUTAMIDE</t>
  </si>
  <si>
    <t>Kalumid|ICI-176334|Casodex|Cosudex|Calutide|Bicalutamide|SID26719836|</t>
  </si>
  <si>
    <t>S(=O)(=O)(CC)c1cc(C(=O)NCC2N(CCC2)CC)c(OC)cc1N</t>
  </si>
  <si>
    <t>AMISULPRIDE</t>
  </si>
  <si>
    <t>SID26753203|SID26719748|Amisulpride|SID26719747|</t>
  </si>
  <si>
    <t>S(=O)(=O)(CCn1c(ncc1[N+](=O)[O-])C)CC</t>
  </si>
  <si>
    <t>TINIDAZOLE</t>
  </si>
  <si>
    <t>Symplotan|CP-12574|Tindamax|Trimonase|SID11112651|SID855690|Tinidazole|Fasigyn|SID56422390|</t>
  </si>
  <si>
    <t>S(=O)(=O)(N(C)C)c1ccc(cc1)C(=O)Nc1c2c(oc1C(=O)N)cccc2</t>
  </si>
  <si>
    <t>S(=O)(=O)(N(C)c1ccccc1)c1ccc(cc1)C(=O)Nc1c2c(oc1C(=O)N)cccc2</t>
  </si>
  <si>
    <t>S(=O)(=O)(N(CC(C)C)C[C@@H](O)[C@@H](NC(O[C@H]1CCOC1)=O)Cc1ccccc1)c1ccc(N)cc1</t>
  </si>
  <si>
    <t>AMPRENAVIR</t>
  </si>
  <si>
    <t>VX-478|141 W94|141W94|KVX-478|Lexiva|Amprenavir|Agenerase|</t>
  </si>
  <si>
    <t>S(=O)(=O)(N(CC)CC)c1ccc(cc1)C(=O)Nc1c2c(oc1C(=O)N)cccc2</t>
  </si>
  <si>
    <t>S(=O)(=O)(N(CCC)CCC)c1ccc(cc1)C(O)=O</t>
  </si>
  <si>
    <t>PROBENECID</t>
  </si>
  <si>
    <t>Benemid|Probecid|SID26751571|Probenecid|SID56424104|SID17389752|Probampicin|SID50100375|SID855953|SID11112135|SID26747056|Probalan|SID26747055|</t>
  </si>
  <si>
    <t>S(=O)(=O)(N)Cc1noc2c1cccc2</t>
  </si>
  <si>
    <t>ZONISAMIDE</t>
  </si>
  <si>
    <t>Zonisamide|Zonegran|PD-110843|SID90341782|AD-810|CI-912|SID49666067|</t>
  </si>
  <si>
    <t>S(=O)(=O)(N)c1cc(C(=O)NC[C@H]2N(CCC2)CC)c(OC)cc1</t>
  </si>
  <si>
    <t>LEVOSULPIRIDE</t>
  </si>
  <si>
    <t>SID11113767|SID50104627|Levosulpiride|SID11112626|</t>
  </si>
  <si>
    <t>S(=O)(=O)(N)c1cc(Nc2nc(N(C)c3cc4nn(C)c(c4cc3)C)ccn2)ccc1C</t>
  </si>
  <si>
    <t>PAZOPANIB</t>
  </si>
  <si>
    <t>Pazopanib|Votrient|SID50100102|SID103905642|SID144206725|GW786034|</t>
  </si>
  <si>
    <t>S(=O)(=O)(N)c1cc(cc(NCCCC)c1Oc1ccccc1)C(O)=O</t>
  </si>
  <si>
    <t>BUMETANIDE</t>
  </si>
  <si>
    <t>SID11110843|SID50103991|Bumex|Ro-10-6338|SID26751481|Bumetanide|Burinex|SID56424138|Lixil|SID855675|Ro-106338|SID11110844|SID26746951|</t>
  </si>
  <si>
    <t>S(=O)(=O)(N)c1cc2S(=O)(=O)NC(Nc2cc1C(F)(F)F)Cc1ccccc1</t>
  </si>
  <si>
    <t>BENDROFLUMETHIAZIDE</t>
  </si>
  <si>
    <t>Naturetin-5|SID124883448|SID855628|Naturetin-10|Naturetin-2.5|Naturetin|Bendrofluazide|Benzydroflumethiazide|Bendroflumethiazide|SID26747201|SID56422088|</t>
  </si>
  <si>
    <t>S(=O)(=O)(N)c1cc2S(=O)(=O)NCNc2cc1C(F)(F)F</t>
  </si>
  <si>
    <t>HYDROFLUMETHIAZIDE</t>
  </si>
  <si>
    <t>SID26747027|Saluron|SID855883|SID11112295|SID56422879|Diucardin|Hydroflumethiazide|</t>
  </si>
  <si>
    <t>S(=O)(=O)(N)c1ccc(-n2nc(cc2-c2ccc(cc2)C)C(F)(F)F)cc1</t>
  </si>
  <si>
    <t>CELECOXIB</t>
  </si>
  <si>
    <t>Celecoxib|SID49666478|Celebrex|SC-58635|SID49665790|SID144204686|SID535138|SID17389545|SID26747363|</t>
  </si>
  <si>
    <t>S(=O)(=O)(N)c1ccc(cc1)-c1c(noc1C)-c1ccccc1</t>
  </si>
  <si>
    <t>VALDECOXIB</t>
  </si>
  <si>
    <t>SID49665731|SC-65872|Valdecoxib|SID26748964|Bextra|SID144204991|</t>
  </si>
  <si>
    <t>S(=O)(=O)(N)c1ccc(cc1)CN</t>
  </si>
  <si>
    <t>MAFENIDE</t>
  </si>
  <si>
    <t>SID11112297|Sulfamylon|Mafenide|4-Homosulfanilamide|</t>
  </si>
  <si>
    <t>S(=O)(=O)(N1CC(CCC1)C(=O)N(Cc1ccccc1)C)c1ccc(NC(OC)=O)cc1</t>
  </si>
  <si>
    <t>S(=O)(=O)(N1CCC(CC1)C(=O)NCCN(CC)c1ccccc1)CC</t>
  </si>
  <si>
    <t>SID4248071</t>
  </si>
  <si>
    <t>S(=O)(=O)(N1CCC(CC1)C(=O)Nc1ccc(N(CC)CC)cc1)c1ccc(cc1)C</t>
  </si>
  <si>
    <t>S(=O)(=O)(N1CCCC1)c1ccc(cc1)C(=O)Nc1c2c(oc1C(=O)N)cccc2</t>
  </si>
  <si>
    <t>S(=O)(=O)(N1CCCCC1)c1ccc(cc1)C(=O)Nc1c2c(oc1C(=O)N)cccc2</t>
  </si>
  <si>
    <t>S(=O)(=O)(N1CCCCC1C(=O)N(C)c1ccccc1)c1ccc(cc1)C</t>
  </si>
  <si>
    <t>SID49736758</t>
  </si>
  <si>
    <t>S(=O)(=O)(N1CCN(CC1)C)c1cc(C=2NC(=O)c3n(nc(c3N=2)CCC)C)c(OCC)cc1</t>
  </si>
  <si>
    <t>SILDENAFIL</t>
  </si>
  <si>
    <t>Viagra|Revatio|UK-92480|SID50085897|Sildenafil|SID26748898|</t>
  </si>
  <si>
    <t>S(=O)(=O)(N1CCN(CC1)CC)c1cc(C=2N=C(O)c3n(N=2)c(nc3C)CCC)c(OCC)cc1</t>
  </si>
  <si>
    <t>VARDENAFIL</t>
  </si>
  <si>
    <t>Vardenafil</t>
  </si>
  <si>
    <t>S(=O)(=O)(N1CCOCC1)c1ccc(cc1)C(=O)Nc1c2c(oc1C(=O)N)cccc2</t>
  </si>
  <si>
    <t>S(=O)(=O)(NC(=O)C)c1ccc(N)cc1</t>
  </si>
  <si>
    <t>SULFACETAMIDE</t>
  </si>
  <si>
    <t>Ocusulf-30|SULF-10|Sulten-10|Sulfair-15|Sulphacetamide|SULF-15|Sulfacetamide (Triple Sulfa)|Ocusulf-10|Sulfacel-15|SID56422206|Sulfacetamide|Bleph-10|Bleph-30|Cetamide|FML-S|Klaron|SID17388721|SID855639|Sulster|</t>
  </si>
  <si>
    <t>S(=O)(=O)(NC(=O)NC(C)C)c1cnccc1Nc1cc(ccc1)C</t>
  </si>
  <si>
    <t>TORSEMIDE</t>
  </si>
  <si>
    <t>Torsemide|SID26719820|Torasemide|SID26748988|Demadex|SID49665992|AC-4464|AC4464|BM-02015|SID49666477|SID11112793|</t>
  </si>
  <si>
    <t>S(=O)(=O)(NC(=O)NC1CCCCC1)c1ccc(cc1)C(=O)C</t>
  </si>
  <si>
    <t>ACETOHEXAMIDE</t>
  </si>
  <si>
    <t>Dymelor|SID11110689|SID56463352|33006|Acetohexamide|SID11112460|SID17390067|SID50105548|</t>
  </si>
  <si>
    <t>S(=O)(=O)(NC(=O)NC1CCCCC1)c1ccc(cc1)CCNC(=O)c1ncc(nc1)C</t>
  </si>
  <si>
    <t>GLIPIZIDE</t>
  </si>
  <si>
    <t>CP-28720|Glucotrol Xl|Glipizide|SID855947|SID50104189|Glucotrol|SID56422485|K-4024|SID11111214|SID11112714|</t>
  </si>
  <si>
    <t>S(=O)(=O)(NC(=O)NCCCC)c1ccc(cc1)C</t>
  </si>
  <si>
    <t>TOLBUTAMIDE</t>
  </si>
  <si>
    <t>SID17389707|SID26751513|SID56436662|Orinase|SID26751511|SID855782|SID50104069|SID11111858|Tolbutamide|</t>
  </si>
  <si>
    <t>S(=O)(=O)(NC(=O)NN1CCCCCC1)c1ccc(cc1)C</t>
  </si>
  <si>
    <t>TOLAZAMIDE</t>
  </si>
  <si>
    <t>Tolazamide|Tolinase|SID85231252|SID50104182|U-17835|SID26747047|SID11111870|SID56422126|SID855941|SID26751566|</t>
  </si>
  <si>
    <t>S(=O)(=O)(NC(=O)c1cc(OC)c(cc1)Cc1c2cc(NC(OC3CCCC3)=O)ccc2n(c1)C)c1ccccc1C</t>
  </si>
  <si>
    <t>ZAFIRLUKAST</t>
  </si>
  <si>
    <t>Accolate|Zafirlukast|SID49681658|ICI-204219|SID26719823|SID26757966|</t>
  </si>
  <si>
    <t>S(=O)(=O)(NC(N)=N)c1ccc(NCc2c3c(nc4c2cccc4)cccc3)cc1</t>
  </si>
  <si>
    <t>SID462851</t>
  </si>
  <si>
    <t>S(=O)(=O)(NC)Cc1cc2c([nH]cc2CCN(C)C)cc1</t>
  </si>
  <si>
    <t>SUMATRIPTAN</t>
  </si>
  <si>
    <t>SID49679316|Sumatriptan|Imitrex|</t>
  </si>
  <si>
    <t>S(=O)(=O)(N[C@@H](CCCN=C(N)N)C(=O)N1CC[C@H](C[C@@H]1C(O)=O)C)c1c2NCC(Cc2ccc1)C</t>
  </si>
  <si>
    <t>ARGATROBAN</t>
  </si>
  <si>
    <t>Gn1600|Acova|MCI-9038|MD-805|Argatroban|DK-7419|GN-1600|Argatroban In Sodium Chloride|</t>
  </si>
  <si>
    <t>S(=O)(=O)(Nc1cc(ccc1)C#C\C=C\C(=O)NO)c1ccccc1</t>
  </si>
  <si>
    <t>SID29217613</t>
  </si>
  <si>
    <t>S(=O)(=O)(Nc1cc2CN(C)C(=O)Nc2cc1)c1ccccc1OC</t>
  </si>
  <si>
    <t>S(=O)(=O)(Nc1cc2c(oc(CCCC)c2C(=O)c2ccc(OCCCN(CCCC)CCCC)cc2)cc1)C</t>
  </si>
  <si>
    <t>DRONEDARONE</t>
  </si>
  <si>
    <t>Multaq|Dronedarone|SID144206559|</t>
  </si>
  <si>
    <t>S(=O)(=O)(Nc1ccc(cc1)C(O)CCCN(CCCCCCC)CC)C</t>
  </si>
  <si>
    <t>IBUTILIDE</t>
  </si>
  <si>
    <t>Ibutilide|Corvert|</t>
  </si>
  <si>
    <t>S(=O)(=O)(Nc1ccc(cc1)C(O)CNC(C)C)C</t>
  </si>
  <si>
    <t>SOTALOL</t>
  </si>
  <si>
    <t>Sotalol|SID26751989|MJ-1999|Betapace Af|Betapace|Sorine|</t>
  </si>
  <si>
    <t>S(=O)(=O)(Nc1ccc(cc1)Cc1nc(on1)-c1cc2c([nH]cc2CCN)cc1)C</t>
  </si>
  <si>
    <t>L-694247</t>
  </si>
  <si>
    <t>SID26751890|L-694247|SID11113701|</t>
  </si>
  <si>
    <t>S(=O)(=O)(Nc1ccccc1)c1cc(ccc1)\C=C\C(=O)NO</t>
  </si>
  <si>
    <t>BELINOSTAT</t>
  </si>
  <si>
    <t>PXD-101|Belinostat|</t>
  </si>
  <si>
    <t>S(=O)(=O)(Nc1ccccc1C(=O)Nc1c2c(oc1C(=O)N)cccc2)c1ccc(cc1)C</t>
  </si>
  <si>
    <t>S(=O)(=O)(Nc1nc(nc(OCCO)c1Oc1ccccc1OC)-c1ncccn1)c1ccc(cc1)C(C)(C)C</t>
  </si>
  <si>
    <t>BOSENTAN</t>
  </si>
  <si>
    <t>Bosentan|Ro-47-0203-029|Tracleer|Ro-470203029|</t>
  </si>
  <si>
    <t>S(=O)(=O)(Nc1ncc(OC)cn1)c1ccc(N)cc1</t>
  </si>
  <si>
    <t>SULFAMETER</t>
  </si>
  <si>
    <t>Sulfametoxydiazine|SID855817|Ultrax|SID11112435|Sulfametin|SID26748523|Bayrena|Sulfameter|Sulphamethoxydiazine|Sulla|AHR-857|</t>
  </si>
  <si>
    <t>S(=O)(=O)(Nc1ncccc1)c1ccc(N=Nc2cc(C(O)=O)c(O)cc2)cc1</t>
  </si>
  <si>
    <t>SULFASALAZINE</t>
  </si>
  <si>
    <t>S.A.S.-500|SAS-500|SID26747277|Azulfidine EN-Tabs|Salazosulfapyridine|Sulphasalazine|Azulfidine EN|Salicylazosulfapyridine|Azulfidine|Salazopyrin|SID17389737|Sulfasalazine|</t>
  </si>
  <si>
    <t>S(=O)(=O)(Nc1ncccn1)c1ccc(N=NC2C(=NN(C(=O)c3ccncc3)C2=O)C)cc1</t>
  </si>
  <si>
    <t>S(=O)(=O)(Nc1noc(c1)C)c1ccc(N)cc1</t>
  </si>
  <si>
    <t>SULFAMETHOXAZOLE</t>
  </si>
  <si>
    <t>Sulphamethoxazole|Suphamethoxazole|SID855654|SID17388720|SID11112438|Gantanol-Ds|SMZ|Sinomin|Sulfamethoxazole|Ro-42130|Gantanol|Acetylsulfamethoxazole|Ro-4-2130|Sulfamethoxazole Sodium|Urobak|SID49734326|</t>
  </si>
  <si>
    <t>S(=O)(=O)(Nc1onc(C)c1C)c1ccc(N)cc1</t>
  </si>
  <si>
    <t>SULFISOXAZOLE</t>
  </si>
  <si>
    <t>Pediazole|Sulfafurazole|Sulfalar|Sulphafurazole|SID11112277|Eryzole|Sosol|Soxazole|Gantrisin|Entusil|Neazolin|SID26751527|SID859862|Sulfisoxazole|Sulsoxin|SID11113344|SID17389726|SID144206511|</t>
  </si>
  <si>
    <t>S(=O)(=O)([O-])c1cc([O-])c2c(cc(NC(=O)Nc3cc4c(cc3)c([O-])cc(S(=O)(=O)[O-])c4)cc2)c1</t>
  </si>
  <si>
    <t>NSC-45174</t>
  </si>
  <si>
    <t>S(=O)(=O)(\N=C\c1cc(OC(=O)Nc2ccccc2)ccc1)c1cc([N+](=O)[O-])ccc1</t>
  </si>
  <si>
    <t>S(=O)(=O)(c1ccc(N)cc1)c1ccc(N)cc1</t>
  </si>
  <si>
    <t>DAPSONE</t>
  </si>
  <si>
    <t>SID49718182|SID11112211|Diaphenylsulfone|Diaminodiphenylsulfone|SID855979|SID17389950|SID124882059|Aczone|Dapsone|</t>
  </si>
  <si>
    <t>S(=O)(=[NH])(CC[C@H](N)C(O)=O)C</t>
  </si>
  <si>
    <t>SID50106626</t>
  </si>
  <si>
    <t>S(=O)(C(c1ccccc1)c1ccccc1)CC(=O)N</t>
  </si>
  <si>
    <t>MODAFINIL</t>
  </si>
  <si>
    <t>SID26749058|SID26719679|SID26753746|CRL-40476|Modafinil|Provigil|CEP-1538|</t>
  </si>
  <si>
    <t>S(=O)(C)c1ccc(cc1)\C=C\1/c2c(cc(F)cc2)C(CC(O)=O)=C/1C</t>
  </si>
  <si>
    <t>SULINDAC SULFOXIDE</t>
  </si>
  <si>
    <t>SID50086572</t>
  </si>
  <si>
    <t>S(=O)(CCC1C(=O)N(N(C1=O)c1ccccc1)c1ccccc1)c1ccccc1</t>
  </si>
  <si>
    <t>SULFINPYRAZONE</t>
  </si>
  <si>
    <t>SID124881954|Anturane|SID11112139|SID46500625|Sulfinpyrazone|Sulphinpyrazone|SID26747070|SID855982|SID144203882|</t>
  </si>
  <si>
    <t>S(=O)(Cc1ncc(C)c(OC)c1C)c1nc2cc(OC)ccc2n1[Mg]n1c2c(nc1S(=O)Cc1ncc(C)c(OC)c1C)cc(OC)cc2</t>
  </si>
  <si>
    <t>S(=O)(Cc1nccc(OC)c1OC)c1nc2cc(OC(F)F)ccc2[n-]1</t>
  </si>
  <si>
    <t>S(=O)(Cc1nccc(OCC(F)(F)F)c1C)c1[nH]c2c(n1)cccc2</t>
  </si>
  <si>
    <t>LANSOPRAZOLE</t>
  </si>
  <si>
    <t>A-65006|SID57287635|SID56422192|Prevacid|Prevacid Delayed Release|SID26747053|SID85231117|SID11111390|Prevacid iv|SID90341606|SID144203735|Prevacid Solutab|AG-1749|SID50104195|SID26719660|SID124880589|SID50104197|Prevacid 24hr|SID11111389|Lansoprazole|SID855954|</t>
  </si>
  <si>
    <t>S(=O)(Cc1nccc(OCCCOC)c1C)c1[nH]c2c(n1)cccc2</t>
  </si>
  <si>
    <t>RABEPRAZOLE</t>
  </si>
  <si>
    <t>Rabeprazole|Aciphex|LY-307640|</t>
  </si>
  <si>
    <t>S(C(=O)C)CC(Cc1ccccc1)C(=O)NCC(OCc1ccccc1)=O</t>
  </si>
  <si>
    <t>RACECADOTRIL</t>
  </si>
  <si>
    <t>Racecadotril</t>
  </si>
  <si>
    <t>S(C(=O)C)[C@H]1[C@H]2[C@@H]3CC[C@]4(OC(=O)CC4)[C@]3(CC[C@@H]2[C@@]2(C(=CC(=O)CC2)C1)C)C</t>
  </si>
  <si>
    <t>SPIRONOLACTONE</t>
  </si>
  <si>
    <t>Spironolactone|SID47193741|Aldactone|SID26757816|SID144206598|</t>
  </si>
  <si>
    <t>S(C(=O)[C@]1(OC(=O)CC)[C@@]2([C@H]([C@@H]3C[C@H](F)C4=CC(=O)C=C[C@]4(C)[C@@]3(F)[C@@H](O)C2)C[C@H]1C)C)CF</t>
  </si>
  <si>
    <t>FLUTICASONE PROPIONATE</t>
  </si>
  <si>
    <t>Cutivate|Flovent Diskus 250|Flovent Hfa|CCI-18781|Flonase|Flovent Diskus 50|Fluticasone|Flovent|Flovent Diskus 100|Fluticasone Propionate|</t>
  </si>
  <si>
    <t>S(C(Sc1cc(C(C)(C)C)c(O)c(c1)C(C)(C)C)(C)C)c1cc(C(C)(C)C)c(O)c(c1)C(C)(C)C</t>
  </si>
  <si>
    <t>PROBUCOL</t>
  </si>
  <si>
    <t>Sinlestal|Probucol|Bisbid|SID11112687|SID26748484|SID50107410|SID8139943|DH-581|Lorelco|SID123183|</t>
  </si>
  <si>
    <t>S(C)[C@H]1O[C@H]([C@H](NC(=O)[C@H]2N(C[C@@H](C2)CCC)C)[C@H](O)C)[C@@H](O)[C@H](O)[C@H]1O</t>
  </si>
  <si>
    <t>S(CC(N)C(O)=O)CSCC(N)C(O)=O</t>
  </si>
  <si>
    <t>SID117425</t>
  </si>
  <si>
    <t>S(CCC)c1cc2[nH]c(nc2cc1)NC(OC)=O</t>
  </si>
  <si>
    <t>ALBENDAZOLE</t>
  </si>
  <si>
    <t>SK&amp;amp;F-62979|Eskazole|SID11112790|Valbazen|SID26746999|SID124882632|Albendazole|Zental|SK&amp;amp;F 62979|SID124882630|SID144204210|Albenza|SID855809|</t>
  </si>
  <si>
    <t>S(CCCC\C=C(/NC(=O)[C@H]1CC1(C)C)\C(O)=O)C[C@H](N)C(O)=O</t>
  </si>
  <si>
    <t>CILASTATIN</t>
  </si>
  <si>
    <t>Cilastatin|Primaxin|SID50125939|</t>
  </si>
  <si>
    <t>S(CCCN(C)C)c1ccccc1NC(=O)\C=C\c1ccccc1</t>
  </si>
  <si>
    <t>CINANSERIN</t>
  </si>
  <si>
    <t>SID144204462|Cinanserin|SID26751727|</t>
  </si>
  <si>
    <t>S(CC[C@H](N)C(O)=O)C</t>
  </si>
  <si>
    <t>METHIONINE</t>
  </si>
  <si>
    <t>Methilanin|L-Methionine|Nestone|Racemethionine|Methionine|Meonine|</t>
  </si>
  <si>
    <t>S(C[C@@H]1C[C@H]2[C@H](N(C1)CCC)Cc1c3c2cccc3[nH]c1)C</t>
  </si>
  <si>
    <t>PERGOLIDE</t>
  </si>
  <si>
    <t>SID90341767|Permax|SID26754331|Pergolide|Pergotoliderived|SID104171354|SID26754330|</t>
  </si>
  <si>
    <t>S(C[C@@H]1OC(O[C@@H](C1)c1ccc(cc1)CO)c1ccc(NC(=O)CCCCCCC(O)=O)cc1)c1oc(c(n1)-c1ccccc1)-c1ccccc1</t>
  </si>
  <si>
    <t>NILTUBACIN</t>
  </si>
  <si>
    <t>Niltubacin</t>
  </si>
  <si>
    <t>S(C[C@@H]1O[C@@H](O[C@@H](C1)c1ccc(cc1)CO)c1ccc(NC(=O)CCCCCCC(=O)NO)cc1)c1oc(c(n1)-c1ccccc1)-c1ccccc1</t>
  </si>
  <si>
    <t>TUBACIN</t>
  </si>
  <si>
    <t>Tubacin</t>
  </si>
  <si>
    <t>S(C[C@H](NC(=O)c1cccc(O)c1C)[C@H](O)CN1C[C@@H]2[C@H](C[C@H]1C(=O)NC(C)(C)C)CCCC2)c1ccccc1</t>
  </si>
  <si>
    <t>NELFINAVIR</t>
  </si>
  <si>
    <t>Nelfinavir|SID56320472|</t>
  </si>
  <si>
    <t>S(C[C@H]1O[C@@H](n2c3ncnc(N)c3nc2)[C@H](O)[C@@H]1O)CC[C@H](N)C(O)=O</t>
  </si>
  <si>
    <t>S-ADENOSYLHOMOCYSTEINE</t>
  </si>
  <si>
    <t>S-Adenosylhomocysteine|S-Adenosyl-Homocysteine|S-Adenosyl Homocysteine|</t>
  </si>
  <si>
    <t>S(Cc1[nH]cnc1C)CCNC(NC)=NC#N</t>
  </si>
  <si>
    <t>CIMETIDINE</t>
  </si>
  <si>
    <t>Tagamet HB|SID17389962|SID11113773|SID90341189|SID26747359|Tagamet HB 200|SID460110|SID11533056|SID104171130|Brumetadina|SID50104629|Tagamet|SID56462993|Cimetidine|Valmagen|SID26751957|</t>
  </si>
  <si>
    <t>S(Cc1ccccc1)C(=O)NC(Cc1ccc(O)cc1)C(O)=O</t>
  </si>
  <si>
    <t>S(Cc1oc(cc1)CN(C)C)CCN\C(\NC)=C\[N+](=O)[O-]</t>
  </si>
  <si>
    <t>SID90341455|SID104171226|SID11111714|SID124881292|SID11113371|SID11111715|</t>
  </si>
  <si>
    <t>S(F)(=O)(=O)c1ccc(NC(=O)CCc2ccc(N3C(N=C(N=C3N)N)(C)C)cc2)cc1C</t>
  </si>
  <si>
    <t>S(F)(=O)(=O)c1ccc(cc1)CCCCc1cc(N2C(N=C(N=C2N)N)(C)C)ccc1</t>
  </si>
  <si>
    <t>S(O)(=O)(=O)CCS</t>
  </si>
  <si>
    <t>MESNA</t>
  </si>
  <si>
    <t>Mesnex|Mesna|D-7093|</t>
  </si>
  <si>
    <t>S(O)(=O)(=O)c1c2c(nccc2)c(O)cc1</t>
  </si>
  <si>
    <t>S(OCCCCOS(=O)(=O)C)(=O)(=O)C</t>
  </si>
  <si>
    <t>BUSULFAN</t>
  </si>
  <si>
    <t>Myelosan|Myleran|SID17388889|Busulfex|SID26747279|Sulphabutin|SID26752840|SID67633|SID49648470|SID17389813|Busulfan|</t>
  </si>
  <si>
    <t>S(OC[C@]12OC(O[C@H]1[C@@H]1OC(O[C@@H]1CO2)(C)C)(C)C)(=O)(=O)N</t>
  </si>
  <si>
    <t>TOPIRAMATE</t>
  </si>
  <si>
    <t>Topiramate|MCN-4853|Topamax|Topamax Sprinkle|RWJ-17021|</t>
  </si>
  <si>
    <t>S(O[n+]1c(N)cc(nc1N)N1CCCCC1)(=O)(=O)[O-]</t>
  </si>
  <si>
    <t>MINOXIDIL SULFATE</t>
  </si>
  <si>
    <t>Theroxidil|Minoxidil sulfate|SID26756495|</t>
  </si>
  <si>
    <t>S(SC(=S)N(CC)CC)C(=S)N(CC)CC</t>
  </si>
  <si>
    <t>DISULFIRAM</t>
  </si>
  <si>
    <t>Disulfiram|SID124881570|SID11533044|SID90340564|SID11111860|SID26753661|SID56422197|NSC-25953|SID104171249|SID124881567|SID50107089|SID26747681|SID26747682|SID123060006|SID144203831|SID144214033|SID124881563|Antabuse|SID85231246|SID11111859|SID50107088|SID26753660|</t>
  </si>
  <si>
    <t>S(SCCN)CCN</t>
  </si>
  <si>
    <t>CYSTAMINE</t>
  </si>
  <si>
    <t>SID11110646|SID90340577|Cystamine|SID4252906|</t>
  </si>
  <si>
    <t>S(SC[C@H](NC(=O)CC[C@H](N)C(O)=O)C(=O)NCC(O)=O)C[C@H](NC(=O)CC[C@H](N)C(O)=O)C(=O)NCC(O)=O</t>
  </si>
  <si>
    <t>OXIGLUTATIONE</t>
  </si>
  <si>
    <t>Glutathione disulfide|SID29215201|SID144206973|Oxiglutatione|SID26754399|</t>
  </si>
  <si>
    <t>S([C@H]1C[C@H](NC1)C(=O)N(C)C)C=1[C@@H]([C@H]2N(C=1C(O)=O)C(=O)[C@@H]2[C@H](O)C)C</t>
  </si>
  <si>
    <t>MEROPENEM</t>
  </si>
  <si>
    <t>ICI-194660|Merrem iv|SID49681817|Meropenem|Merrem|SM-7338|</t>
  </si>
  <si>
    <t>S(c1n(cnc1[N+](=O)[O-])C)c1[nH]cnc-2ncnc1-2</t>
  </si>
  <si>
    <t>AZATHIOPRINE</t>
  </si>
  <si>
    <t>Azasan|SID26752814|SID90340846|SID104171105|SID144203625|SID17390031|SID50105466|SID26747870|SID50105467|SID11110741|SID11110740|SID26747872|SID124879189|SID26670994|Azathioprine|BW-57-322|SID26747871|Imuran|SID85230906|SID50105468|</t>
  </si>
  <si>
    <t>S1(=O)(=O)N(C)C(C(=O)Nc2ncccc2)=C(O)c2c1cccc2</t>
  </si>
  <si>
    <t>PIROXICAM</t>
  </si>
  <si>
    <t>SID26746904|SID50103896|SID124881135|Feldene|SID11111641|SID50085963|Piroxicam|SID11113322|SID511550|CP-16171|SID856007|SID11111642|SID859011|</t>
  </si>
  <si>
    <t>S1(=O)(=O)[C@H]2N([C@@H](C(O)=O)C1(C)C)C(=O)C2</t>
  </si>
  <si>
    <t>SULBACTAM</t>
  </si>
  <si>
    <t>Sulbactam|SID47193857|CP-45899|</t>
  </si>
  <si>
    <t>S1C(=NC(=O)C)N(N=C1S(=O)(=O)N)C</t>
  </si>
  <si>
    <t>METHAZOLAMIDE</t>
  </si>
  <si>
    <t>Methazolamide|SID11112413|Neptazane|SID855821|</t>
  </si>
  <si>
    <t>S1C(CN=C1N1CCN(CC1)c1ncnc2sc3CCCCc3c12)(C)C</t>
  </si>
  <si>
    <t>SID7977499</t>
  </si>
  <si>
    <t>S1C(Cc2ccc(OCCN(C)c3ncccc3)cc2)C(=O)NC1=O</t>
  </si>
  <si>
    <t>ROSIGLITAZONE</t>
  </si>
  <si>
    <t>Avandamet|Rosiglitazone|SID26748954|Avandaryl|Avandia|BRL-49653|SID144204987|</t>
  </si>
  <si>
    <t>S1C(Cc2ccc(OCCc3ncc(cc3)CC)cc2)C(=O)NC1=O</t>
  </si>
  <si>
    <t>PIOGLITAZONE</t>
  </si>
  <si>
    <t>Duetact|SID26756476|SID137275816|Actos|Pioglitazone|</t>
  </si>
  <si>
    <t>S1C2N(C(C(O)=O)C1(C)C)C(=O)C2NC(=O)C(N)c1ccccc1</t>
  </si>
  <si>
    <t>SID482880|SID124883385|</t>
  </si>
  <si>
    <t>S1C2N(C(C(O)=O)C1(C)C)C(=O)C2NC(=O)COc1ccccc1</t>
  </si>
  <si>
    <t>SID24786947</t>
  </si>
  <si>
    <t>S1C2N(C(C(O)=O)C1(C)C)C(=O)C2NC(=O)Cc1ccccc1</t>
  </si>
  <si>
    <t>S1C2N(C(C(O)=O)C1(C)C)C(=O)C2NC(=O)c1c(noc1C)-c1ccccc1</t>
  </si>
  <si>
    <t>S1CC(=O)N(c2cc(S(=O)(=O)N3CCCCCC3)ccc12)CC(=O)NC(CC)C</t>
  </si>
  <si>
    <t>S1CCN2C[C@@H](N=C12)c1ccccc1</t>
  </si>
  <si>
    <t>LEVAMISOLE</t>
  </si>
  <si>
    <t>Ergamisole|SID90341409|Rid O Worm|Tetramisole|Totalon|Nilverm|Spartakon|Ergamisol|Levasole|Tramisol|Ripercol|Telskoot|Indicol|TCMDC-125847|Verban-H|Levamisole|Levicon|</t>
  </si>
  <si>
    <t>S1C[C@@H]2NC(=O)N[C@@H]2[C@@H]1CCCCC(O)=O</t>
  </si>
  <si>
    <t>BIOTIN</t>
  </si>
  <si>
    <t>Biotin|SID47193878|Bioepiderm|Biotin 100|Vitamin H|SID49674668|</t>
  </si>
  <si>
    <t>S1C[C@@]2(O[C@H]1C)C1CCN(C2)CC1</t>
  </si>
  <si>
    <t>CEVIMELINE</t>
  </si>
  <si>
    <t>Evoxac</t>
  </si>
  <si>
    <t>S1C[C@H](N(C1)C(=O)[C@H]1NC(=O)CC1)C(O)=O</t>
  </si>
  <si>
    <t>PIDOTIMOD</t>
  </si>
  <si>
    <t>SID26719899|Pidotimod|SID49648325|</t>
  </si>
  <si>
    <t>S1C[C@H](NC1=O)C(O)=O</t>
  </si>
  <si>
    <t>PROCYSTEINE</t>
  </si>
  <si>
    <t>Procysteine</t>
  </si>
  <si>
    <t>S1C[C@H](O[C@H]1CO)N1C=CC(=NC1=O)N</t>
  </si>
  <si>
    <t>LAMIVUDINE</t>
  </si>
  <si>
    <t>Epivir|GR-109714X|Lamivudine|Epivir-Hbv|SID49681736|SID29215254|</t>
  </si>
  <si>
    <t>S1SCCC(=O)N[C@@H](CCCCN=C(N)N)C(=O)NCC(=O)N[C@@H](CC(O)=O)C(=O)N[C@@H](Cc2c3c([nH]c2)cccc3)C(=O)N2[C@@H](CCC2)C(=O)N[C@@H](C1)C(=O)N</t>
  </si>
  <si>
    <t>EPTIFIBATIDE</t>
  </si>
  <si>
    <t>SID144206056|Integrilin|Eptifibatide|</t>
  </si>
  <si>
    <t>S1SCCC1CCCCC(O)=O</t>
  </si>
  <si>
    <t>LIPOIC ACID, ALPHA</t>
  </si>
  <si>
    <t>Thioctic acid|SID124881686|SID17388693|Thioctic Acid|Lipoic Acid|Alpha|SID26752825|SID57260117|SID397475|SID50105475|Lipoic acid|alpha|SID26747265|SID11532893|SID104171254|SID144203836|</t>
  </si>
  <si>
    <t>S1S[C@@]23N([C@H]4Nc5c(cccc5)[C@]4(C2)[C@@]24[C@@H](N5[C@]6(SS[C@@](N(C)C6=O)(CO)C5=O)C2)Nc2c4cccc2)C(=O)[C@]1(N(C)C3=O)CO</t>
  </si>
  <si>
    <t>CHAETOCIN</t>
  </si>
  <si>
    <t>(+)-Chaetocin|Chaetocin|</t>
  </si>
  <si>
    <t>S1[C@H]2N(C(C(O)=O)=C(C1)C)C(=O)[C@H]2NC(=O)[C@H](N)c1ccccc1</t>
  </si>
  <si>
    <t>CEPHALEXIN</t>
  </si>
  <si>
    <t>Keflet|Keftab|Alphaspoven|SID26719711|66873|Cephalexin|SID29215501|SID144205293|Keflex|Sintolexyn|Ceporex|</t>
  </si>
  <si>
    <t>S1[C@H]2N(C(C(O)=O)=C(C1)COC(=O)N)C(=O)[C@H]2NC(=O)C(=NOC)c1occc1</t>
  </si>
  <si>
    <t>SID144204700</t>
  </si>
  <si>
    <t>S1[C@H]2N(C(C(O)=O)=C(C1)CSc1nn[nH]c1)C(=O)[C@H]2NC(=O)[C@H](N)c1ccc(O)cc1</t>
  </si>
  <si>
    <t>CEFATRIZINE</t>
  </si>
  <si>
    <t>Cefotrizin|BL-S640|Cefatrizine|Kefoxina|Zitrix|SID124896641|</t>
  </si>
  <si>
    <t>S1[C@H]2N([C@@H](C(O)=O)C1(C)C)C(=O)[C@H]2N=CN1CCCCCC1</t>
  </si>
  <si>
    <t>S1[C@H]2N([C@@H](C(O)=O)C1(C)C)C(=O)[C@H]2NC(=O)[C@H](N)c1ccc(O)cc1</t>
  </si>
  <si>
    <t>AMOXICILLIN</t>
  </si>
  <si>
    <t>Amoxicillin Pediatric|Amoxycillin|Amoxi-Inject|Biomox|Robamox|Amoxicilline|Moxatag|Aquacil|Utimox|Amoxicillin|Amoxil|Polymox|SID855939|Dispermox|Wymox|Vetremox|BRL-2333|Sumox|Larotid|Trimox|Amoxi-Tabs|Clamoxyl|</t>
  </si>
  <si>
    <t>S1[C@H]2N([C@@H](C(O)=O)C1(C)C)C(=O)[C@H]2NC(=O)[C@H](NC(=O)N1CCN(CC)C(=O)C1=O)c1ccccc1</t>
  </si>
  <si>
    <t>PIPERACILLIN</t>
  </si>
  <si>
    <t>Piperacillin|Pipracil|</t>
  </si>
  <si>
    <t>S1[C@H]2N([C@@H](C(O)=O)C1(C)C)C(=O)[C@H]2NC(=O)c1c2c(ccc1OCC)cccc2</t>
  </si>
  <si>
    <t>NAFCILLIN</t>
  </si>
  <si>
    <t>Nallpen|Nafcillin|Unipen|</t>
  </si>
  <si>
    <t>S1c2c(N(CCN(C)C)C(=O)[C@H](OC(=O)C)[C@@H]1c1ccc(OC)cc1)cccc2</t>
  </si>
  <si>
    <t>DILTIAZEM</t>
  </si>
  <si>
    <t>Belbis|Dilt-CD|Cardizem CD|SID50104269|SID90341257|Diltiazem|Tiamate|SID50104267|SID11113366|Cardizem|Tiazac|SID50104266|SID26751610|Cardizem LA|SID50104268|SID26751609|Diltzac|Dilacor|</t>
  </si>
  <si>
    <t>S1c2c(N(c3c1cccc3)CC(N(C)C)C)cccc2</t>
  </si>
  <si>
    <t>PROMETHAZINE</t>
  </si>
  <si>
    <t>Remsed|Promethazine|Protazine|SID124881100|Promethacon|SID124881103|SID90341785|SID50105224|SID104171211|Phenergan|Zipan-50|Anergan|Promethegan|Zipan-25|SID26752304|</t>
  </si>
  <si>
    <t>S1c2c(N(c3c1cccc3)CCC1N(CCCC1)C)cc(S(=O)C)cc2</t>
  </si>
  <si>
    <t>MESORIDAZINE</t>
  </si>
  <si>
    <t>SID144205571|SID447728|SID144203603|Lidanar|Mesoridazine|NC-123|Serentil|TPS-23|SID26756521|</t>
  </si>
  <si>
    <t>S1c2c(N(c3c1cccc3)CCC1N(CCCC1)C)cc(SC)cc2</t>
  </si>
  <si>
    <t>THIORIDAZINE</t>
  </si>
  <si>
    <t>Thioridazine|SID104171257|SID50105272|TP-21|SID124881748|SID144203845|Mellaril|SID90341630|Mellaril-S|SID26752322|</t>
  </si>
  <si>
    <t>S1c2c(N(c3c1cccc3)CCCN(C)C)cc(cc2)C(F)(F)F</t>
  </si>
  <si>
    <t>TRIFLUPROMAZINE</t>
  </si>
  <si>
    <t>Fluopromazine|Triflupromazine|Nivoman|SID90341005|SID11111873|SID50104262|Vesprin|Vetame|SID50100355|SID124881619|SID11111874|</t>
  </si>
  <si>
    <t>S1c2c(N(c3c1cccc3)CCCN1CCN(CC1)C)cc(cc2)C(F)(F)F</t>
  </si>
  <si>
    <t>TRIFLUOPERAZINE</t>
  </si>
  <si>
    <t>SID50104252|SID11110645|SID26751598|SID124877144|Eskazine|Terfluzine|SID90341087|SID50104251|Eskazinyl|Jatroneural|Modalina|SID50104253|SID4252673|SID57287812|Stelazine|Trifluoperaz|Triftazin|SID26751599|SID50100152|SID11110644|SID92763314|SID124877145|Trifluoperazine|</t>
  </si>
  <si>
    <t>S1c2c(N(c3c1cccc3)CCCN1CCN(CC1)CCO)cc(cc2)C(F)(F)F</t>
  </si>
  <si>
    <t>FLUPHENAZINE</t>
  </si>
  <si>
    <t>SID11111179|SID90341540|Permitil|Prolixin Decanoate|SID104171155|SID11111180|SID26751625|SID50104297|SID57287813|Prolixin|Modecate|Fluphenazine|SID50100242|SID144203697|</t>
  </si>
  <si>
    <t>S1c2c(Nc3c1cccc3)cccc2</t>
  </si>
  <si>
    <t>PHENOTHIAZINE</t>
  </si>
  <si>
    <t>SID26752918|SID144204641|Helmetina|SID92093121|SID144213971|Thiodiphenylamine|Dibenzothiazine|Antiverm|Phenothiazine|SID17389765|Phenthiazine|SID56436655|Nemazine|Lethelmin|SID11532870|SID57287888|</t>
  </si>
  <si>
    <t>S1c2c(cc(S(=O)(=O)N(C)C)cc2)\C(\c2c1cccc2)=C/CCN1CCNCC1</t>
  </si>
  <si>
    <t>S1c2c(cccc2)C(=Nc2c1cccc2)N1CCN(CC1)CCOCCO</t>
  </si>
  <si>
    <t>QUETIAPINE</t>
  </si>
  <si>
    <t>SID49666155|Ketipinor|Quetiapine|Seroquel|SID29215183|Quepin|SID26749928|SID144205090|</t>
  </si>
  <si>
    <t>S1c2c3N(C=C(C(O)=O)C(=O)c3cc(F)c2N2CCN(CC2)C)CC1</t>
  </si>
  <si>
    <t>RUFLOXACIN</t>
  </si>
  <si>
    <t>Rufloxacin|SID50105208|SID26719881|Qari|MF-934|SID49681571|</t>
  </si>
  <si>
    <t>S=C(N)c1cc(ncc1)CC</t>
  </si>
  <si>
    <t>ETHIONAMIDE</t>
  </si>
  <si>
    <t>Trecator|1314 TH|SID17389895|SID104171307|SID26752898|SID11532957|SID56422118|SID11112402|Trecator-Sc|SID85148756|Ethionamide|</t>
  </si>
  <si>
    <t>S=C(NC(OC(C)(C)C)=O)N[C@@H](Cc1ccccc1)C(=O)NCC(O)=O</t>
  </si>
  <si>
    <t>S=C(Nc1ccc(F)cc1)NCCCN1CCN(CC1)CCCNC(=S)Nc1ccc(F)cc1</t>
  </si>
  <si>
    <t>S=C1N=CNc2nc[nH]c12</t>
  </si>
  <si>
    <t>MERCAPTOPURINE</t>
  </si>
  <si>
    <t>Mercaleukin|Purinethol|SID538245|SID144204709|SID124891196|Mercaptopurine|Leukerin|SID50086850|Mercaptopurine anhydrous|SID26748122|SID49675007|</t>
  </si>
  <si>
    <t>S=C1NC(=CC(=O)N1)CCC</t>
  </si>
  <si>
    <t>PROPYLTHIOURACIL</t>
  </si>
  <si>
    <t>SID17389748|Propacil|Prothyran|SID11112111|SID855783|Propylthiouracil|Thyreostat|SID26751509|</t>
  </si>
  <si>
    <t>S=C1Nc2c(cccc2)C(=O)N1CCN1CCC(CC1)C(=O)c1ccc(F)cc1</t>
  </si>
  <si>
    <t>ALTANSERIN</t>
  </si>
  <si>
    <t>SID11114223|Altanserin|</t>
  </si>
  <si>
    <t>S=C=NCC1CCCCC1</t>
  </si>
  <si>
    <t>(ISOTHIOCYANATOMETHYL)CYCLOHEXANE</t>
  </si>
  <si>
    <t>(Isothiocyanatomethyl)Cyclohexane</t>
  </si>
  <si>
    <t>SC(=S)N(CC)CC</t>
  </si>
  <si>
    <t>DITIOCARB</t>
  </si>
  <si>
    <t>SID29218086|Diethyldithiocarbamate|Ditiocarb|</t>
  </si>
  <si>
    <t>SC(C(N)C(O)=O)(C)C</t>
  </si>
  <si>
    <t>DL-PENICILLAMINE</t>
  </si>
  <si>
    <t>Dl-Penicillamine|SID134884|</t>
  </si>
  <si>
    <t>SC[C@H](C(=O)N1CCC[C@H]1C(O)=O)C</t>
  </si>
  <si>
    <t>CAPTOPRIL</t>
  </si>
  <si>
    <t>Capoten|Tensobon|SID11110941|SID50104171|SID855925|SID50104172|SID26747043|SID50104173|SID26751563|Lopril|SID56422201|Captopril|SQ-14225|SID90340865|SID50104174|</t>
  </si>
  <si>
    <t>SC[C@H](NC(=O)CC[C@H](N)C(O)=O)C(=O)NCC(O)=O</t>
  </si>
  <si>
    <t>GLUTATHIONE</t>
  </si>
  <si>
    <t>Glutathione|SID144204924|</t>
  </si>
  <si>
    <t>Sc1[nH]cnc-2ncnc1-2</t>
  </si>
  <si>
    <t>Sc1nc(cc(O)n1)CCC</t>
  </si>
  <si>
    <t>Sc1nccn1C</t>
  </si>
  <si>
    <t>METHIMAZOLE</t>
  </si>
  <si>
    <t>Thiamazole|SID11112158|SID57299280|SID8139973|Tapazole|SID144203892|Methimazole|</t>
  </si>
  <si>
    <t>[C@@H]12[C@H](CC1(C)C)C(CC\C=C(\CC2)/C)=C</t>
  </si>
  <si>
    <t>CARYOPHYLLENE</t>
  </si>
  <si>
    <t>Gamma-Caryophyllene|Caryophyllene|</t>
  </si>
  <si>
    <t>[Ca](OC(=O)C[C@H](O)C[C@H](O)\C=C\c1c(c2c(nc1C1CC1)cccc2)-c1ccc(F)cc1)OC(=O)C[C@H](O)C[C@H](O)\C=C\c1c(c2c(nc1C1CC1)cccc2)-c1ccc(F)cc1</t>
  </si>
  <si>
    <t>PITAVASTATIN CALCIUM</t>
  </si>
  <si>
    <t>Livalo|SID49681579|Pitavastatin Calcium|Pitavastatin calcium|</t>
  </si>
  <si>
    <t>[Li+]</t>
  </si>
  <si>
    <t>[N+]1(CCN(CC1)c1ccccc1)(C)C</t>
  </si>
  <si>
    <t>SID11111084|SID90340886|</t>
  </si>
  <si>
    <t>[Pt].OC(=O)C1(CCC1)C(O)=O.N.N</t>
  </si>
  <si>
    <t>[S+](C[C@H]1O[C@@H](n2c3ncnc(N)c3nc2)[C@H](O)[C@@H]1O)(CC[C@H](N)C(=O)[O-])C</t>
  </si>
  <si>
    <t>ADEMETIONINE</t>
  </si>
  <si>
    <t>Ademetionine</t>
  </si>
  <si>
    <t>[S-]C1OC(COC(=O)C)C(OC(=O)C)C(OC(=O)C)C1OC(=O)C.P(CC)(CC)CC</t>
  </si>
  <si>
    <t>[Se]1N(C(=O)c2c1cccc2)c1ccccc1</t>
  </si>
  <si>
    <t>EBSELEN</t>
  </si>
  <si>
    <t>SID56373765|SID85231032|SID56422439|SID50104231|SID50123266|SID124880040|SID50104232|SID26751591|SID144203691|Ebselen|SID50123267|SID50100237|SID856002|SID11111149|SID124880036|SID11111148|SID90341336|</t>
  </si>
  <si>
    <t>[nH]1c2c(CCNC2)c2c1cccc2</t>
  </si>
  <si>
    <t>TRYPTOLINE</t>
  </si>
  <si>
    <t>SID855891|Tryptoline|SID56424072|</t>
  </si>
  <si>
    <t>[nH]1c2c(c3c1cccc3)cccc2</t>
  </si>
  <si>
    <t>CARBAZOLE</t>
  </si>
  <si>
    <t>9H-Carbazole|SID17389991|SID47193682|Carbazole|SID26752943|</t>
  </si>
  <si>
    <t>[nH]1c2c(c3c1cccc3)cccc2-c1cc(ccc1)C</t>
  </si>
  <si>
    <t>[nH]1c2c(c3c1cccc3)cccc2-c1cccnc1</t>
  </si>
  <si>
    <t>[nH]1c2c(c3c1cccc3)ccnc2-c1n(nc(c1)CCCNC)C</t>
  </si>
  <si>
    <t>[nH]1c2c(c3c1cccc3)ccnc2-c1n[nH]cc1N</t>
  </si>
  <si>
    <t>[nH]1c2c(c3c1cccc3)ccnc2-c1nc(ncc1)N</t>
  </si>
  <si>
    <t>ANNOMONTINE</t>
  </si>
  <si>
    <t>Annomontine</t>
  </si>
  <si>
    <t>[nH]1c2c(c3c1cccc3)ccnc2-c1nc(ncc1)NC</t>
  </si>
  <si>
    <t>[nH]1c2c(c3c1cccc3)ccnc2-c1nn2c(c1)CCCN(C2)C</t>
  </si>
  <si>
    <t>[nH]1c2c(c3c1cccc3)ccnc2C</t>
  </si>
  <si>
    <t>HARMAN</t>
  </si>
  <si>
    <t>SID26747158|SID90341719|SID11111276|SID11111277|SID26752092|Harmane|harman|SID49647165|SID11113939|SID124880332|SID50104745|SID50104746|SID85231077|SID124880334|SID124880330|</t>
  </si>
  <si>
    <t>[nH]1c2c(c3c1cccc3)ccnc2\C=C\c1ccccc1</t>
  </si>
  <si>
    <t>[nH]1c2c(c3c1cncc3)cccc2</t>
  </si>
  <si>
    <t>NORHARMANE</t>
  </si>
  <si>
    <t>SID56422412|beta-carboline|SID103905530|norharmane|SID855536|norharman|SID26746906|</t>
  </si>
  <si>
    <t>[nH]1cc(c2c1cccc2)CCN</t>
  </si>
  <si>
    <t>TRYPTAMINE</t>
  </si>
  <si>
    <t>SID124879002|SID90340989|SID11110664|Tryptamine|SID14719299|</t>
  </si>
  <si>
    <t>[nH]1cc(c2c1cccc2)CN(C)C</t>
  </si>
  <si>
    <t>GRAMINE</t>
  </si>
  <si>
    <t>Gramine|SID56463123|SID11112233|SID11112234|SID26754139|SID124882095|SID124882094|</t>
  </si>
  <si>
    <t>[nH]1cc(c2cc(ccc12)Cn1ncnc1)CCN(C)C</t>
  </si>
  <si>
    <t>RIZATRIPTAN</t>
  </si>
  <si>
    <t>Rizatriptan|MK-462|Maxalt|Maxalt-Mlt|Maxalt Mlt|</t>
  </si>
  <si>
    <t>[nH]1cc(nc1)CCN</t>
  </si>
  <si>
    <t>HISTAMINE</t>
  </si>
  <si>
    <t>SID8139979|SID11111275|SID26753351|Histamine|SID26753352|SID104171171|SID90341171|</t>
  </si>
  <si>
    <t>[nH]1cncc1[C@@H](C)c1cccc(C)c1C</t>
  </si>
  <si>
    <t>DEXMEDETOMIDINE</t>
  </si>
  <si>
    <t>SID11114268|Dexmedetomidine|MPV-1440|Precedex|</t>
  </si>
  <si>
    <t>[nH]1nc-2c(Cn3c4c-2nccc4c2c3cccc2)c1</t>
  </si>
  <si>
    <t>[nH]1nc2cc(N)ccc2c1</t>
  </si>
  <si>
    <t>SID855839</t>
  </si>
  <si>
    <t>[nH]1ncc(c1)C</t>
  </si>
  <si>
    <t>FOMEPIZOLE</t>
  </si>
  <si>
    <t>Antizol|SID50111124|4-MP|SID11111426|4-Methylpyrazole|SID90341211|Fomepizole|</t>
  </si>
  <si>
    <t>c12-c(ccc1C)c(ccc(c2)C(C)C)C</t>
  </si>
  <si>
    <t>GUAIAZULENE</t>
  </si>
  <si>
    <t>SID29215182|Guaiazulene|SID93576737|SID26749853|</t>
  </si>
  <si>
    <t>n1(c2c(c3c1cccc3)cccc2)CCCN1C[C@H](N[C@H](C1)C)C</t>
  </si>
  <si>
    <t>RIMCAZOLE</t>
  </si>
  <si>
    <t>SID11114108|Rimcazole|</t>
  </si>
  <si>
    <t>n12Cc3c(ncnc3)-c3nccc(c4c1cccc4)c23</t>
  </si>
  <si>
    <t>n12nnnc1N=C1C(=N2)C=Cc2c1cccc2</t>
  </si>
  <si>
    <t>n1c(N)c2nc(-c3ccccc3)c(nc2nc1N)N</t>
  </si>
  <si>
    <t>TRIAMTERENE</t>
  </si>
  <si>
    <t>Dyrenium|SID11111879|SID124881640|Triamterene|SID26751552|SID104171252|SID11111878|SK&amp;amp;F-8542|SID855896|SID50104155|SID85231255|SK-8542|SID50104154|SID50100356|SID90341047|SID26747035|SID17389703|SID144203834|SID124881638|</t>
  </si>
  <si>
    <t>n1c(ccnc1N(C)C)-c1nccc2c1n(c1c2cccc1)C</t>
  </si>
  <si>
    <t>n1c(ccnc1N)-c1nccc2c1n(c1c2cccc1)C</t>
  </si>
  <si>
    <t>n1c(ccnc1NC)-c1nccc2c1n(c1c2cccc1)C</t>
  </si>
  <si>
    <t>n1c(nc(nc1N(C)C)N(C)C)N(C)C</t>
  </si>
  <si>
    <t>ALTRETAMINE</t>
  </si>
  <si>
    <t>Hexamethylmelamine|Altretamine|SID56422107|SID85230922|Hexalen|SID855523|SID90341558|SID144203636|SID78208|SID50103890|SID11110790|SID11110789|</t>
  </si>
  <si>
    <t>n1c-2c(Cn3c4c-2nccc4c2c3cccc2)cnc1N</t>
  </si>
  <si>
    <t>n1c2N3C(c4c(Cc2ccc1)cccc4)CN(CC3)C</t>
  </si>
  <si>
    <t>MIRTAZAPINE</t>
  </si>
  <si>
    <t>SID49648465|Remeron|Remeron Soltab|Mirtazapine|SID29215050|ORG-3770|</t>
  </si>
  <si>
    <t>n1c2N3[C@H](c4c(Cc2ccc1)cccc4)CN(CC3)C</t>
  </si>
  <si>
    <t>SID49666401</t>
  </si>
  <si>
    <t>n1c2c(CCC2)c(N)c2CCCCc12</t>
  </si>
  <si>
    <t>IPIDACRINE</t>
  </si>
  <si>
    <t>Ipidacrine|SID26719760|</t>
  </si>
  <si>
    <t>n1c2c(CCCC2)c(N)c2c1cccc2</t>
  </si>
  <si>
    <t>TACRINE</t>
  </si>
  <si>
    <t>SID11110734|SID104171104|SID144203624|SID90341647|SID26755281|SID124879174|SID124879172|Tacrine|SID11113824|Cognex|</t>
  </si>
  <si>
    <t>n1c2c(CCc3c(cccc3)C2=C2CCN(CC2)C)ccc1</t>
  </si>
  <si>
    <t>AZATADINE</t>
  </si>
  <si>
    <t>Optimine|Trinalin|Azatadine|</t>
  </si>
  <si>
    <t>n1c2c(cc(cc2)C)ccc1C</t>
  </si>
  <si>
    <t>2|6-Dimethyl-Quinoline|2|6-Dimethylquinoline|</t>
  </si>
  <si>
    <t>n1c2c(n(C)c1/C(=C\c1ccc(N(C)C)cc1)/C#N)cccc2</t>
  </si>
  <si>
    <t>n1c2c(ncc1)cc1C3CC(c1c2)CNC3</t>
  </si>
  <si>
    <t>VARENICLINE</t>
  </si>
  <si>
    <t>Chantix|Varenicline|</t>
  </si>
  <si>
    <t>n1cc(NC(NC(CC)(C)C)=NC#N)ccc1</t>
  </si>
  <si>
    <t>SID26719795|P-1075|SID11114040|</t>
  </si>
  <si>
    <t>n1cc(ccc1)C1NCCC1</t>
  </si>
  <si>
    <t>NORNICOTINE</t>
  </si>
  <si>
    <t>Nornicotine|SID26756721|</t>
  </si>
  <si>
    <t>n1cc(ccc1)[C@H]1N(CCC1)C</t>
  </si>
  <si>
    <t>NICOTINE</t>
  </si>
  <si>
    <t>SID26752746|Prostep|Nicotrol Inhaler|Nicoderm|SID90341453|SID26752745|Nicotine|SID26752744|SID50105393|SID17389805|Nicotrol NS|SID56314824|SID50105392|Habitrol|Nicoderm CQ|Nicotrol|</t>
  </si>
  <si>
    <t>n1cc2n(c3c(c2cc1)cccc3)C</t>
  </si>
  <si>
    <t>n1ccc(NC(NC#N)=NC(C(C)(C)C)C)cc1</t>
  </si>
  <si>
    <t>PINACIDIL</t>
  </si>
  <si>
    <t>Pinacidil|SID90341497|SID124881033|SID56463565|SID11532877|SID26749106|SID26752206|Pindac|SID50104869|</t>
  </si>
  <si>
    <t>n1ccccc1CCN</t>
  </si>
  <si>
    <t>2-(2-Aminoethyl)Pyridine</t>
  </si>
  <si>
    <t>n1ccccc1N(Cc1ccccc1)CCN(C)C</t>
  </si>
  <si>
    <t>TRIPELENNAMINE</t>
  </si>
  <si>
    <t>PBZ-SR|Tripelennamine|PBZ|</t>
  </si>
  <si>
    <t>n1ccn(c1)C(c1ccc(cc1)-c1ccccc1)c1ccccc1</t>
  </si>
  <si>
    <t>BIFONAZOLE</t>
  </si>
  <si>
    <t>SID56422098|Bifonazole|SID855867|Mycospor|SID26719682|BAY-H-4502|SID144204401|SID26747221|SID104171382|</t>
  </si>
  <si>
    <t>n1ccn(c1)Cc1ccccc1</t>
  </si>
  <si>
    <t>BENZYLIMIDAZOLE</t>
  </si>
  <si>
    <t>SID855733|Benzylimidazole|</t>
  </si>
  <si>
    <t>n1cn(nc1)Cc1cc(cc(c1)C(C#N)(C)C)C(C#N)(C)C</t>
  </si>
  <si>
    <t>ANASTROZOLE</t>
  </si>
  <si>
    <t>ICI-D1033|Anastrozole|Arimidex|ZD-1033|</t>
  </si>
  <si>
    <t>n1ncc2c(cccc2)c1NN</t>
  </si>
  <si>
    <t>HYDRALAZINE</t>
  </si>
  <si>
    <t>Hydralazine|Apresoline|SID11111262|SID50111090|SID11111261|SID90341825|</t>
  </si>
  <si>
    <t>o1c(c(nc1CCC(O)=O)-c1ccccc1)-c1ccccc1</t>
  </si>
  <si>
    <t>OXAPROZIN</t>
  </si>
  <si>
    <t>SID50106813|SID4254158|SID50106814|Daypro|SID90340983|SID11110657|SID455291|Oxaprozin|WY-21743|SID11110656|SID26719634|SID26747622|SID85230870|</t>
  </si>
  <si>
    <t>o1c(ccc1C=NN1CC(=O)N=C1O)-c1ccc([N+](=O)[O-])cc1</t>
  </si>
  <si>
    <t>DANTROLENE</t>
  </si>
  <si>
    <t>Dantrium|Dantrolene|F-368|Dantamacrin|SID26756482|SID26756773|</t>
  </si>
  <si>
    <t>o1c(ccc1[N+](=O)[O-])C=NN1CC(=O)NC1=O</t>
  </si>
  <si>
    <t>NITROFURANTOIN</t>
  </si>
  <si>
    <t>Nitrofurantoin Macrocrystalline|Macrodantin|Furalan|Ivadantin|SID26747377|SID17389788|Macrobid|Dantafur|Furadantin|Nitrofurantoin|</t>
  </si>
  <si>
    <t>o1c(ccc1\C=N\N1CC(=O)NC1=O)-c1ccc([N+](=O)[O-])cc1</t>
  </si>
  <si>
    <t>o1c2c(cccc2)c(CN(C)C)c1C(=O)NCCOc1ccc(cc1)C(=O)NO</t>
  </si>
  <si>
    <t>ABEXINOSTAT</t>
  </si>
  <si>
    <t>PCI-24781|Abexinostat|S-78454|</t>
  </si>
  <si>
    <t>o1cc(c2c1-c1c(c3c(cc1)C(CCC3)(C)C)C(=O)C2=O)C</t>
  </si>
  <si>
    <t>TANSHINONE IIA</t>
  </si>
  <si>
    <t>SID26749724|Tanshinone IIA|SID50107688|SID521177|SID26753770|SID24824099|</t>
  </si>
  <si>
    <t>o1cc(c2c1-c1c(c3c(cc1)c(ccc3)C)C(=O)C2=O)C</t>
  </si>
  <si>
    <t>TANSHINONE I</t>
  </si>
  <si>
    <t>Tanshinone I|SID26725229|</t>
  </si>
  <si>
    <t>o1cccc1C(=O)N1CCN(CC1)c1nc(N)c2cc(OC)c(OC)cc2n1</t>
  </si>
  <si>
    <t>PRAZOSIN</t>
  </si>
  <si>
    <t>CP-12299|SID26751613|SID144207195|SID124882482|Minipress|SID124882484|SID124882486|Minizide|SID11113367|Prazosin|SID50104272|SID90340959|SID50104273|SID26751614|SID50100502|SID50104274|SID50104275|SID11112649|SID11112650|SID124882487|</t>
  </si>
  <si>
    <t>o1cccc1CNc1ncnc2[nH]cnc12</t>
  </si>
  <si>
    <t>KINETIN</t>
  </si>
  <si>
    <t>SID7969961|Kinetin|SID11112392|SID26753705|</t>
  </si>
  <si>
    <t>o1nc(c(-c2ccc(OC)cc2)c1CC(=O)NCc1ccccc1)-c1ccc(OC)cc1</t>
  </si>
  <si>
    <t>o1nc2N=C3C(=NNc2n1)C(=O)c1c3cccc1</t>
  </si>
  <si>
    <t>o1nc2c(n1)cccc2C1\C(=C(\OC)/O)\C(=NC(C)=C1C(OC(C)C)=O)C</t>
  </si>
  <si>
    <t>SID56463145|SID26719827|</t>
  </si>
  <si>
    <t>o1nc2nc3c(nc2n1)-c1c(cccc1)C3=O</t>
  </si>
  <si>
    <t>o1ncc2C[C@@]3([C@@H]4[C@H]([C@@H]5CC[C@@](O)(C#C)[C@]5(CC4)C)CCC3=Cc12)C</t>
  </si>
  <si>
    <t>DANAZOL</t>
  </si>
  <si>
    <t>Danocrine|SID49648394|Danazol|SID144205667|WIN-17757|SID26757819|</t>
  </si>
  <si>
    <t>s1c(C)c(C)c(C(=O)c2cc(ccc2)C(F)(F)F)c1N</t>
  </si>
  <si>
    <t>SID11114043|PD-81723|</t>
  </si>
  <si>
    <t>s1c([N+](=O)[O-])cnc1NC(=O)c1ccccc1O</t>
  </si>
  <si>
    <t>TIZOXANIDE</t>
  </si>
  <si>
    <t>SID525699|Tizoxanide|</t>
  </si>
  <si>
    <t>s1c([N+](=O)[O-])cnc1NC(=O)c1ccccc1OC(=O)C</t>
  </si>
  <si>
    <t>NITAZOXANIDE</t>
  </si>
  <si>
    <t>Alinia|SID17388853|Nitazoxanide|PH-5776|SID525698|SID49681590|SID26719875|SID144204569|</t>
  </si>
  <si>
    <t>s1c(ccc1N(Cc1cc2c(nc(nc2O)C)cc1)C)C(=O)N[C@@H](CCC(O)=O)C(O)=O</t>
  </si>
  <si>
    <t>RALTITREXED</t>
  </si>
  <si>
    <t>Tomudex|Raltitrexed|SID499545|ZD-1694|SID144207198|SID49681782|SID144205790|ZD-16|</t>
  </si>
  <si>
    <t>s1c(cnc1NC(=O)C=1N(S(=O)(=O)c2c(cccc2)C=1O)C)C</t>
  </si>
  <si>
    <t>MELOXICAM</t>
  </si>
  <si>
    <t>SID50085983|UH-AC 62XX|SID26747003|Mobic|SID855815|UHAC-62XX|SID144205287|Meloxicam|</t>
  </si>
  <si>
    <t>s1c(nc(C)c1C(O)=O)-c1cc(C#N)c(OCC(C)C)cc1</t>
  </si>
  <si>
    <t>FEBUXOSTAT</t>
  </si>
  <si>
    <t>SID124893781|TMX-67|Febuxostat|Uloric|</t>
  </si>
  <si>
    <t>s1c(nnc1S(=O)(=O)N)NC(=O)C</t>
  </si>
  <si>
    <t>ACETAZOLAMIDE</t>
  </si>
  <si>
    <t>SID11110757|Acetazolamide|SID26747033|Diamox|SID50104152|SID855900|SID26751551|</t>
  </si>
  <si>
    <t>s1c(nnc1SCC=1CSC2N(C(=O)C2NC(=O)Cn2nnnc2)C=1C(O)=O)C</t>
  </si>
  <si>
    <t>SID50086448</t>
  </si>
  <si>
    <t>s1c2C[C@@H](NCCC)CCc2nc1N</t>
  </si>
  <si>
    <t>PRAMIPEXOLE</t>
  </si>
  <si>
    <t>SID144205998|Pramipexole|SID50112695|U-98528E|</t>
  </si>
  <si>
    <t>s1c2Nc3c(N=C(N4CCN(CC4)C)c2cc1C)cccc3</t>
  </si>
  <si>
    <t>OLANZAPINE</t>
  </si>
  <si>
    <t>SID29215187|Zyprexa Zydis|SID26719852|Olanzapine|SID26750094|SID144205109|LY-170053|Zyprexa|SID49666419|</t>
  </si>
  <si>
    <t>s1c2c(cc1)C(c1c(CC2)cccc1)=C1CCN(CC1)C</t>
  </si>
  <si>
    <t>PIZOTYLINE</t>
  </si>
  <si>
    <t>BC-105|Pizotyline|SID144205577|Sandomigran|Pizotifen|SID26756535|</t>
  </si>
  <si>
    <t>s1c2c(cc1C(N(O)C(=O)N)C)cccc2</t>
  </si>
  <si>
    <t>ZILEUTON</t>
  </si>
  <si>
    <t>SID26719885|Zileuton|A-64077|ABBOTT-64077|Zyflo|SID29215400|SID144205233|Zyflo Cr|</t>
  </si>
  <si>
    <t>s1c2c(ccc(O)c2)c(C(=O)c2ccc(OCCN3CCCCC3)cc2)c1-c1ccc(O)cc1</t>
  </si>
  <si>
    <t>RALOXIFENE</t>
  </si>
  <si>
    <t>Raloxifene|SID50105675|SID11111733|SID104171230|SID26755239|SID90341181|Evista|SID11111734|</t>
  </si>
  <si>
    <t>s1c2cc(OC(F)(F)F)ccc2nc1N</t>
  </si>
  <si>
    <t>RILUZOLE</t>
  </si>
  <si>
    <t>SID104171227|SID85231207|SID11111723|SID26751529|SID855844|RP-54274|Rilutek|Riluzole|SID11113346|SID90341557|SID50104104|</t>
  </si>
  <si>
    <t>s1c[n+](Cc2cnc(nc2N)C)c(C)c1CCO</t>
  </si>
  <si>
    <t>THIAMINE</t>
  </si>
  <si>
    <t>Thiamine|Vitamin B 1|Betaxin|</t>
  </si>
  <si>
    <t>s1cc(nc1)-c1[nH]c2c(n1)cccc2</t>
  </si>
  <si>
    <t>THIABENDAZOLE</t>
  </si>
  <si>
    <t>MK-360|TBZ|SID26746923|SID397296|SID104171300|SID11112304|SID17389714|Thiabendazole|Tiabendazole|SID4262837|SID26751457|SID124882215|E233|SID481912|Mintezol|Equizole|Omnizole|SID144203978|</t>
  </si>
  <si>
    <t>s1cc(nc1CN(C)C)CSCCN\C(\NC)=C\[N+](=O)[O-]</t>
  </si>
  <si>
    <t>NIZATIDINE</t>
  </si>
  <si>
    <t>LY-139037|Nizatidine|SID11112849|Axid|Axid ar|</t>
  </si>
  <si>
    <t>s1cc(nc1N)/C(=N/OC)/C(=O)N[C@H]1[C@H]2SCC(CSc3nnnn3C)=C(N2C1=O)C(O)=O</t>
  </si>
  <si>
    <t>CEFMENOXIME</t>
  </si>
  <si>
    <t>Cefmenoxime</t>
  </si>
  <si>
    <t>s1cc(nc1N)C(=NO)C(=O)N[C@H]1[C@H]2SCC(C=C)=C(N2C1=O)C(O)=O</t>
  </si>
  <si>
    <t>CEFDINIR</t>
  </si>
  <si>
    <t>SID56422579|Cefzon|Omnicef|FK-482|CI-983|Cefdinir|</t>
  </si>
  <si>
    <t>s1cc(nc1N)C(=NOC)C(=O)NC1C2SCC(COC(=O)C)=C(N2C1=O)C(O)=O</t>
  </si>
  <si>
    <t>s1cc(nc1N)C(=NOC)C(=O)N[C@H]1[C@H]2SCC(COC)=C(N2C1=O)C(OC(OC(OC(C)C)=O)C)=O</t>
  </si>
  <si>
    <t>CEFPODOXIME PROXETIL</t>
  </si>
  <si>
    <t>Cefpodoxime Proxetil|U-76252|Cefpodoxime|Vantin|Banan|CS-807|SID144206928|</t>
  </si>
  <si>
    <t>s1cc(nc1NC(N)=N)CSCCC(NS(=O)(=O)N)=N</t>
  </si>
  <si>
    <t>FAMOTIDINE</t>
  </si>
  <si>
    <t>Pepcid Rpd|SID85231052|SID144203704|Famotidine|SID49681730|SID50106279|SID26753575|Pepcid|Pepcid Ac|MK-208|SID855518|SID26748463|SID11111194|Fluxid|SID11111195|</t>
  </si>
  <si>
    <t>s1ccc(C)c1C(=CCCN1C[C@@H](CCC1)C(O)=O)c1sccc1C</t>
  </si>
  <si>
    <t>TIAGABINE</t>
  </si>
  <si>
    <t>SID26758048|Tiagabine|A-70569-1|ABBOTT-70569-1|Gabitril|NNC-05-0328|NO-05-0328|ABT-569|ABBOTT-70569|</t>
  </si>
  <si>
    <t>s1cccc1-c1c2[nH]c3c(c2ccc1)cccc3</t>
  </si>
  <si>
    <t>s1cccc1CC(=O)N[C@@]1(OC)[C@H]2SCC(COC(=O)N)=C(N2C1=O)C(O)=O</t>
  </si>
  <si>
    <t>CEFOXITIN</t>
  </si>
  <si>
    <t>Cenomycin|Mefoxin|Cefoxitin|SID144206560|Mefoxitin|</t>
  </si>
  <si>
    <t>s1cccc1S(=O)(=O)N1CCC(CC1)C(=O)Nc1cc2OCOc2cc1</t>
  </si>
  <si>
    <t>SID4240503</t>
  </si>
  <si>
    <t>s1cccc1[C@@H](Oc1c2c(ccc1)cccc2)CCNC</t>
  </si>
  <si>
    <t>DULOXETINE</t>
  </si>
  <si>
    <t>SID26757978|Duloxetine|SID26719725|Cymbalta|SID124893161|SID49681583|</t>
  </si>
  <si>
    <t>s1cncc1COC(=O)N[C@H]([C@@H](O)C[C@@H](NC(=O)[C@@H](NC(=O)N(Cc1nc(sc1)C(C)C)C)C(C)C)Cc1ccccc1)Cc1ccccc1</t>
  </si>
  <si>
    <t>RITONAVIR</t>
  </si>
  <si>
    <t>A-84538|ABBOTT-84538|SID26719904|SID144206981|Ritonavir|SID29215414|Norvir|</t>
  </si>
  <si>
    <t>s1nc(N2CCN(CC2)CCCCN2C(=O)[C@H]3[C@H](CCCC3)C2=O)c2c1cccc2</t>
  </si>
  <si>
    <t>PEROSPIRONE</t>
  </si>
  <si>
    <t>Perospirone|SID26757988|</t>
  </si>
  <si>
    <t>s1nc(N2CCOCC2)c(OC[C@@H](O)CNC(C)(C)C)n1</t>
  </si>
  <si>
    <t>TIMOLOL</t>
  </si>
  <si>
    <t>SID11111904|SID144204165|Betimol|Timolol|Istalol|Timoptic-XE|Blocadren|SID104171325|SID11113334|Timoptic|SID11112709|SID90341807|</t>
  </si>
  <si>
    <t>SMILES</t>
  </si>
  <si>
    <t>CHEMSPIDER_ID</t>
  </si>
  <si>
    <t>CHEMBL_ID</t>
  </si>
  <si>
    <t>CLINICALTRIALS_DB</t>
  </si>
  <si>
    <t>CHEMBL_KNOWN_DRUG</t>
  </si>
  <si>
    <t>CHEMBL_NAME</t>
  </si>
  <si>
    <t>CHEMBL_ALTERNATE_NAME</t>
  </si>
  <si>
    <t>CONCENTRATION_uM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</si>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</sst>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3"/>
  <sheetViews>
    <sheetView tabSelected="1" workbookViewId="0"/>
  </sheetViews>
  <sheetFormatPr baseColWidth="10" defaultColWidth="8.83203125" defaultRowHeight="15" x14ac:dyDescent="0.2"/>
  <cols>
    <col min="1" max="1" width="56.5" customWidth="1"/>
    <col min="2" max="2" width="17.5" customWidth="1"/>
    <col min="3" max="3" width="15.5" customWidth="1"/>
    <col min="4" max="4" width="25.1640625" customWidth="1"/>
    <col min="5" max="5" width="24.5" customWidth="1"/>
    <col min="6" max="6" width="36.83203125" customWidth="1"/>
    <col min="7" max="7" width="20.33203125" customWidth="1"/>
    <col min="8" max="8" width="23.1640625" style="4" bestFit="1" customWidth="1"/>
    <col min="9" max="9" width="16.1640625" bestFit="1" customWidth="1"/>
  </cols>
  <sheetData>
    <row r="1" spans="1:9" s="2" customFormat="1" x14ac:dyDescent="0.2">
      <c r="A1" s="2" t="s">
        <v>3361</v>
      </c>
      <c r="B1" s="2" t="s">
        <v>3362</v>
      </c>
      <c r="C1" s="2" t="s">
        <v>3363</v>
      </c>
      <c r="D1" s="2" t="s">
        <v>3365</v>
      </c>
      <c r="E1" s="2" t="s">
        <v>3366</v>
      </c>
      <c r="F1" s="2" t="s">
        <v>3367</v>
      </c>
      <c r="G1" s="2" t="s">
        <v>3364</v>
      </c>
      <c r="H1" s="5" t="s">
        <v>3368</v>
      </c>
      <c r="I1" s="3"/>
    </row>
    <row r="2" spans="1:9" x14ac:dyDescent="0.2">
      <c r="A2" t="s">
        <v>0</v>
      </c>
      <c r="B2" s="1" t="str">
        <f>HYPERLINK("http://www.chemspider.com/Chemical-Structure.5813.html","5813")</f>
        <v>5813</v>
      </c>
      <c r="C2" s="1" t="str">
        <f>HYPERLINK("https://www.ebi.ac.uk/chembl/compound/inspect/CHEMBL222280","CHEMBL222280")</f>
        <v>CHEMBL222280</v>
      </c>
      <c r="D2" t="s">
        <v>1</v>
      </c>
      <c r="E2" t="s">
        <v>2</v>
      </c>
      <c r="F2" t="s">
        <v>3</v>
      </c>
      <c r="G2">
        <v>1</v>
      </c>
      <c r="H2" s="4">
        <v>10</v>
      </c>
    </row>
    <row r="3" spans="1:9" x14ac:dyDescent="0.2">
      <c r="A3" t="s">
        <v>4</v>
      </c>
      <c r="G3">
        <v>0</v>
      </c>
      <c r="H3" s="4">
        <v>20</v>
      </c>
    </row>
    <row r="4" spans="1:9" x14ac:dyDescent="0.2">
      <c r="A4" t="s">
        <v>5</v>
      </c>
      <c r="G4">
        <v>0</v>
      </c>
      <c r="H4" s="4">
        <v>20</v>
      </c>
    </row>
    <row r="5" spans="1:9" x14ac:dyDescent="0.2">
      <c r="A5" t="s">
        <v>6</v>
      </c>
      <c r="B5" s="1" t="str">
        <f>HYPERLINK("http://www.chemspider.com/Chemical-Structure.9405383.html","9405383")</f>
        <v>9405383</v>
      </c>
      <c r="G5">
        <v>0</v>
      </c>
      <c r="H5" s="4">
        <v>20</v>
      </c>
    </row>
    <row r="6" spans="1:9" x14ac:dyDescent="0.2">
      <c r="A6" t="s">
        <v>7</v>
      </c>
      <c r="B6" s="1" t="str">
        <f>HYPERLINK("http://www.chemspider.com/Chemical-Structure.9132463.html","9132463")</f>
        <v>9132463</v>
      </c>
      <c r="G6">
        <v>0</v>
      </c>
      <c r="H6" s="4">
        <v>20</v>
      </c>
    </row>
    <row r="7" spans="1:9" x14ac:dyDescent="0.2">
      <c r="A7" t="s">
        <v>8</v>
      </c>
      <c r="B7" s="1" t="str">
        <f>HYPERLINK("http://www.chemspider.com/Chemical-Structure.2341.html","2341")</f>
        <v>2341</v>
      </c>
      <c r="C7" s="1" t="str">
        <f>HYPERLINK("https://www.ebi.ac.uk/chembl/compound/inspect/CHEMBL844","CHEMBL844")</f>
        <v>CHEMBL844</v>
      </c>
      <c r="D7" t="s">
        <v>9</v>
      </c>
      <c r="E7" t="s">
        <v>10</v>
      </c>
      <c r="F7" t="s">
        <v>11</v>
      </c>
      <c r="G7">
        <v>256</v>
      </c>
      <c r="H7" s="4">
        <v>10</v>
      </c>
    </row>
    <row r="8" spans="1:9" x14ac:dyDescent="0.2">
      <c r="A8" t="s">
        <v>12</v>
      </c>
      <c r="B8" s="1" t="str">
        <f>HYPERLINK("http://www.chemspider.com/Chemical-Structure.2243.html","2243")</f>
        <v>2243</v>
      </c>
      <c r="C8" s="1" t="str">
        <f>HYPERLINK("https://www.ebi.ac.uk/chembl/compound/inspect/CHEMBL388590","CHEMBL388590")</f>
        <v>CHEMBL388590</v>
      </c>
      <c r="D8" t="s">
        <v>1</v>
      </c>
      <c r="E8" t="s">
        <v>13</v>
      </c>
      <c r="F8" t="s">
        <v>14</v>
      </c>
      <c r="G8">
        <v>2</v>
      </c>
      <c r="H8" s="4">
        <v>10</v>
      </c>
    </row>
    <row r="9" spans="1:9" x14ac:dyDescent="0.2">
      <c r="A9" t="s">
        <v>15</v>
      </c>
      <c r="B9" s="1" t="str">
        <f>HYPERLINK("http://www.chemspider.com/Chemical-Structure.1206.html","1206")</f>
        <v>1206</v>
      </c>
      <c r="C9" s="1" t="str">
        <f>HYPERLINK("https://www.ebi.ac.uk/chembl/compound/inspect/CHEMBL324017","CHEMBL324017")</f>
        <v>CHEMBL324017</v>
      </c>
      <c r="D9" t="s">
        <v>1</v>
      </c>
      <c r="F9" t="s">
        <v>16</v>
      </c>
      <c r="G9">
        <v>0</v>
      </c>
      <c r="H9" s="4">
        <v>10</v>
      </c>
    </row>
    <row r="10" spans="1:9" x14ac:dyDescent="0.2">
      <c r="A10" t="s">
        <v>17</v>
      </c>
      <c r="B10" s="1" t="str">
        <f>HYPERLINK("http://www.chemspider.com/Chemical-Structure.617826.html","617826")</f>
        <v>617826</v>
      </c>
      <c r="C10" s="1" t="str">
        <f>HYPERLINK("https://www.ebi.ac.uk/chembl/compound/inspect/CHEMBL1608722","CHEMBL1608722")</f>
        <v>CHEMBL1608722</v>
      </c>
      <c r="D10" t="s">
        <v>1</v>
      </c>
      <c r="F10" t="s">
        <v>18</v>
      </c>
      <c r="G10">
        <v>0</v>
      </c>
      <c r="H10" s="4">
        <v>20</v>
      </c>
    </row>
    <row r="11" spans="1:9" x14ac:dyDescent="0.2">
      <c r="A11" t="s">
        <v>19</v>
      </c>
      <c r="G11">
        <v>0</v>
      </c>
      <c r="H11" s="4">
        <v>20</v>
      </c>
    </row>
    <row r="12" spans="1:9" x14ac:dyDescent="0.2">
      <c r="A12" t="s">
        <v>20</v>
      </c>
      <c r="G12">
        <v>0</v>
      </c>
      <c r="H12" s="4">
        <v>20</v>
      </c>
    </row>
    <row r="13" spans="1:9" x14ac:dyDescent="0.2">
      <c r="A13" t="s">
        <v>21</v>
      </c>
      <c r="G13">
        <v>0</v>
      </c>
      <c r="H13" s="4">
        <v>20</v>
      </c>
    </row>
    <row r="14" spans="1:9" x14ac:dyDescent="0.2">
      <c r="A14" t="s">
        <v>22</v>
      </c>
      <c r="G14">
        <v>0</v>
      </c>
      <c r="H14" s="4">
        <v>20</v>
      </c>
    </row>
    <row r="15" spans="1:9" x14ac:dyDescent="0.2">
      <c r="A15" t="s">
        <v>23</v>
      </c>
      <c r="G15">
        <v>0</v>
      </c>
      <c r="H15" s="4">
        <v>20</v>
      </c>
    </row>
    <row r="16" spans="1:9" x14ac:dyDescent="0.2">
      <c r="A16" t="s">
        <v>24</v>
      </c>
      <c r="B16" s="1" t="str">
        <f>HYPERLINK("http://www.chemspider.com/Chemical-Structure.142993.html","142993")</f>
        <v>142993</v>
      </c>
      <c r="C16" s="1" t="str">
        <f>HYPERLINK("https://www.ebi.ac.uk/chembl/compound/inspect/CHEMBL81169","CHEMBL81169")</f>
        <v>CHEMBL81169</v>
      </c>
      <c r="D16" t="s">
        <v>1</v>
      </c>
      <c r="G16">
        <v>0</v>
      </c>
      <c r="H16" s="4">
        <v>20</v>
      </c>
    </row>
    <row r="17" spans="1:8" x14ac:dyDescent="0.2">
      <c r="A17" t="s">
        <v>25</v>
      </c>
      <c r="B17" s="1" t="str">
        <f>HYPERLINK("http://www.chemspider.com/Chemical-Structure.4587924.html","4587924")</f>
        <v>4587924</v>
      </c>
      <c r="C17" s="1" t="str">
        <f>HYPERLINK("https://www.ebi.ac.uk/chembl/compound/inspect/CHEMBL113173","CHEMBL113173")</f>
        <v>CHEMBL113173</v>
      </c>
      <c r="D17" t="s">
        <v>1</v>
      </c>
      <c r="G17">
        <v>0</v>
      </c>
      <c r="H17" s="4">
        <v>20</v>
      </c>
    </row>
    <row r="18" spans="1:8" x14ac:dyDescent="0.2">
      <c r="A18" t="s">
        <v>26</v>
      </c>
      <c r="G18">
        <v>0</v>
      </c>
      <c r="H18" s="4">
        <v>20</v>
      </c>
    </row>
    <row r="19" spans="1:8" x14ac:dyDescent="0.2">
      <c r="A19" t="s">
        <v>27</v>
      </c>
      <c r="G19">
        <v>0</v>
      </c>
      <c r="H19" s="4">
        <v>20</v>
      </c>
    </row>
    <row r="20" spans="1:8" x14ac:dyDescent="0.2">
      <c r="A20" t="s">
        <v>28</v>
      </c>
      <c r="G20">
        <v>0</v>
      </c>
      <c r="H20" s="4">
        <v>20</v>
      </c>
    </row>
    <row r="21" spans="1:8" x14ac:dyDescent="0.2">
      <c r="A21" t="s">
        <v>29</v>
      </c>
      <c r="G21">
        <v>0</v>
      </c>
      <c r="H21" s="4">
        <v>20</v>
      </c>
    </row>
    <row r="22" spans="1:8" x14ac:dyDescent="0.2">
      <c r="A22" t="s">
        <v>30</v>
      </c>
      <c r="B22" s="1" t="str">
        <f>HYPERLINK("http://www.chemspider.com/Chemical-Structure.251995.html","251995")</f>
        <v>251995</v>
      </c>
      <c r="G22">
        <v>0</v>
      </c>
      <c r="H22" s="4">
        <v>10</v>
      </c>
    </row>
    <row r="23" spans="1:8" x14ac:dyDescent="0.2">
      <c r="A23" t="s">
        <v>31</v>
      </c>
      <c r="B23" s="1" t="str">
        <f>HYPERLINK("http://www.chemspider.com/Chemical-Structure.16068.html","16068")</f>
        <v>16068</v>
      </c>
      <c r="C23" s="1" t="str">
        <f>HYPERLINK("https://www.ebi.ac.uk/chembl/compound/inspect/CHEMBL1201287","CHEMBL1201287")</f>
        <v>CHEMBL1201287</v>
      </c>
      <c r="D23" t="s">
        <v>9</v>
      </c>
      <c r="E23" t="s">
        <v>32</v>
      </c>
      <c r="F23" t="s">
        <v>33</v>
      </c>
      <c r="G23">
        <v>0</v>
      </c>
      <c r="H23" s="4">
        <v>10</v>
      </c>
    </row>
    <row r="24" spans="1:8" x14ac:dyDescent="0.2">
      <c r="A24" t="s">
        <v>34</v>
      </c>
      <c r="B24" s="1" t="str">
        <f>HYPERLINK("http://www.chemspider.com/Chemical-Structure.2337.html","2337")</f>
        <v>2337</v>
      </c>
      <c r="C24" s="1" t="str">
        <f>HYPERLINK("https://www.ebi.ac.uk/chembl/compound/inspect/CHEMBL1199080","CHEMBL1199080")</f>
        <v>CHEMBL1199080</v>
      </c>
      <c r="D24" t="s">
        <v>9</v>
      </c>
      <c r="E24" t="s">
        <v>35</v>
      </c>
      <c r="F24" t="s">
        <v>36</v>
      </c>
      <c r="G24">
        <v>0</v>
      </c>
      <c r="H24" s="4">
        <v>17</v>
      </c>
    </row>
    <row r="25" spans="1:8" x14ac:dyDescent="0.2">
      <c r="A25" t="s">
        <v>37</v>
      </c>
      <c r="B25" s="1" t="str">
        <f>HYPERLINK("http://www.chemspider.com/Chemical-Structure.87159.html","87159")</f>
        <v>87159</v>
      </c>
      <c r="C25" s="1" t="str">
        <f>HYPERLINK("https://www.ebi.ac.uk/chembl/compound/inspect/CHEMBL1775009","CHEMBL1775009")</f>
        <v>CHEMBL1775009</v>
      </c>
      <c r="D25" t="s">
        <v>1</v>
      </c>
      <c r="F25" t="s">
        <v>38</v>
      </c>
      <c r="G25">
        <v>0</v>
      </c>
      <c r="H25" s="4">
        <v>10</v>
      </c>
    </row>
    <row r="26" spans="1:8" x14ac:dyDescent="0.2">
      <c r="A26" t="s">
        <v>39</v>
      </c>
      <c r="B26" s="1" t="str">
        <f>HYPERLINK("http://www.chemspider.com/Chemical-Structure.10006390.html","10006390")</f>
        <v>10006390</v>
      </c>
      <c r="G26">
        <v>0</v>
      </c>
      <c r="H26" s="4">
        <v>20</v>
      </c>
    </row>
    <row r="27" spans="1:8" x14ac:dyDescent="0.2">
      <c r="A27" t="s">
        <v>40</v>
      </c>
      <c r="G27">
        <v>0</v>
      </c>
      <c r="H27" s="4">
        <v>20</v>
      </c>
    </row>
    <row r="28" spans="1:8" x14ac:dyDescent="0.2">
      <c r="A28" t="s">
        <v>41</v>
      </c>
      <c r="B28" s="1" t="str">
        <f>HYPERLINK("http://www.chemspider.com/Chemical-Structure.9801307.html","9801307")</f>
        <v>9801307</v>
      </c>
      <c r="C28" s="1" t="str">
        <f>HYPERLINK("https://www.ebi.ac.uk/chembl/compound/inspect/CHEMBL601719","CHEMBL601719")</f>
        <v>CHEMBL601719</v>
      </c>
      <c r="D28" t="s">
        <v>9</v>
      </c>
      <c r="E28" t="s">
        <v>42</v>
      </c>
      <c r="F28" t="s">
        <v>43</v>
      </c>
      <c r="G28">
        <v>104</v>
      </c>
      <c r="H28" s="4" t="s">
        <v>3369</v>
      </c>
    </row>
    <row r="29" spans="1:8" x14ac:dyDescent="0.2">
      <c r="A29" t="s">
        <v>44</v>
      </c>
      <c r="B29" s="1" t="str">
        <f>HYPERLINK("http://www.chemspider.com/Chemical-Structure.20939.html","20939")</f>
        <v>20939</v>
      </c>
      <c r="C29" s="1" t="str">
        <f>HYPERLINK("https://www.ebi.ac.uk/chembl/compound/inspect/CHEMBL15799","CHEMBL15799")</f>
        <v>CHEMBL15799</v>
      </c>
      <c r="D29" t="s">
        <v>1</v>
      </c>
      <c r="E29" t="s">
        <v>45</v>
      </c>
      <c r="F29" t="s">
        <v>46</v>
      </c>
      <c r="G29">
        <v>4</v>
      </c>
      <c r="H29" s="4">
        <v>10</v>
      </c>
    </row>
    <row r="30" spans="1:8" x14ac:dyDescent="0.2">
      <c r="A30" t="s">
        <v>47</v>
      </c>
      <c r="B30" s="1" t="str">
        <f>HYPERLINK("http://www.chemspider.com/Chemical-Structure.4444129.html","4444129")</f>
        <v>4444129</v>
      </c>
      <c r="C30" s="1" t="str">
        <f>HYPERLINK("https://www.ebi.ac.uk/chembl/compound/inspect/CHEMBL1293","CHEMBL1293")</f>
        <v>CHEMBL1293</v>
      </c>
      <c r="D30" t="s">
        <v>9</v>
      </c>
      <c r="E30" t="s">
        <v>48</v>
      </c>
      <c r="F30" t="s">
        <v>49</v>
      </c>
      <c r="G30">
        <v>2703</v>
      </c>
      <c r="H30" s="4">
        <v>10</v>
      </c>
    </row>
    <row r="31" spans="1:8" x14ac:dyDescent="0.2">
      <c r="A31" t="s">
        <v>50</v>
      </c>
      <c r="B31" s="1" t="str">
        <f>HYPERLINK("http://www.chemspider.com/Chemical-Structure.10442850.html","10442850")</f>
        <v>10442850</v>
      </c>
      <c r="C31" s="1" t="str">
        <f>HYPERLINK("https://www.ebi.ac.uk/chembl/compound/inspect/CHEMBL1697750","CHEMBL1697750")</f>
        <v>CHEMBL1697750</v>
      </c>
      <c r="D31" t="s">
        <v>1</v>
      </c>
      <c r="E31" t="s">
        <v>51</v>
      </c>
      <c r="F31" t="s">
        <v>52</v>
      </c>
      <c r="G31">
        <v>20</v>
      </c>
      <c r="H31" s="4">
        <v>6.8</v>
      </c>
    </row>
    <row r="32" spans="1:8" x14ac:dyDescent="0.2">
      <c r="A32" t="s">
        <v>53</v>
      </c>
      <c r="B32" s="1" t="str">
        <f>HYPERLINK("http://www.chemspider.com/Chemical-Structure.3818.html","3818")</f>
        <v>3818</v>
      </c>
      <c r="C32" s="1" t="str">
        <f>HYPERLINK("https://www.ebi.ac.uk/chembl/compound/inspect/CHEMBL841","CHEMBL841")</f>
        <v>CHEMBL841</v>
      </c>
      <c r="D32" t="s">
        <v>9</v>
      </c>
      <c r="E32" t="s">
        <v>54</v>
      </c>
      <c r="F32" t="s">
        <v>55</v>
      </c>
      <c r="G32">
        <v>62</v>
      </c>
      <c r="H32" s="4">
        <v>10.00034001</v>
      </c>
    </row>
    <row r="33" spans="1:8" x14ac:dyDescent="0.2">
      <c r="A33" t="s">
        <v>56</v>
      </c>
      <c r="B33" s="1" t="str">
        <f>HYPERLINK("http://www.chemspider.com/Chemical-Structure.1265967.html","1265967")</f>
        <v>1265967</v>
      </c>
      <c r="C33" s="1" t="str">
        <f>HYPERLINK("https://www.ebi.ac.uk/chembl/compound/inspect/CHEMBL954","CHEMBL954")</f>
        <v>CHEMBL954</v>
      </c>
      <c r="D33" t="s">
        <v>9</v>
      </c>
      <c r="E33" t="s">
        <v>57</v>
      </c>
      <c r="F33" t="s">
        <v>58</v>
      </c>
      <c r="G33">
        <v>18</v>
      </c>
      <c r="H33" s="4" t="s">
        <v>3369</v>
      </c>
    </row>
    <row r="34" spans="1:8" x14ac:dyDescent="0.2">
      <c r="A34" t="s">
        <v>59</v>
      </c>
      <c r="B34" s="1" t="str">
        <f>HYPERLINK("http://www.chemspider.com/Chemical-Structure.292.html","292")</f>
        <v>292</v>
      </c>
      <c r="C34" s="1" t="str">
        <f>HYPERLINK("https://www.ebi.ac.uk/chembl/compound/inspect/CHEMBL414400","CHEMBL414400")</f>
        <v>CHEMBL414400</v>
      </c>
      <c r="D34" t="s">
        <v>1</v>
      </c>
      <c r="F34" t="s">
        <v>60</v>
      </c>
      <c r="G34">
        <v>0</v>
      </c>
      <c r="H34" s="4">
        <v>10</v>
      </c>
    </row>
    <row r="35" spans="1:8" x14ac:dyDescent="0.2">
      <c r="A35" t="s">
        <v>61</v>
      </c>
      <c r="B35" s="1" t="str">
        <f>HYPERLINK("http://www.chemspider.com/Chemical-Structure.10771217.html","10771217")</f>
        <v>10771217</v>
      </c>
      <c r="C35" s="1" t="str">
        <f>HYPERLINK("https://www.ebi.ac.uk/chembl/compound/inspect/CHEMBL13960","CHEMBL13960")</f>
        <v>CHEMBL13960</v>
      </c>
      <c r="D35" t="s">
        <v>1</v>
      </c>
      <c r="E35" t="s">
        <v>62</v>
      </c>
      <c r="F35" t="s">
        <v>63</v>
      </c>
      <c r="G35">
        <v>7718</v>
      </c>
      <c r="H35" s="4">
        <v>10</v>
      </c>
    </row>
    <row r="36" spans="1:8" x14ac:dyDescent="0.2">
      <c r="A36" t="s">
        <v>64</v>
      </c>
      <c r="B36" s="1" t="str">
        <f>HYPERLINK("http://www.chemspider.com/Chemical-Structure.8022046.html","8022046")</f>
        <v>8022046</v>
      </c>
      <c r="C36" s="1" t="str">
        <f>HYPERLINK("https://www.ebi.ac.uk/chembl/compound/inspect/CHEMBL1587228","CHEMBL1587228")</f>
        <v>CHEMBL1587228</v>
      </c>
      <c r="D36" t="s">
        <v>1</v>
      </c>
      <c r="E36" t="s">
        <v>65</v>
      </c>
      <c r="F36" t="s">
        <v>66</v>
      </c>
      <c r="G36">
        <v>0</v>
      </c>
      <c r="H36" s="4">
        <v>10</v>
      </c>
    </row>
    <row r="37" spans="1:8" x14ac:dyDescent="0.2">
      <c r="A37" t="s">
        <v>67</v>
      </c>
      <c r="B37" s="1" t="str">
        <f>HYPERLINK("http://www.chemspider.com/Chemical-Structure.46260.html","46260")</f>
        <v>46260</v>
      </c>
      <c r="C37" s="1" t="str">
        <f>HYPERLINK("https://www.ebi.ac.uk/chembl/compound/inspect/CHEMBL680","CHEMBL680")</f>
        <v>CHEMBL680</v>
      </c>
      <c r="D37" t="s">
        <v>9</v>
      </c>
      <c r="E37" t="s">
        <v>68</v>
      </c>
      <c r="F37" t="s">
        <v>69</v>
      </c>
      <c r="G37">
        <v>4</v>
      </c>
      <c r="H37" s="4">
        <v>10</v>
      </c>
    </row>
    <row r="38" spans="1:8" x14ac:dyDescent="0.2">
      <c r="A38" t="s">
        <v>70</v>
      </c>
      <c r="B38" s="1" t="str">
        <f>HYPERLINK("http://www.chemspider.com/Chemical-Structure.30399.html","30399")</f>
        <v>30399</v>
      </c>
      <c r="C38" s="1" t="str">
        <f>HYPERLINK("https://www.ebi.ac.uk/chembl/compound/inspect/CHEMBL1159650","CHEMBL1159650")</f>
        <v>CHEMBL1159650</v>
      </c>
      <c r="D38" t="s">
        <v>9</v>
      </c>
      <c r="E38" t="s">
        <v>71</v>
      </c>
      <c r="F38" t="s">
        <v>72</v>
      </c>
      <c r="G38">
        <v>1145</v>
      </c>
      <c r="H38" s="4">
        <v>10</v>
      </c>
    </row>
    <row r="39" spans="1:8" x14ac:dyDescent="0.2">
      <c r="A39" t="s">
        <v>73</v>
      </c>
      <c r="B39" s="1" t="str">
        <f>HYPERLINK("http://www.chemspider.com/Chemical-Structure.28487993.html","28487993")</f>
        <v>28487993</v>
      </c>
      <c r="C39" s="1" t="str">
        <f>HYPERLINK("https://www.ebi.ac.uk/chembl/compound/inspect/CHEMBL1962361","CHEMBL1962361")</f>
        <v>CHEMBL1962361</v>
      </c>
      <c r="D39" t="s">
        <v>1</v>
      </c>
      <c r="G39">
        <v>0</v>
      </c>
      <c r="H39" s="4">
        <v>20</v>
      </c>
    </row>
    <row r="40" spans="1:8" x14ac:dyDescent="0.2">
      <c r="A40" t="s">
        <v>74</v>
      </c>
      <c r="B40" s="1" t="str">
        <f>HYPERLINK("http://www.chemspider.com/Chemical-Structure.26102.html","26102")</f>
        <v>26102</v>
      </c>
      <c r="C40" s="1" t="str">
        <f>HYPERLINK("https://www.ebi.ac.uk/chembl/compound/inspect/CHEMBL1449676","CHEMBL1449676")</f>
        <v>CHEMBL1449676</v>
      </c>
      <c r="D40" t="s">
        <v>1</v>
      </c>
      <c r="E40" t="s">
        <v>75</v>
      </c>
      <c r="F40" t="s">
        <v>76</v>
      </c>
      <c r="G40">
        <v>0</v>
      </c>
      <c r="H40" s="4">
        <v>10</v>
      </c>
    </row>
    <row r="41" spans="1:8" x14ac:dyDescent="0.2">
      <c r="A41" t="s">
        <v>77</v>
      </c>
      <c r="B41" s="1" t="str">
        <f>HYPERLINK("http://www.chemspider.com/Chemical-Structure.245565.html","245565")</f>
        <v>245565</v>
      </c>
      <c r="G41">
        <v>0</v>
      </c>
      <c r="H41" s="4">
        <v>10</v>
      </c>
    </row>
    <row r="42" spans="1:8" x14ac:dyDescent="0.2">
      <c r="A42" t="s">
        <v>78</v>
      </c>
      <c r="B42" s="1" t="str">
        <f>HYPERLINK("http://www.chemspider.com/Chemical-Structure.2607.html","2607")</f>
        <v>2607</v>
      </c>
      <c r="C42" s="1" t="str">
        <f>HYPERLINK("https://www.ebi.ac.uk/chembl/compound/inspect/CHEMBL515","CHEMBL515")</f>
        <v>CHEMBL515</v>
      </c>
      <c r="D42" t="s">
        <v>9</v>
      </c>
      <c r="E42" t="s">
        <v>79</v>
      </c>
      <c r="F42" t="s">
        <v>80</v>
      </c>
      <c r="G42">
        <v>104</v>
      </c>
      <c r="H42" s="4">
        <v>10.000109650000001</v>
      </c>
    </row>
    <row r="43" spans="1:8" x14ac:dyDescent="0.2">
      <c r="A43" t="s">
        <v>81</v>
      </c>
      <c r="B43" s="1" t="str">
        <f>HYPERLINK("http://www.chemspider.com/Chemical-Structure.4604.html","4604")</f>
        <v>4604</v>
      </c>
      <c r="C43" s="1" t="str">
        <f>HYPERLINK("https://www.ebi.ac.uk/chembl/compound/inspect/CHEMBL753","CHEMBL753")</f>
        <v>CHEMBL753</v>
      </c>
      <c r="D43" t="s">
        <v>9</v>
      </c>
      <c r="E43" t="s">
        <v>82</v>
      </c>
      <c r="F43" t="s">
        <v>83</v>
      </c>
      <c r="G43">
        <v>8</v>
      </c>
      <c r="H43" s="4">
        <v>10</v>
      </c>
    </row>
    <row r="44" spans="1:8" x14ac:dyDescent="0.2">
      <c r="A44" t="s">
        <v>84</v>
      </c>
      <c r="B44" s="1" t="str">
        <f>HYPERLINK("http://www.chemspider.com/Chemical-Structure.2480.html","2480")</f>
        <v>2480</v>
      </c>
      <c r="C44" s="1" t="str">
        <f>HYPERLINK("https://www.ebi.ac.uk/chembl/compound/inspect/CHEMBL513","CHEMBL513")</f>
        <v>CHEMBL513</v>
      </c>
      <c r="D44" t="s">
        <v>9</v>
      </c>
      <c r="E44" t="s">
        <v>85</v>
      </c>
      <c r="F44" t="s">
        <v>86</v>
      </c>
      <c r="G44">
        <v>362</v>
      </c>
      <c r="H44" s="4">
        <v>10</v>
      </c>
    </row>
    <row r="45" spans="1:8" x14ac:dyDescent="0.2">
      <c r="A45" t="s">
        <v>87</v>
      </c>
      <c r="B45" s="1" t="str">
        <f>HYPERLINK("http://www.chemspider.com/Chemical-Structure.2804.html","2804")</f>
        <v>2804</v>
      </c>
      <c r="C45" s="1" t="str">
        <f>HYPERLINK("https://www.ebi.ac.uk/chembl/compound/inspect/CHEMBL88","CHEMBL88")</f>
        <v>CHEMBL88</v>
      </c>
      <c r="D45" t="s">
        <v>9</v>
      </c>
      <c r="E45" t="s">
        <v>88</v>
      </c>
      <c r="F45" t="s">
        <v>89</v>
      </c>
      <c r="G45">
        <v>4812</v>
      </c>
      <c r="H45" s="4">
        <v>10</v>
      </c>
    </row>
    <row r="46" spans="1:8" x14ac:dyDescent="0.2">
      <c r="A46" t="s">
        <v>90</v>
      </c>
      <c r="B46" s="1" t="str">
        <f>HYPERLINK("http://www.chemspider.com/Chemical-Structure.2275722.html","2275722")</f>
        <v>2275722</v>
      </c>
      <c r="C46" s="1" t="str">
        <f>HYPERLINK("https://www.ebi.ac.uk/chembl/compound/inspect/CHEMBL1655","CHEMBL1655")</f>
        <v>CHEMBL1655</v>
      </c>
      <c r="D46" t="s">
        <v>9</v>
      </c>
      <c r="E46" t="s">
        <v>91</v>
      </c>
      <c r="F46" t="s">
        <v>92</v>
      </c>
      <c r="G46">
        <v>49</v>
      </c>
      <c r="H46" s="4">
        <v>10</v>
      </c>
    </row>
    <row r="47" spans="1:8" x14ac:dyDescent="0.2">
      <c r="A47" t="s">
        <v>93</v>
      </c>
      <c r="B47" s="1" t="str">
        <f>HYPERLINK("http://www.chemspider.com/Chemical-Structure.392049.html","392049")</f>
        <v>392049</v>
      </c>
      <c r="C47" s="1" t="str">
        <f>HYPERLINK("https://www.ebi.ac.uk/chembl/compound/inspect/CHEMBL1200865","CHEMBL1200865")</f>
        <v>CHEMBL1200865</v>
      </c>
      <c r="D47" t="s">
        <v>9</v>
      </c>
      <c r="E47" t="s">
        <v>94</v>
      </c>
      <c r="F47" t="s">
        <v>95</v>
      </c>
      <c r="G47">
        <v>105</v>
      </c>
      <c r="H47" s="4">
        <v>10</v>
      </c>
    </row>
    <row r="48" spans="1:8" x14ac:dyDescent="0.2">
      <c r="A48" t="s">
        <v>96</v>
      </c>
      <c r="B48" s="1" t="str">
        <f>HYPERLINK("http://www.chemspider.com/Chemical-Structure.20396.html","20396")</f>
        <v>20396</v>
      </c>
      <c r="C48" s="1" t="str">
        <f>HYPERLINK("https://www.ebi.ac.uk/chembl/compound/inspect/CHEMBL1200500","CHEMBL1200500")</f>
        <v>CHEMBL1200500</v>
      </c>
      <c r="D48" t="s">
        <v>9</v>
      </c>
      <c r="E48" t="s">
        <v>97</v>
      </c>
      <c r="F48" t="s">
        <v>98</v>
      </c>
      <c r="G48">
        <v>377</v>
      </c>
      <c r="H48" s="4">
        <v>10</v>
      </c>
    </row>
    <row r="49" spans="1:8" x14ac:dyDescent="0.2">
      <c r="A49" t="s">
        <v>99</v>
      </c>
      <c r="B49" s="1" t="str">
        <f>HYPERLINK("http://www.chemspider.com/Chemical-Structure.3163.html","3163")</f>
        <v>3163</v>
      </c>
      <c r="C49" s="1" t="str">
        <f>HYPERLINK("https://www.ebi.ac.uk/chembl/compound/inspect/CHEMBL456","CHEMBL456")</f>
        <v>CHEMBL456</v>
      </c>
      <c r="D49" t="s">
        <v>9</v>
      </c>
      <c r="E49" t="s">
        <v>100</v>
      </c>
      <c r="F49" t="s">
        <v>101</v>
      </c>
      <c r="G49">
        <v>7719</v>
      </c>
      <c r="H49" s="4">
        <v>10</v>
      </c>
    </row>
    <row r="50" spans="1:8" x14ac:dyDescent="0.2">
      <c r="A50" t="s">
        <v>102</v>
      </c>
      <c r="B50" s="1" t="str">
        <f>HYPERLINK("http://www.chemspider.com/Chemical-Structure.54790.html","54790")</f>
        <v>54790</v>
      </c>
      <c r="C50" s="1" t="str">
        <f>HYPERLINK("https://www.ebi.ac.uk/chembl/compound/inspect/CHEMBL1112","CHEMBL1112")</f>
        <v>CHEMBL1112</v>
      </c>
      <c r="D50" t="s">
        <v>9</v>
      </c>
      <c r="E50" t="s">
        <v>103</v>
      </c>
      <c r="F50" t="s">
        <v>104</v>
      </c>
      <c r="G50">
        <v>720</v>
      </c>
      <c r="H50" s="4">
        <v>10.000903080000001</v>
      </c>
    </row>
    <row r="51" spans="1:8" x14ac:dyDescent="0.2">
      <c r="A51" t="s">
        <v>105</v>
      </c>
      <c r="B51" s="1" t="str">
        <f>HYPERLINK("http://www.chemspider.com/Chemical-Structure.3897.html","3897")</f>
        <v>3897</v>
      </c>
      <c r="C51" s="1" t="str">
        <f>HYPERLINK("https://www.ebi.ac.uk/chembl/compound/inspect/CHEMBL509","CHEMBL509")</f>
        <v>CHEMBL509</v>
      </c>
      <c r="D51" t="s">
        <v>9</v>
      </c>
      <c r="E51" t="s">
        <v>106</v>
      </c>
      <c r="F51" t="s">
        <v>107</v>
      </c>
      <c r="G51">
        <v>7720</v>
      </c>
      <c r="H51" s="4">
        <v>10</v>
      </c>
    </row>
    <row r="52" spans="1:8" x14ac:dyDescent="0.2">
      <c r="A52" t="s">
        <v>108</v>
      </c>
      <c r="B52" s="1" t="str">
        <f>HYPERLINK("http://www.chemspider.com/Chemical-Structure.45565.html","45565")</f>
        <v>45565</v>
      </c>
      <c r="C52" s="1" t="str">
        <f>HYPERLINK("https://www.ebi.ac.uk/chembl/compound/inspect/CHEMBL1086440","CHEMBL1086440")</f>
        <v>CHEMBL1086440</v>
      </c>
      <c r="D52" t="s">
        <v>1</v>
      </c>
      <c r="E52" t="s">
        <v>109</v>
      </c>
      <c r="F52" t="s">
        <v>110</v>
      </c>
      <c r="G52">
        <v>2</v>
      </c>
      <c r="H52" s="4">
        <v>10</v>
      </c>
    </row>
    <row r="53" spans="1:8" x14ac:dyDescent="0.2">
      <c r="A53" t="s">
        <v>111</v>
      </c>
      <c r="B53" s="1" t="str">
        <f>HYPERLINK("http://www.chemspider.com/Chemical-Structure.2930.html","2930")</f>
        <v>2930</v>
      </c>
      <c r="C53" s="1" t="str">
        <f>HYPERLINK("https://www.ebi.ac.uk/chembl/compound/inspect/CHEMBL17","CHEMBL17")</f>
        <v>CHEMBL17</v>
      </c>
      <c r="D53" t="s">
        <v>9</v>
      </c>
      <c r="E53" t="s">
        <v>112</v>
      </c>
      <c r="F53" t="s">
        <v>113</v>
      </c>
      <c r="G53">
        <v>5</v>
      </c>
      <c r="H53" s="4">
        <v>10</v>
      </c>
    </row>
    <row r="54" spans="1:8" x14ac:dyDescent="0.2">
      <c r="A54" t="s">
        <v>114</v>
      </c>
      <c r="B54" s="1" t="str">
        <f>HYPERLINK("http://www.chemspider.com/Chemical-Structure.3741.html","3741")</f>
        <v>3741</v>
      </c>
      <c r="C54" s="1" t="str">
        <f>HYPERLINK("https://www.ebi.ac.uk/chembl/compound/inspect/CHEMBL741","CHEMBL741")</f>
        <v>CHEMBL741</v>
      </c>
      <c r="D54" t="s">
        <v>9</v>
      </c>
      <c r="E54" t="s">
        <v>115</v>
      </c>
      <c r="F54" t="s">
        <v>116</v>
      </c>
      <c r="G54">
        <v>387</v>
      </c>
      <c r="H54" s="4">
        <v>10</v>
      </c>
    </row>
    <row r="55" spans="1:8" x14ac:dyDescent="0.2">
      <c r="A55" t="s">
        <v>117</v>
      </c>
      <c r="B55" s="1" t="str">
        <f>HYPERLINK("http://www.chemspider.com/Chemical-Structure.3216.html","3216")</f>
        <v>3216</v>
      </c>
      <c r="C55" s="1" t="str">
        <f>HYPERLINK("https://www.ebi.ac.uk/chembl/compound/inspect/CHEMBL1480","CHEMBL1480")</f>
        <v>CHEMBL1480</v>
      </c>
      <c r="D55" t="s">
        <v>9</v>
      </c>
      <c r="E55" t="s">
        <v>118</v>
      </c>
      <c r="F55" t="s">
        <v>119</v>
      </c>
      <c r="G55">
        <v>36</v>
      </c>
      <c r="H55" s="4">
        <v>10</v>
      </c>
    </row>
    <row r="56" spans="1:8" x14ac:dyDescent="0.2">
      <c r="A56" t="s">
        <v>120</v>
      </c>
      <c r="B56" s="1" t="str">
        <f>HYPERLINK("http://www.chemspider.com/Chemical-Structure.2097.html","2097")</f>
        <v>2097</v>
      </c>
      <c r="C56" s="1" t="str">
        <f>HYPERLINK("https://www.ebi.ac.uk/chembl/compound/inspect/CHEMBL760","CHEMBL760")</f>
        <v>CHEMBL760</v>
      </c>
      <c r="D56" t="s">
        <v>9</v>
      </c>
      <c r="E56" t="s">
        <v>121</v>
      </c>
      <c r="F56" t="s">
        <v>122</v>
      </c>
      <c r="G56">
        <v>34</v>
      </c>
      <c r="H56" s="4">
        <v>10</v>
      </c>
    </row>
    <row r="57" spans="1:8" x14ac:dyDescent="0.2">
      <c r="A57" t="s">
        <v>123</v>
      </c>
      <c r="G57">
        <v>0</v>
      </c>
      <c r="H57" s="4">
        <v>20</v>
      </c>
    </row>
    <row r="58" spans="1:8" x14ac:dyDescent="0.2">
      <c r="A58" t="s">
        <v>124</v>
      </c>
      <c r="B58" s="1" t="str">
        <f>HYPERLINK("http://www.chemspider.com/Chemical-Structure.389934.html","389934")</f>
        <v>389934</v>
      </c>
      <c r="C58" s="1" t="str">
        <f>HYPERLINK("https://www.ebi.ac.uk/chembl/compound/inspect/CHEMBL562","CHEMBL562")</f>
        <v>CHEMBL562</v>
      </c>
      <c r="D58" t="s">
        <v>9</v>
      </c>
      <c r="E58" t="s">
        <v>125</v>
      </c>
      <c r="F58" t="s">
        <v>126</v>
      </c>
      <c r="G58">
        <v>9</v>
      </c>
      <c r="H58" s="4">
        <v>10</v>
      </c>
    </row>
    <row r="59" spans="1:8" x14ac:dyDescent="0.2">
      <c r="A59" t="s">
        <v>127</v>
      </c>
      <c r="G59">
        <v>0</v>
      </c>
      <c r="H59" s="4">
        <v>20</v>
      </c>
    </row>
    <row r="60" spans="1:8" x14ac:dyDescent="0.2">
      <c r="A60" t="s">
        <v>128</v>
      </c>
      <c r="G60">
        <v>0</v>
      </c>
      <c r="H60" s="4">
        <v>20</v>
      </c>
    </row>
    <row r="61" spans="1:8" x14ac:dyDescent="0.2">
      <c r="A61" t="s">
        <v>129</v>
      </c>
      <c r="G61">
        <v>0</v>
      </c>
      <c r="H61" s="4">
        <v>20</v>
      </c>
    </row>
    <row r="62" spans="1:8" x14ac:dyDescent="0.2">
      <c r="A62" t="s">
        <v>130</v>
      </c>
      <c r="G62">
        <v>0</v>
      </c>
      <c r="H62" s="4">
        <v>20</v>
      </c>
    </row>
    <row r="63" spans="1:8" x14ac:dyDescent="0.2">
      <c r="A63" t="s">
        <v>131</v>
      </c>
      <c r="G63">
        <v>0</v>
      </c>
      <c r="H63" s="4">
        <v>20</v>
      </c>
    </row>
    <row r="64" spans="1:8" x14ac:dyDescent="0.2">
      <c r="A64" t="s">
        <v>132</v>
      </c>
      <c r="G64">
        <v>0</v>
      </c>
      <c r="H64" s="4">
        <v>5</v>
      </c>
    </row>
    <row r="65" spans="1:8" x14ac:dyDescent="0.2">
      <c r="A65" t="s">
        <v>133</v>
      </c>
      <c r="G65">
        <v>0</v>
      </c>
      <c r="H65" s="4">
        <v>20</v>
      </c>
    </row>
    <row r="66" spans="1:8" x14ac:dyDescent="0.2">
      <c r="A66" t="s">
        <v>134</v>
      </c>
      <c r="B66" s="1" t="str">
        <f>HYPERLINK("http://www.chemspider.com/Chemical-Structure.9218228.html","9218228")</f>
        <v>9218228</v>
      </c>
      <c r="G66">
        <v>0</v>
      </c>
      <c r="H66" s="4">
        <v>20</v>
      </c>
    </row>
    <row r="67" spans="1:8" x14ac:dyDescent="0.2">
      <c r="A67" t="s">
        <v>135</v>
      </c>
      <c r="B67" s="1" t="str">
        <f>HYPERLINK("http://www.chemspider.com/Chemical-Structure.24818427.html","24818427")</f>
        <v>24818427</v>
      </c>
      <c r="C67" s="1" t="str">
        <f>HYPERLINK("https://www.ebi.ac.uk/chembl/compound/inspect/CHEMBL1617341","CHEMBL1617341")</f>
        <v>CHEMBL1617341</v>
      </c>
      <c r="D67" t="s">
        <v>1</v>
      </c>
      <c r="G67">
        <v>0</v>
      </c>
      <c r="H67" s="4">
        <v>10</v>
      </c>
    </row>
    <row r="68" spans="1:8" x14ac:dyDescent="0.2">
      <c r="A68" t="s">
        <v>136</v>
      </c>
      <c r="B68" s="1" t="str">
        <f>HYPERLINK("http://www.chemspider.com/Chemical-Structure.3224.html","3224")</f>
        <v>3224</v>
      </c>
      <c r="C68" s="1" t="str">
        <f>HYPERLINK("https://www.ebi.ac.uk/chembl/compound/inspect/CHEMBL588","CHEMBL588")</f>
        <v>CHEMBL588</v>
      </c>
      <c r="D68" t="s">
        <v>9</v>
      </c>
      <c r="E68" t="s">
        <v>137</v>
      </c>
      <c r="F68" t="s">
        <v>138</v>
      </c>
      <c r="G68">
        <v>33</v>
      </c>
      <c r="H68" s="4" t="s">
        <v>3369</v>
      </c>
    </row>
    <row r="69" spans="1:8" x14ac:dyDescent="0.2">
      <c r="A69" t="s">
        <v>139</v>
      </c>
      <c r="G69">
        <v>0</v>
      </c>
      <c r="H69" s="4">
        <v>20</v>
      </c>
    </row>
    <row r="70" spans="1:8" x14ac:dyDescent="0.2">
      <c r="A70" t="s">
        <v>140</v>
      </c>
      <c r="G70">
        <v>0</v>
      </c>
      <c r="H70" s="4">
        <v>20</v>
      </c>
    </row>
    <row r="71" spans="1:8" x14ac:dyDescent="0.2">
      <c r="A71" t="s">
        <v>141</v>
      </c>
      <c r="G71">
        <v>0</v>
      </c>
      <c r="H71" s="4">
        <v>20</v>
      </c>
    </row>
    <row r="72" spans="1:8" x14ac:dyDescent="0.2">
      <c r="A72" t="s">
        <v>142</v>
      </c>
      <c r="G72">
        <v>0</v>
      </c>
      <c r="H72" s="4">
        <v>20</v>
      </c>
    </row>
    <row r="73" spans="1:8" x14ac:dyDescent="0.2">
      <c r="A73" t="s">
        <v>143</v>
      </c>
      <c r="G73">
        <v>0</v>
      </c>
      <c r="H73" s="4">
        <v>20</v>
      </c>
    </row>
    <row r="74" spans="1:8" x14ac:dyDescent="0.2">
      <c r="A74" t="s">
        <v>144</v>
      </c>
      <c r="G74">
        <v>0</v>
      </c>
      <c r="H74" s="4">
        <v>20</v>
      </c>
    </row>
    <row r="75" spans="1:8" x14ac:dyDescent="0.2">
      <c r="A75" t="s">
        <v>145</v>
      </c>
      <c r="G75">
        <v>0</v>
      </c>
      <c r="H75" s="4">
        <v>20</v>
      </c>
    </row>
    <row r="76" spans="1:8" x14ac:dyDescent="0.2">
      <c r="A76" t="s">
        <v>146</v>
      </c>
      <c r="G76">
        <v>0</v>
      </c>
      <c r="H76" s="4">
        <v>20</v>
      </c>
    </row>
    <row r="77" spans="1:8" x14ac:dyDescent="0.2">
      <c r="A77" t="s">
        <v>147</v>
      </c>
      <c r="G77">
        <v>0</v>
      </c>
      <c r="H77" s="4">
        <v>20</v>
      </c>
    </row>
    <row r="78" spans="1:8" x14ac:dyDescent="0.2">
      <c r="A78" t="s">
        <v>148</v>
      </c>
      <c r="G78">
        <v>0</v>
      </c>
      <c r="H78" s="4">
        <v>5</v>
      </c>
    </row>
    <row r="79" spans="1:8" x14ac:dyDescent="0.2">
      <c r="A79" t="s">
        <v>149</v>
      </c>
      <c r="B79" s="1" t="str">
        <f>HYPERLINK("http://www.chemspider.com/Chemical-Structure.97262.html","97262")</f>
        <v>97262</v>
      </c>
      <c r="C79" s="1" t="str">
        <f>HYPERLINK("https://www.ebi.ac.uk/chembl/compound/inspect/CHEMBL18041","CHEMBL18041")</f>
        <v>CHEMBL18041</v>
      </c>
      <c r="D79" t="s">
        <v>1</v>
      </c>
      <c r="E79" t="s">
        <v>150</v>
      </c>
      <c r="F79" t="s">
        <v>151</v>
      </c>
      <c r="G79">
        <v>0</v>
      </c>
      <c r="H79" s="4">
        <v>10</v>
      </c>
    </row>
    <row r="80" spans="1:8" x14ac:dyDescent="0.2">
      <c r="A80" t="s">
        <v>152</v>
      </c>
      <c r="B80" s="1" t="str">
        <f>HYPERLINK("http://www.chemspider.com/Chemical-Structure.2667.html","2667")</f>
        <v>2667</v>
      </c>
      <c r="C80" s="1" t="str">
        <f>HYPERLINK("https://www.ebi.ac.uk/chembl/compound/inspect/CHEMBL1729","CHEMBL1729")</f>
        <v>CHEMBL1729</v>
      </c>
      <c r="D80" t="s">
        <v>9</v>
      </c>
      <c r="E80" t="s">
        <v>153</v>
      </c>
      <c r="F80" t="s">
        <v>154</v>
      </c>
      <c r="G80">
        <v>10</v>
      </c>
      <c r="H80" s="4">
        <v>10.00071305</v>
      </c>
    </row>
    <row r="81" spans="1:8" x14ac:dyDescent="0.2">
      <c r="A81" t="s">
        <v>155</v>
      </c>
      <c r="B81" s="1" t="str">
        <f>HYPERLINK("http://www.chemspider.com/Chemical-Structure.106780.html","106780")</f>
        <v>106780</v>
      </c>
      <c r="C81" s="1" t="str">
        <f>HYPERLINK("https://www.ebi.ac.uk/chembl/compound/inspect/CHEMBL60889","CHEMBL60889")</f>
        <v>CHEMBL60889</v>
      </c>
      <c r="D81" t="s">
        <v>1</v>
      </c>
      <c r="E81" t="s">
        <v>156</v>
      </c>
      <c r="F81" t="s">
        <v>157</v>
      </c>
      <c r="G81">
        <v>31</v>
      </c>
      <c r="H81" s="4">
        <v>10</v>
      </c>
    </row>
    <row r="82" spans="1:8" x14ac:dyDescent="0.2">
      <c r="A82" t="s">
        <v>158</v>
      </c>
      <c r="B82" s="1" t="str">
        <f>HYPERLINK("http://www.chemspider.com/Chemical-Structure.4024.html","4024")</f>
        <v>4024</v>
      </c>
      <c r="C82" s="1" t="str">
        <f>HYPERLINK("https://www.ebi.ac.uk/chembl/compound/inspect/CHEMBL86","CHEMBL86")</f>
        <v>CHEMBL86</v>
      </c>
      <c r="D82" t="s">
        <v>9</v>
      </c>
      <c r="E82" t="s">
        <v>159</v>
      </c>
      <c r="F82" t="s">
        <v>160</v>
      </c>
      <c r="G82">
        <v>178</v>
      </c>
      <c r="H82" s="4">
        <v>10</v>
      </c>
    </row>
    <row r="83" spans="1:8" x14ac:dyDescent="0.2">
      <c r="A83" t="s">
        <v>161</v>
      </c>
      <c r="B83" s="1" t="str">
        <f>HYPERLINK("http://www.chemspider.com/Chemical-Structure.3368.html","3368")</f>
        <v>3368</v>
      </c>
      <c r="C83" s="1" t="str">
        <f>HYPERLINK("https://www.ebi.ac.uk/chembl/compound/inspect/CHEMBL472","CHEMBL472")</f>
        <v>CHEMBL472</v>
      </c>
      <c r="D83" t="s">
        <v>9</v>
      </c>
      <c r="E83" t="s">
        <v>162</v>
      </c>
      <c r="F83" t="s">
        <v>163</v>
      </c>
      <c r="G83">
        <v>191</v>
      </c>
      <c r="H83" s="4">
        <v>10</v>
      </c>
    </row>
    <row r="84" spans="1:8" x14ac:dyDescent="0.2">
      <c r="A84" t="s">
        <v>164</v>
      </c>
      <c r="B84" s="1" t="str">
        <f>HYPERLINK("http://www.chemspider.com/Chemical-Structure.129664.html","129664")</f>
        <v>129664</v>
      </c>
      <c r="G84">
        <v>0</v>
      </c>
      <c r="H84" s="4">
        <v>7.7498320969999996</v>
      </c>
    </row>
    <row r="85" spans="1:8" x14ac:dyDescent="0.2">
      <c r="A85" t="s">
        <v>165</v>
      </c>
      <c r="B85" s="1" t="str">
        <f>HYPERLINK("http://www.chemspider.com/Chemical-Structure.5292927.html","5292927")</f>
        <v>5292927</v>
      </c>
      <c r="C85" s="1" t="str">
        <f>HYPERLINK("https://www.ebi.ac.uk/chembl/compound/inspect/CHEMBL560739","CHEMBL560739")</f>
        <v>CHEMBL560739</v>
      </c>
      <c r="D85" t="s">
        <v>1</v>
      </c>
      <c r="G85">
        <v>0</v>
      </c>
      <c r="H85" s="4">
        <v>10</v>
      </c>
    </row>
    <row r="86" spans="1:8" x14ac:dyDescent="0.2">
      <c r="A86" t="s">
        <v>166</v>
      </c>
      <c r="B86" s="1" t="str">
        <f>HYPERLINK("http://www.chemspider.com/Chemical-Structure.2298373.html","2298373")</f>
        <v>2298373</v>
      </c>
      <c r="C86" s="1" t="str">
        <f>HYPERLINK("https://www.ebi.ac.uk/chembl/compound/inspect/CHEMBL8809","CHEMBL8809")</f>
        <v>CHEMBL8809</v>
      </c>
      <c r="D86" t="s">
        <v>1</v>
      </c>
      <c r="E86" t="s">
        <v>167</v>
      </c>
      <c r="F86" t="s">
        <v>168</v>
      </c>
      <c r="G86">
        <v>11</v>
      </c>
      <c r="H86" s="4">
        <v>10</v>
      </c>
    </row>
    <row r="87" spans="1:8" x14ac:dyDescent="0.2">
      <c r="A87" t="s">
        <v>169</v>
      </c>
      <c r="B87" s="1" t="str">
        <f>HYPERLINK("http://www.chemspider.com/Chemical-Structure.2621.html","2621")</f>
        <v>2621</v>
      </c>
      <c r="C87" s="1" t="str">
        <f>HYPERLINK("https://www.ebi.ac.uk/chembl/compound/inspect/CHEMBL1200596","CHEMBL1200596")</f>
        <v>CHEMBL1200596</v>
      </c>
      <c r="D87" t="s">
        <v>9</v>
      </c>
      <c r="E87" t="s">
        <v>170</v>
      </c>
      <c r="F87" t="s">
        <v>171</v>
      </c>
      <c r="G87">
        <v>0</v>
      </c>
      <c r="H87" s="4">
        <v>10</v>
      </c>
    </row>
    <row r="88" spans="1:8" x14ac:dyDescent="0.2">
      <c r="A88" t="s">
        <v>172</v>
      </c>
      <c r="B88" s="1" t="str">
        <f>HYPERLINK("http://www.chemspider.com/Chemical-Structure.34303.html","34303")</f>
        <v>34303</v>
      </c>
      <c r="C88" s="1" t="str">
        <f>HYPERLINK("https://www.ebi.ac.uk/chembl/compound/inspect/CHEMBL1107","CHEMBL1107")</f>
        <v>CHEMBL1107</v>
      </c>
      <c r="D88" t="s">
        <v>9</v>
      </c>
      <c r="E88" t="s">
        <v>173</v>
      </c>
      <c r="F88" t="s">
        <v>174</v>
      </c>
      <c r="G88">
        <v>2</v>
      </c>
      <c r="H88" s="4">
        <v>10</v>
      </c>
    </row>
    <row r="89" spans="1:8" x14ac:dyDescent="0.2">
      <c r="A89" t="s">
        <v>175</v>
      </c>
      <c r="B89" s="1" t="str">
        <f>HYPERLINK("http://www.chemspider.com/Chemical-Structure.4510239.html","4510239")</f>
        <v>4510239</v>
      </c>
      <c r="C89" s="1" t="str">
        <f>HYPERLINK("https://www.ebi.ac.uk/chembl/compound/inspect/CHEMBL1620948","CHEMBL1620948")</f>
        <v>CHEMBL1620948</v>
      </c>
      <c r="D89" t="s">
        <v>1</v>
      </c>
      <c r="G89">
        <v>0</v>
      </c>
      <c r="H89" s="4">
        <v>10</v>
      </c>
    </row>
    <row r="90" spans="1:8" x14ac:dyDescent="0.2">
      <c r="A90" t="s">
        <v>176</v>
      </c>
      <c r="B90" s="1" t="str">
        <f>HYPERLINK("http://www.chemspider.com/Chemical-Structure.3086.html","3086")</f>
        <v>3086</v>
      </c>
      <c r="C90" s="1" t="str">
        <f>HYPERLINK("https://www.ebi.ac.uk/chembl/compound/inspect/CHEMBL808","CHEMBL808")</f>
        <v>CHEMBL808</v>
      </c>
      <c r="D90" t="s">
        <v>9</v>
      </c>
      <c r="E90" t="s">
        <v>177</v>
      </c>
      <c r="F90" t="s">
        <v>178</v>
      </c>
      <c r="G90">
        <v>20</v>
      </c>
      <c r="H90" s="4">
        <v>10</v>
      </c>
    </row>
    <row r="91" spans="1:8" x14ac:dyDescent="0.2">
      <c r="A91" t="s">
        <v>179</v>
      </c>
      <c r="B91" s="1" t="str">
        <f>HYPERLINK("http://www.chemspider.com/Chemical-Structure.4044.html","4044")</f>
        <v>4044</v>
      </c>
      <c r="C91" s="1" t="str">
        <f>HYPERLINK("https://www.ebi.ac.uk/chembl/compound/inspect/CHEMBL91","CHEMBL91")</f>
        <v>CHEMBL91</v>
      </c>
      <c r="D91" t="s">
        <v>9</v>
      </c>
      <c r="E91" t="s">
        <v>180</v>
      </c>
      <c r="F91" t="s">
        <v>181</v>
      </c>
      <c r="G91">
        <v>78</v>
      </c>
      <c r="H91" s="4">
        <v>10</v>
      </c>
    </row>
    <row r="92" spans="1:8" x14ac:dyDescent="0.2">
      <c r="A92" t="s">
        <v>182</v>
      </c>
      <c r="B92" s="1" t="str">
        <f>HYPERLINK("http://www.chemspider.com/Chemical-Structure.3661.html","3661")</f>
        <v>3661</v>
      </c>
      <c r="C92" s="1" t="str">
        <f>HYPERLINK("https://www.ebi.ac.uk/chembl/compound/inspect/CHEMBL64391","CHEMBL64391")</f>
        <v>CHEMBL64391</v>
      </c>
      <c r="D92" t="s">
        <v>1</v>
      </c>
      <c r="F92" t="s">
        <v>183</v>
      </c>
      <c r="G92">
        <v>0</v>
      </c>
      <c r="H92" s="4">
        <v>10.1</v>
      </c>
    </row>
    <row r="93" spans="1:8" x14ac:dyDescent="0.2">
      <c r="A93" t="s">
        <v>184</v>
      </c>
      <c r="B93" s="1" t="str">
        <f>HYPERLINK("http://www.chemspider.com/Chemical-Structure.5363.html","5363")</f>
        <v>5363</v>
      </c>
      <c r="C93" s="1" t="str">
        <f>HYPERLINK("https://www.ebi.ac.uk/chembl/compound/inspect/CHEMBL849","CHEMBL849")</f>
        <v>CHEMBL849</v>
      </c>
      <c r="D93" t="s">
        <v>9</v>
      </c>
      <c r="E93" t="s">
        <v>185</v>
      </c>
      <c r="F93" t="s">
        <v>186</v>
      </c>
      <c r="G93">
        <v>121</v>
      </c>
      <c r="H93" s="4">
        <v>10</v>
      </c>
    </row>
    <row r="94" spans="1:8" x14ac:dyDescent="0.2">
      <c r="A94" t="s">
        <v>187</v>
      </c>
      <c r="B94" s="1" t="str">
        <f>HYPERLINK("http://www.chemspider.com/Chemical-Structure.401695.html","401695")</f>
        <v>401695</v>
      </c>
      <c r="C94" s="1" t="str">
        <f>HYPERLINK("https://www.ebi.ac.uk/chembl/compound/inspect/CHEMBL75","CHEMBL75")</f>
        <v>CHEMBL75</v>
      </c>
      <c r="D94" t="s">
        <v>1</v>
      </c>
      <c r="F94" t="s">
        <v>188</v>
      </c>
      <c r="G94">
        <v>0</v>
      </c>
      <c r="H94" s="4">
        <v>10</v>
      </c>
    </row>
    <row r="95" spans="1:8" x14ac:dyDescent="0.2">
      <c r="A95" t="s">
        <v>189</v>
      </c>
      <c r="B95" s="1" t="str">
        <f>HYPERLINK("http://www.chemspider.com/Chemical-Structure.49927.html","49927")</f>
        <v>49927</v>
      </c>
      <c r="C95" s="1" t="str">
        <f>HYPERLINK("https://www.ebi.ac.uk/chembl/compound/inspect/CHEMBL22587","CHEMBL22587")</f>
        <v>CHEMBL22587</v>
      </c>
      <c r="D95" t="s">
        <v>9</v>
      </c>
      <c r="E95" t="s">
        <v>190</v>
      </c>
      <c r="F95" t="s">
        <v>191</v>
      </c>
      <c r="G95">
        <v>166</v>
      </c>
      <c r="H95" s="4">
        <v>10</v>
      </c>
    </row>
    <row r="96" spans="1:8" x14ac:dyDescent="0.2">
      <c r="A96" t="s">
        <v>192</v>
      </c>
      <c r="B96" s="1" t="str">
        <f>HYPERLINK("http://www.chemspider.com/Chemical-Structure.9214459.html","9214459")</f>
        <v>9214459</v>
      </c>
      <c r="G96">
        <v>0</v>
      </c>
      <c r="H96" s="4">
        <v>10</v>
      </c>
    </row>
    <row r="97" spans="1:8" x14ac:dyDescent="0.2">
      <c r="A97" t="s">
        <v>193</v>
      </c>
      <c r="B97" s="1" t="str">
        <f>HYPERLINK("http://www.chemspider.com/Chemical-Structure.2487077.html","2487077")</f>
        <v>2487077</v>
      </c>
      <c r="C97" s="1" t="str">
        <f>HYPERLINK("https://www.ebi.ac.uk/chembl/compound/inspect/CHEMBL1542432","CHEMBL1542432")</f>
        <v>CHEMBL1542432</v>
      </c>
      <c r="D97" t="s">
        <v>1</v>
      </c>
      <c r="F97" t="s">
        <v>194</v>
      </c>
      <c r="G97">
        <v>0</v>
      </c>
      <c r="H97" s="4">
        <v>10</v>
      </c>
    </row>
    <row r="98" spans="1:8" x14ac:dyDescent="0.2">
      <c r="A98" t="s">
        <v>195</v>
      </c>
      <c r="B98" s="1" t="str">
        <f>HYPERLINK("http://www.chemspider.com/Chemical-Structure.7881501.html","7881501")</f>
        <v>7881501</v>
      </c>
      <c r="G98">
        <v>0</v>
      </c>
      <c r="H98" s="4">
        <v>10</v>
      </c>
    </row>
    <row r="99" spans="1:8" x14ac:dyDescent="0.2">
      <c r="A99" t="s">
        <v>196</v>
      </c>
      <c r="B99" s="1" t="str">
        <f>HYPERLINK("http://www.chemspider.com/Chemical-Structure.242217.html","242217")</f>
        <v>242217</v>
      </c>
      <c r="C99" s="1" t="str">
        <f>HYPERLINK("https://www.ebi.ac.uk/chembl/compound/inspect/CHEMBL94760","CHEMBL94760")</f>
        <v>CHEMBL94760</v>
      </c>
      <c r="D99" t="s">
        <v>1</v>
      </c>
      <c r="G99">
        <v>0</v>
      </c>
      <c r="H99" s="4">
        <v>10</v>
      </c>
    </row>
    <row r="100" spans="1:8" x14ac:dyDescent="0.2">
      <c r="A100" t="s">
        <v>197</v>
      </c>
      <c r="B100" s="1" t="str">
        <f>HYPERLINK("http://www.chemspider.com/Chemical-Structure.4294.html","4294")</f>
        <v>4294</v>
      </c>
      <c r="C100" s="1" t="str">
        <f>HYPERLINK("https://www.ebi.ac.uk/chembl/compound/inspect/CHEMBL623","CHEMBL623")</f>
        <v>CHEMBL623</v>
      </c>
      <c r="D100" t="s">
        <v>9</v>
      </c>
      <c r="E100" t="s">
        <v>198</v>
      </c>
      <c r="F100" t="s">
        <v>199</v>
      </c>
      <c r="G100">
        <v>10</v>
      </c>
      <c r="H100" s="4">
        <v>10</v>
      </c>
    </row>
    <row r="101" spans="1:8" x14ac:dyDescent="0.2">
      <c r="A101" t="s">
        <v>200</v>
      </c>
      <c r="B101" s="1" t="str">
        <f>HYPERLINK("http://www.chemspider.com/Chemical-Structure.5332.html","5332")</f>
        <v>5332</v>
      </c>
      <c r="C101" s="1" t="str">
        <f>HYPERLINK("https://www.ebi.ac.uk/chembl/compound/inspect/CHEMBL621","CHEMBL621")</f>
        <v>CHEMBL621</v>
      </c>
      <c r="D101" t="s">
        <v>9</v>
      </c>
      <c r="E101" t="s">
        <v>201</v>
      </c>
      <c r="F101" t="s">
        <v>202</v>
      </c>
      <c r="G101">
        <v>89</v>
      </c>
      <c r="H101" s="4">
        <v>10</v>
      </c>
    </row>
    <row r="102" spans="1:8" x14ac:dyDescent="0.2">
      <c r="A102" t="s">
        <v>203</v>
      </c>
      <c r="B102" s="1" t="str">
        <f>HYPERLINK("http://www.chemspider.com/Chemical-Structure.3322.html","3322")</f>
        <v>3322</v>
      </c>
      <c r="C102" s="1" t="str">
        <f>HYPERLINK("https://www.ebi.ac.uk/chembl/compound/inspect/CHEMBL35","CHEMBL35")</f>
        <v>CHEMBL35</v>
      </c>
      <c r="D102" t="s">
        <v>9</v>
      </c>
      <c r="E102" t="s">
        <v>204</v>
      </c>
      <c r="F102" t="s">
        <v>205</v>
      </c>
      <c r="G102">
        <v>299</v>
      </c>
      <c r="H102" s="4">
        <v>10</v>
      </c>
    </row>
    <row r="103" spans="1:8" x14ac:dyDescent="0.2">
      <c r="A103" t="s">
        <v>206</v>
      </c>
      <c r="B103" s="1" t="str">
        <f>HYPERLINK("http://www.chemspider.com/Chemical-Structure.110217.html","110217")</f>
        <v>110217</v>
      </c>
      <c r="C103" s="1" t="str">
        <f>HYPERLINK("https://www.ebi.ac.uk/chembl/compound/inspect/CHEMBL939","CHEMBL939")</f>
        <v>CHEMBL939</v>
      </c>
      <c r="D103" t="s">
        <v>9</v>
      </c>
      <c r="E103" t="s">
        <v>207</v>
      </c>
      <c r="F103" t="s">
        <v>208</v>
      </c>
      <c r="G103">
        <v>636</v>
      </c>
      <c r="H103" s="4">
        <v>10</v>
      </c>
    </row>
    <row r="104" spans="1:8" x14ac:dyDescent="0.2">
      <c r="A104" t="s">
        <v>209</v>
      </c>
      <c r="B104" s="1" t="str">
        <f>HYPERLINK("http://www.chemspider.com/Chemical-Structure.4322.html","4322")</f>
        <v>4322</v>
      </c>
      <c r="C104" s="1" t="str">
        <f>HYPERLINK("https://www.ebi.ac.uk/chembl/compound/inspect/CHEMBL1448","CHEMBL1448")</f>
        <v>CHEMBL1448</v>
      </c>
      <c r="D104" t="s">
        <v>9</v>
      </c>
      <c r="E104" t="s">
        <v>210</v>
      </c>
      <c r="F104" t="s">
        <v>211</v>
      </c>
      <c r="G104">
        <v>5</v>
      </c>
      <c r="H104" s="4">
        <v>9.9997491830000005</v>
      </c>
    </row>
    <row r="105" spans="1:8" x14ac:dyDescent="0.2">
      <c r="A105" t="s">
        <v>212</v>
      </c>
      <c r="G105">
        <v>0</v>
      </c>
      <c r="H105" s="4">
        <v>10</v>
      </c>
    </row>
    <row r="106" spans="1:8" x14ac:dyDescent="0.2">
      <c r="A106" t="s">
        <v>213</v>
      </c>
      <c r="B106" s="1" t="str">
        <f>HYPERLINK("http://www.chemspider.com/Chemical-Structure.2177.html","2177")</f>
        <v>2177</v>
      </c>
      <c r="C106" s="1" t="str">
        <f>HYPERLINK("https://www.ebi.ac.uk/chembl/compound/inspect/CHEMBL1598608","CHEMBL1598608")</f>
        <v>CHEMBL1598608</v>
      </c>
      <c r="D106" t="s">
        <v>1</v>
      </c>
      <c r="E106" t="s">
        <v>214</v>
      </c>
      <c r="F106" t="s">
        <v>215</v>
      </c>
      <c r="G106">
        <v>0</v>
      </c>
      <c r="H106" s="4">
        <v>10</v>
      </c>
    </row>
    <row r="107" spans="1:8" x14ac:dyDescent="0.2">
      <c r="A107" t="s">
        <v>216</v>
      </c>
      <c r="B107" s="1" t="str">
        <f>HYPERLINK("http://www.chemspider.com/Chemical-Structure.431.html","431")</f>
        <v>431</v>
      </c>
      <c r="C107" s="1" t="str">
        <f>HYPERLINK("https://www.ebi.ac.uk/chembl/compound/inspect/CHEMBL894","CHEMBL894")</f>
        <v>CHEMBL894</v>
      </c>
      <c r="D107" t="s">
        <v>9</v>
      </c>
      <c r="E107" t="s">
        <v>217</v>
      </c>
      <c r="F107" t="s">
        <v>218</v>
      </c>
      <c r="G107">
        <v>634</v>
      </c>
      <c r="H107" s="4">
        <v>10</v>
      </c>
    </row>
    <row r="108" spans="1:8" x14ac:dyDescent="0.2">
      <c r="A108" t="s">
        <v>219</v>
      </c>
      <c r="B108" s="1" t="str">
        <f>HYPERLINK("http://www.chemspider.com/Chemical-Structure.3385.html","3385")</f>
        <v>3385</v>
      </c>
      <c r="C108" s="1" t="str">
        <f>HYPERLINK("https://www.ebi.ac.uk/chembl/compound/inspect/CHEMBL603370","CHEMBL603370")</f>
        <v>CHEMBL603370</v>
      </c>
      <c r="D108" t="s">
        <v>1</v>
      </c>
      <c r="F108" t="s">
        <v>220</v>
      </c>
      <c r="G108">
        <v>0</v>
      </c>
      <c r="H108" s="4">
        <v>10</v>
      </c>
    </row>
    <row r="109" spans="1:8" x14ac:dyDescent="0.2">
      <c r="A109" t="s">
        <v>221</v>
      </c>
      <c r="B109" s="1" t="str">
        <f>HYPERLINK("http://www.chemspider.com/Chemical-Structure.61881.html","61881")</f>
        <v>61881</v>
      </c>
      <c r="C109" s="1" t="str">
        <f>HYPERLINK("https://www.ebi.ac.uk/chembl/compound/inspect/CHEMBL809","CHEMBL809")</f>
        <v>CHEMBL809</v>
      </c>
      <c r="D109" t="s">
        <v>9</v>
      </c>
      <c r="E109" t="s">
        <v>222</v>
      </c>
      <c r="F109" t="s">
        <v>223</v>
      </c>
      <c r="G109">
        <v>536</v>
      </c>
      <c r="H109" s="4">
        <v>9.9995626860000009</v>
      </c>
    </row>
    <row r="110" spans="1:8" x14ac:dyDescent="0.2">
      <c r="A110" t="s">
        <v>224</v>
      </c>
      <c r="B110" s="1" t="str">
        <f>HYPERLINK("http://www.chemspider.com/Chemical-Structure.112242.html","112242")</f>
        <v>112242</v>
      </c>
      <c r="C110" s="1" t="str">
        <f>HYPERLINK("https://www.ebi.ac.uk/chembl/compound/inspect/CHEMBL341898","CHEMBL341898")</f>
        <v>CHEMBL341898</v>
      </c>
      <c r="D110" t="s">
        <v>1</v>
      </c>
      <c r="E110" t="s">
        <v>225</v>
      </c>
      <c r="F110" t="s">
        <v>226</v>
      </c>
      <c r="G110">
        <v>0</v>
      </c>
      <c r="H110" s="4">
        <v>10</v>
      </c>
    </row>
    <row r="111" spans="1:8" x14ac:dyDescent="0.2">
      <c r="A111" t="s">
        <v>227</v>
      </c>
      <c r="B111" s="1" t="str">
        <f>HYPERLINK("http://www.chemspider.com/Chemical-Structure.2589.html","2589")</f>
        <v>2589</v>
      </c>
      <c r="C111" s="1" t="str">
        <f>HYPERLINK("https://www.ebi.ac.uk/chembl/compound/inspect/CHEMBL16687","CHEMBL16687")</f>
        <v>CHEMBL16687</v>
      </c>
      <c r="D111" t="s">
        <v>1</v>
      </c>
      <c r="E111" t="s">
        <v>228</v>
      </c>
      <c r="F111" t="s">
        <v>229</v>
      </c>
      <c r="G111">
        <v>0</v>
      </c>
      <c r="H111" s="4" t="s">
        <v>3369</v>
      </c>
    </row>
    <row r="112" spans="1:8" x14ac:dyDescent="0.2">
      <c r="A112" t="s">
        <v>230</v>
      </c>
      <c r="B112" s="1" t="str">
        <f>HYPERLINK("http://www.chemspider.com/Chemical-Structure.2699.html","2699")</f>
        <v>2699</v>
      </c>
      <c r="C112" s="1" t="str">
        <f>HYPERLINK("https://www.ebi.ac.uk/chembl/compound/inspect/CHEMBL415","CHEMBL415")</f>
        <v>CHEMBL415</v>
      </c>
      <c r="D112" t="s">
        <v>9</v>
      </c>
      <c r="E112" t="s">
        <v>231</v>
      </c>
      <c r="F112" t="s">
        <v>232</v>
      </c>
      <c r="G112">
        <v>34</v>
      </c>
      <c r="H112" s="4">
        <v>10</v>
      </c>
    </row>
    <row r="113" spans="1:8" x14ac:dyDescent="0.2">
      <c r="A113" t="s">
        <v>233</v>
      </c>
      <c r="B113" s="1" t="str">
        <f>HYPERLINK("http://www.chemspider.com/Chemical-Structure.2625.html","2625")</f>
        <v>2625</v>
      </c>
      <c r="C113" s="1" t="str">
        <f>HYPERLINK("https://www.ebi.ac.uk/chembl/compound/inspect/CHEMBL71","CHEMBL71")</f>
        <v>CHEMBL71</v>
      </c>
      <c r="D113" t="s">
        <v>9</v>
      </c>
      <c r="E113" t="s">
        <v>234</v>
      </c>
      <c r="F113" t="s">
        <v>235</v>
      </c>
      <c r="G113">
        <v>17</v>
      </c>
      <c r="H113" s="4">
        <v>10</v>
      </c>
    </row>
    <row r="114" spans="1:8" x14ac:dyDescent="0.2">
      <c r="A114" t="s">
        <v>236</v>
      </c>
      <c r="B114" s="1" t="str">
        <f>HYPERLINK("http://www.chemspider.com/Chemical-Structure.4748.html","4748")</f>
        <v>4748</v>
      </c>
      <c r="C114" s="1" t="str">
        <f>HYPERLINK("https://www.ebi.ac.uk/chembl/compound/inspect/CHEMBL728","CHEMBL728")</f>
        <v>CHEMBL728</v>
      </c>
      <c r="D114" t="s">
        <v>9</v>
      </c>
      <c r="E114" t="s">
        <v>237</v>
      </c>
      <c r="F114" t="s">
        <v>238</v>
      </c>
      <c r="G114">
        <v>39</v>
      </c>
      <c r="H114" s="4">
        <v>10</v>
      </c>
    </row>
    <row r="115" spans="1:8" x14ac:dyDescent="0.2">
      <c r="A115" t="s">
        <v>239</v>
      </c>
      <c r="B115" s="1" t="str">
        <f>HYPERLINK("http://www.chemspider.com/Chemical-Structure.4586.html","4586")</f>
        <v>4586</v>
      </c>
      <c r="C115" s="1" t="str">
        <f>HYPERLINK("https://www.ebi.ac.uk/chembl/compound/inspect/CHEMBL567","CHEMBL567")</f>
        <v>CHEMBL567</v>
      </c>
      <c r="D115" t="s">
        <v>9</v>
      </c>
      <c r="E115" t="s">
        <v>240</v>
      </c>
      <c r="F115" t="s">
        <v>241</v>
      </c>
      <c r="G115">
        <v>72</v>
      </c>
      <c r="H115" s="4">
        <v>10</v>
      </c>
    </row>
    <row r="116" spans="1:8" x14ac:dyDescent="0.2">
      <c r="A116" t="s">
        <v>242</v>
      </c>
      <c r="B116" s="1" t="str">
        <f>HYPERLINK("http://www.chemspider.com/Chemical-Structure.10442628.html","10442628")</f>
        <v>10442628</v>
      </c>
      <c r="C116" s="1" t="str">
        <f>HYPERLINK("https://www.ebi.ac.uk/chembl/compound/inspect/CHEMBL42","CHEMBL42")</f>
        <v>CHEMBL42</v>
      </c>
      <c r="D116" t="s">
        <v>9</v>
      </c>
      <c r="E116" t="s">
        <v>243</v>
      </c>
      <c r="F116" t="s">
        <v>244</v>
      </c>
      <c r="G116">
        <v>149</v>
      </c>
      <c r="H116" s="4">
        <v>10</v>
      </c>
    </row>
    <row r="117" spans="1:8" x14ac:dyDescent="0.2">
      <c r="A117" t="s">
        <v>245</v>
      </c>
      <c r="B117" s="1" t="str">
        <f>HYPERLINK("http://www.chemspider.com/Chemical-Structure.3978.html","3978")</f>
        <v>3978</v>
      </c>
      <c r="C117" s="1" t="str">
        <f>HYPERLINK("https://www.ebi.ac.uk/chembl/compound/inspect/CHEMBL1577","CHEMBL1577")</f>
        <v>CHEMBL1577</v>
      </c>
      <c r="D117" t="s">
        <v>9</v>
      </c>
      <c r="E117" t="s">
        <v>246</v>
      </c>
      <c r="F117" t="s">
        <v>247</v>
      </c>
      <c r="G117">
        <v>2</v>
      </c>
      <c r="H117" s="4">
        <v>9.9997376070000001</v>
      </c>
    </row>
    <row r="118" spans="1:8" x14ac:dyDescent="0.2">
      <c r="A118" t="s">
        <v>248</v>
      </c>
      <c r="B118" s="1" t="str">
        <f>HYPERLINK("http://www.chemspider.com/Chemical-Structure.2632.html","2632")</f>
        <v>2632</v>
      </c>
      <c r="C118" s="1" t="str">
        <f>HYPERLINK("https://www.ebi.ac.uk/chembl/compound/inspect/CHEMBL1371","CHEMBL1371")</f>
        <v>CHEMBL1371</v>
      </c>
      <c r="D118" t="s">
        <v>9</v>
      </c>
      <c r="E118" t="s">
        <v>249</v>
      </c>
      <c r="F118" t="s">
        <v>250</v>
      </c>
      <c r="G118">
        <v>12</v>
      </c>
      <c r="H118" s="4">
        <v>10</v>
      </c>
    </row>
    <row r="119" spans="1:8" x14ac:dyDescent="0.2">
      <c r="A119" t="s">
        <v>251</v>
      </c>
      <c r="B119" s="1" t="str">
        <f>HYPERLINK("http://www.chemspider.com/Chemical-Structure.2619.html","2619")</f>
        <v>2619</v>
      </c>
      <c r="C119" s="1" t="str">
        <f>HYPERLINK("https://www.ebi.ac.uk/chembl/compound/inspect/CHEMBL842","CHEMBL842")</f>
        <v>CHEMBL842</v>
      </c>
      <c r="D119" t="s">
        <v>9</v>
      </c>
      <c r="E119" t="s">
        <v>252</v>
      </c>
      <c r="F119" t="s">
        <v>253</v>
      </c>
      <c r="G119">
        <v>8</v>
      </c>
      <c r="H119" s="4">
        <v>10</v>
      </c>
    </row>
    <row r="120" spans="1:8" x14ac:dyDescent="0.2">
      <c r="A120" t="s">
        <v>254</v>
      </c>
      <c r="B120" s="1" t="str">
        <f>HYPERLINK("http://www.chemspider.com/Chemical-Structure.3513.html","3513")</f>
        <v>3513</v>
      </c>
      <c r="C120" s="1" t="str">
        <f>HYPERLINK("https://www.ebi.ac.uk/chembl/compound/inspect/CHEMBL435","CHEMBL435")</f>
        <v>CHEMBL435</v>
      </c>
      <c r="D120" t="s">
        <v>9</v>
      </c>
      <c r="E120" t="s">
        <v>255</v>
      </c>
      <c r="F120" t="s">
        <v>256</v>
      </c>
      <c r="G120">
        <v>749</v>
      </c>
      <c r="H120" s="4">
        <v>10</v>
      </c>
    </row>
    <row r="121" spans="1:8" x14ac:dyDescent="0.2">
      <c r="A121" t="s">
        <v>257</v>
      </c>
      <c r="B121" s="1" t="str">
        <f>HYPERLINK("http://www.chemspider.com/Chemical-Structure.2911.html","2911")</f>
        <v>2911</v>
      </c>
      <c r="C121" s="1" t="str">
        <f>HYPERLINK("https://www.ebi.ac.uk/chembl/compound/inspect/CHEMBL181","CHEMBL181")</f>
        <v>CHEMBL181</v>
      </c>
      <c r="D121" t="s">
        <v>9</v>
      </c>
      <c r="E121" t="s">
        <v>258</v>
      </c>
      <c r="F121" t="s">
        <v>259</v>
      </c>
      <c r="G121">
        <v>43</v>
      </c>
      <c r="H121" s="4">
        <v>10</v>
      </c>
    </row>
    <row r="122" spans="1:8" x14ac:dyDescent="0.2">
      <c r="A122" t="s">
        <v>260</v>
      </c>
      <c r="B122" s="1" t="str">
        <f>HYPERLINK("http://www.chemspider.com/Chemical-Structure.2300725.html","2300725")</f>
        <v>2300725</v>
      </c>
      <c r="C122" s="1" t="str">
        <f>HYPERLINK("https://www.ebi.ac.uk/chembl/compound/inspect/CHEMBL1201756","CHEMBL1201756")</f>
        <v>CHEMBL1201756</v>
      </c>
      <c r="D122" t="s">
        <v>9</v>
      </c>
      <c r="E122" t="s">
        <v>261</v>
      </c>
      <c r="F122" t="s">
        <v>262</v>
      </c>
      <c r="G122">
        <v>171</v>
      </c>
      <c r="H122" s="4">
        <v>10.00077168</v>
      </c>
    </row>
    <row r="123" spans="1:8" x14ac:dyDescent="0.2">
      <c r="A123" t="s">
        <v>263</v>
      </c>
      <c r="B123" s="1" t="str">
        <f>HYPERLINK("http://www.chemspider.com/Chemical-Structure.4047.html","4047")</f>
        <v>4047</v>
      </c>
      <c r="C123" s="1" t="str">
        <f>HYPERLINK("https://www.ebi.ac.uk/chembl/compound/inspect/CHEMBL655","CHEMBL655")</f>
        <v>CHEMBL655</v>
      </c>
      <c r="D123" t="s">
        <v>9</v>
      </c>
      <c r="E123" t="s">
        <v>264</v>
      </c>
      <c r="F123" t="s">
        <v>265</v>
      </c>
      <c r="G123">
        <v>861</v>
      </c>
      <c r="H123" s="4">
        <v>10</v>
      </c>
    </row>
    <row r="124" spans="1:8" x14ac:dyDescent="0.2">
      <c r="A124" t="s">
        <v>266</v>
      </c>
      <c r="B124" s="1" t="str">
        <f>HYPERLINK("http://www.chemspider.com/Chemical-Structure.2034.html","2034")</f>
        <v>2034</v>
      </c>
      <c r="C124" s="1" t="str">
        <f>HYPERLINK("https://www.ebi.ac.uk/chembl/compound/inspect/CHEMBL661","CHEMBL661")</f>
        <v>CHEMBL661</v>
      </c>
      <c r="D124" t="s">
        <v>9</v>
      </c>
      <c r="E124" t="s">
        <v>267</v>
      </c>
      <c r="F124" t="s">
        <v>268</v>
      </c>
      <c r="G124">
        <v>184</v>
      </c>
      <c r="H124" s="4">
        <v>10</v>
      </c>
    </row>
    <row r="125" spans="1:8" x14ac:dyDescent="0.2">
      <c r="A125" t="s">
        <v>269</v>
      </c>
      <c r="B125" s="1" t="str">
        <f>HYPERLINK("http://www.chemspider.com/Chemical-Structure.2908.html","2908")</f>
        <v>2908</v>
      </c>
      <c r="C125" s="1" t="str">
        <f>HYPERLINK("https://www.ebi.ac.uk/chembl/compound/inspect/CHEMBL12","CHEMBL12")</f>
        <v>CHEMBL12</v>
      </c>
      <c r="D125" t="s">
        <v>9</v>
      </c>
      <c r="E125" t="s">
        <v>270</v>
      </c>
      <c r="F125" t="s">
        <v>271</v>
      </c>
      <c r="G125">
        <v>90</v>
      </c>
      <c r="H125" s="4">
        <v>10</v>
      </c>
    </row>
    <row r="126" spans="1:8" x14ac:dyDescent="0.2">
      <c r="A126" t="s">
        <v>272</v>
      </c>
      <c r="B126" s="1" t="str">
        <f>HYPERLINK("http://www.chemspider.com/Chemical-Structure.391976.html","391976")</f>
        <v>391976</v>
      </c>
      <c r="G126">
        <v>0</v>
      </c>
      <c r="H126" s="4">
        <v>10</v>
      </c>
    </row>
    <row r="127" spans="1:8" x14ac:dyDescent="0.2">
      <c r="A127" t="s">
        <v>273</v>
      </c>
      <c r="B127" s="1" t="str">
        <f>HYPERLINK("http://www.chemspider.com/Chemical-Structure.10248513.html","10248513")</f>
        <v>10248513</v>
      </c>
      <c r="C127" s="1" t="str">
        <f>HYPERLINK("https://www.ebi.ac.uk/chembl/compound/inspect/CHEMBL451","CHEMBL451")</f>
        <v>CHEMBL451</v>
      </c>
      <c r="D127" t="s">
        <v>9</v>
      </c>
      <c r="E127" t="s">
        <v>274</v>
      </c>
      <c r="F127" t="s">
        <v>275</v>
      </c>
      <c r="G127">
        <v>14</v>
      </c>
      <c r="H127" s="4">
        <v>10</v>
      </c>
    </row>
    <row r="128" spans="1:8" x14ac:dyDescent="0.2">
      <c r="A128" t="s">
        <v>276</v>
      </c>
      <c r="B128" s="1" t="str">
        <f>HYPERLINK("http://www.chemspider.com/Chemical-Structure.57715.html","57715")</f>
        <v>57715</v>
      </c>
      <c r="C128" s="1" t="str">
        <f>HYPERLINK("https://www.ebi.ac.uk/chembl/compound/inspect/CHEMBL223228","CHEMBL223228")</f>
        <v>CHEMBL223228</v>
      </c>
      <c r="D128" t="s">
        <v>9</v>
      </c>
      <c r="E128" t="s">
        <v>277</v>
      </c>
      <c r="F128" t="s">
        <v>278</v>
      </c>
      <c r="G128">
        <v>741</v>
      </c>
      <c r="H128" s="4">
        <v>10</v>
      </c>
    </row>
    <row r="129" spans="1:8" x14ac:dyDescent="0.2">
      <c r="A129" t="s">
        <v>279</v>
      </c>
      <c r="B129" s="1" t="str">
        <f>HYPERLINK("http://www.chemspider.com/Chemical-Structure.3827.html","3827")</f>
        <v>3827</v>
      </c>
      <c r="C129" s="1" t="str">
        <f>HYPERLINK("https://www.ebi.ac.uk/chembl/compound/inspect/CHEMBL831","CHEMBL831")</f>
        <v>CHEMBL831</v>
      </c>
      <c r="D129" t="s">
        <v>9</v>
      </c>
      <c r="E129" t="s">
        <v>280</v>
      </c>
      <c r="F129" t="s">
        <v>281</v>
      </c>
      <c r="G129">
        <v>58</v>
      </c>
      <c r="H129" s="4">
        <v>10</v>
      </c>
    </row>
    <row r="130" spans="1:8" x14ac:dyDescent="0.2">
      <c r="A130" t="s">
        <v>282</v>
      </c>
      <c r="B130" s="1" t="str">
        <f>HYPERLINK("http://www.chemspider.com/Chemical-Structure.2085.html","2085")</f>
        <v>2085</v>
      </c>
      <c r="C130" s="1" t="str">
        <f>HYPERLINK("https://www.ebi.ac.uk/chembl/compound/inspect/CHEMBL1113","CHEMBL1113")</f>
        <v>CHEMBL1113</v>
      </c>
      <c r="D130" t="s">
        <v>9</v>
      </c>
      <c r="E130" t="s">
        <v>283</v>
      </c>
      <c r="F130" t="s">
        <v>284</v>
      </c>
      <c r="G130">
        <v>1</v>
      </c>
      <c r="H130" s="4">
        <v>10</v>
      </c>
    </row>
    <row r="131" spans="1:8" x14ac:dyDescent="0.2">
      <c r="A131" t="s">
        <v>285</v>
      </c>
      <c r="B131" s="1" t="str">
        <f>HYPERLINK("http://www.chemspider.com/Chemical-Structure.3820.html","3820")</f>
        <v>3820</v>
      </c>
      <c r="C131" s="1" t="str">
        <f>HYPERLINK("https://www.ebi.ac.uk/chembl/compound/inspect/CHEMBL998","CHEMBL998")</f>
        <v>CHEMBL998</v>
      </c>
      <c r="D131" t="s">
        <v>9</v>
      </c>
      <c r="E131" t="s">
        <v>286</v>
      </c>
      <c r="F131" t="s">
        <v>287</v>
      </c>
      <c r="G131">
        <v>151</v>
      </c>
      <c r="H131" s="4">
        <v>10</v>
      </c>
    </row>
    <row r="132" spans="1:8" x14ac:dyDescent="0.2">
      <c r="A132" t="s">
        <v>288</v>
      </c>
      <c r="B132" s="1" t="str">
        <f>HYPERLINK("http://www.chemspider.com/Chemical-Structure.110575.html","110575")</f>
        <v>110575</v>
      </c>
      <c r="C132" s="1" t="str">
        <f>HYPERLINK("https://www.ebi.ac.uk/chembl/compound/inspect/CHEMBL1172","CHEMBL1172")</f>
        <v>CHEMBL1172</v>
      </c>
      <c r="D132" t="s">
        <v>9</v>
      </c>
      <c r="E132" t="s">
        <v>289</v>
      </c>
      <c r="F132" t="s">
        <v>290</v>
      </c>
      <c r="G132">
        <v>174</v>
      </c>
      <c r="H132" s="4">
        <v>10</v>
      </c>
    </row>
    <row r="133" spans="1:8" x14ac:dyDescent="0.2">
      <c r="A133" t="s">
        <v>291</v>
      </c>
      <c r="B133" s="1" t="str">
        <f>HYPERLINK("http://www.chemspider.com/Chemical-Structure.9152962.html","9152962")</f>
        <v>9152962</v>
      </c>
      <c r="G133">
        <v>0</v>
      </c>
      <c r="H133" s="4">
        <v>20</v>
      </c>
    </row>
    <row r="134" spans="1:8" x14ac:dyDescent="0.2">
      <c r="A134" t="s">
        <v>292</v>
      </c>
      <c r="B134" s="1" t="str">
        <f>HYPERLINK("http://www.chemspider.com/Chemical-Structure.4444507.html","4444507")</f>
        <v>4444507</v>
      </c>
      <c r="C134" s="1" t="str">
        <f>HYPERLINK("https://www.ebi.ac.uk/chembl/compound/inspect/CHEMBL787","CHEMBL787")</f>
        <v>CHEMBL787</v>
      </c>
      <c r="D134" t="s">
        <v>9</v>
      </c>
      <c r="E134" t="s">
        <v>293</v>
      </c>
      <c r="F134" t="s">
        <v>294</v>
      </c>
      <c r="G134">
        <v>610</v>
      </c>
      <c r="H134" s="4">
        <v>9.6</v>
      </c>
    </row>
    <row r="135" spans="1:8" x14ac:dyDescent="0.2">
      <c r="A135" t="s">
        <v>295</v>
      </c>
      <c r="B135" s="1" t="str">
        <f>HYPERLINK("http://www.chemspider.com/Chemical-Structure.2632.html","2632")</f>
        <v>2632</v>
      </c>
      <c r="C135" s="1" t="str">
        <f>HYPERLINK("https://www.ebi.ac.uk/chembl/compound/inspect/CHEMBL1371","CHEMBL1371")</f>
        <v>CHEMBL1371</v>
      </c>
      <c r="D135" t="s">
        <v>9</v>
      </c>
      <c r="E135" t="s">
        <v>249</v>
      </c>
      <c r="F135" t="s">
        <v>250</v>
      </c>
      <c r="G135">
        <v>12</v>
      </c>
      <c r="H135" s="4">
        <v>10</v>
      </c>
    </row>
    <row r="136" spans="1:8" x14ac:dyDescent="0.2">
      <c r="A136" t="s">
        <v>296</v>
      </c>
      <c r="B136" s="1" t="str">
        <f>HYPERLINK("http://www.chemspider.com/Chemical-Structure.2618.html","2618")</f>
        <v>2618</v>
      </c>
      <c r="C136" s="1" t="str">
        <f>HYPERLINK("https://www.ebi.ac.uk/chembl/compound/inspect/CHEMBL76","CHEMBL76")</f>
        <v>CHEMBL76</v>
      </c>
      <c r="D136" t="s">
        <v>9</v>
      </c>
      <c r="E136" t="s">
        <v>297</v>
      </c>
      <c r="F136" t="s">
        <v>298</v>
      </c>
      <c r="G136">
        <v>388</v>
      </c>
      <c r="H136" s="4">
        <v>9.9997515060000008</v>
      </c>
    </row>
    <row r="137" spans="1:8" x14ac:dyDescent="0.2">
      <c r="A137" t="s">
        <v>299</v>
      </c>
      <c r="B137" s="1" t="str">
        <f>HYPERLINK("http://www.chemspider.com/Chemical-Structure.3526.html","3526")</f>
        <v>3526</v>
      </c>
      <c r="C137" s="1" t="str">
        <f>HYPERLINK("https://www.ebi.ac.uk/chembl/compound/inspect/CHEMBL1535","CHEMBL1535")</f>
        <v>CHEMBL1535</v>
      </c>
      <c r="D137" t="s">
        <v>9</v>
      </c>
      <c r="E137" t="s">
        <v>300</v>
      </c>
      <c r="F137" t="s">
        <v>301</v>
      </c>
      <c r="G137">
        <v>236</v>
      </c>
      <c r="H137" s="4">
        <v>9.9995381079999994</v>
      </c>
    </row>
    <row r="138" spans="1:8" x14ac:dyDescent="0.2">
      <c r="A138" t="s">
        <v>302</v>
      </c>
      <c r="B138" s="1" t="str">
        <f>HYPERLINK("http://www.chemspider.com/Chemical-Structure.191927.html","191927")</f>
        <v>191927</v>
      </c>
      <c r="C138" s="1" t="str">
        <f>HYPERLINK("https://www.ebi.ac.uk/chembl/compound/inspect/CHEMBL1098340","CHEMBL1098340")</f>
        <v>CHEMBL1098340</v>
      </c>
      <c r="D138" t="s">
        <v>1</v>
      </c>
      <c r="F138" t="s">
        <v>303</v>
      </c>
      <c r="G138">
        <v>0</v>
      </c>
      <c r="H138" s="4">
        <v>10</v>
      </c>
    </row>
    <row r="139" spans="1:8" x14ac:dyDescent="0.2">
      <c r="A139" t="s">
        <v>304</v>
      </c>
      <c r="B139" s="1" t="str">
        <f>HYPERLINK("http://www.chemspider.com/Chemical-Structure.2080.html","2080")</f>
        <v>2080</v>
      </c>
      <c r="C139" s="1" t="str">
        <f>HYPERLINK("https://www.ebi.ac.uk/chembl/compound/inspect/CHEMBL682","CHEMBL682")</f>
        <v>CHEMBL682</v>
      </c>
      <c r="D139" t="s">
        <v>9</v>
      </c>
      <c r="E139" t="s">
        <v>305</v>
      </c>
      <c r="F139" t="s">
        <v>306</v>
      </c>
      <c r="G139">
        <v>212</v>
      </c>
      <c r="H139" s="4">
        <v>10.000052999999999</v>
      </c>
    </row>
    <row r="140" spans="1:8" x14ac:dyDescent="0.2">
      <c r="A140" t="s">
        <v>307</v>
      </c>
      <c r="B140" s="1" t="str">
        <f>HYPERLINK("http://www.chemspider.com/Chemical-Structure.3621.html","3621")</f>
        <v>3621</v>
      </c>
      <c r="C140" s="1" t="str">
        <f>HYPERLINK("https://www.ebi.ac.uk/chembl/compound/inspect/CHEMBL136497","CHEMBL136497")</f>
        <v>CHEMBL136497</v>
      </c>
      <c r="D140" t="s">
        <v>1</v>
      </c>
      <c r="E140" t="s">
        <v>308</v>
      </c>
      <c r="F140" t="s">
        <v>309</v>
      </c>
      <c r="G140">
        <v>0</v>
      </c>
      <c r="H140" s="4">
        <v>10</v>
      </c>
    </row>
    <row r="141" spans="1:8" x14ac:dyDescent="0.2">
      <c r="A141" t="s">
        <v>310</v>
      </c>
      <c r="B141" s="1" t="str">
        <f>HYPERLINK("http://www.chemspider.com/Chemical-Structure.8697.html","8697")</f>
        <v>8697</v>
      </c>
      <c r="C141" s="1" t="str">
        <f>HYPERLINK("https://www.ebi.ac.uk/chembl/compound/inspect/CHEMBL747","CHEMBL747")</f>
        <v>CHEMBL747</v>
      </c>
      <c r="D141" t="s">
        <v>9</v>
      </c>
      <c r="E141" t="s">
        <v>311</v>
      </c>
      <c r="F141" t="s">
        <v>312</v>
      </c>
      <c r="G141">
        <v>0</v>
      </c>
      <c r="H141" s="4">
        <v>11.4</v>
      </c>
    </row>
    <row r="142" spans="1:8" x14ac:dyDescent="0.2">
      <c r="A142" t="s">
        <v>313</v>
      </c>
      <c r="B142" s="1" t="str">
        <f>HYPERLINK("http://www.chemspider.com/Chemical-Structure.16739850.html","16739850")</f>
        <v>16739850</v>
      </c>
      <c r="C142" s="1" t="str">
        <f>HYPERLINK("https://www.ebi.ac.uk/chembl/compound/inspect/CHEMBL1083384","CHEMBL1083384")</f>
        <v>CHEMBL1083384</v>
      </c>
      <c r="D142" t="s">
        <v>1</v>
      </c>
      <c r="F142" t="s">
        <v>314</v>
      </c>
      <c r="G142">
        <v>0</v>
      </c>
      <c r="H142" s="4">
        <v>10</v>
      </c>
    </row>
    <row r="143" spans="1:8" x14ac:dyDescent="0.2">
      <c r="A143" t="s">
        <v>315</v>
      </c>
      <c r="B143" s="1" t="str">
        <f>HYPERLINK("http://www.chemspider.com/Chemical-Structure.187440.html","187440")</f>
        <v>187440</v>
      </c>
      <c r="C143" s="1" t="str">
        <f>HYPERLINK("https://www.ebi.ac.uk/chembl/compound/inspect/CHEMBL1336","CHEMBL1336")</f>
        <v>CHEMBL1336</v>
      </c>
      <c r="D143" t="s">
        <v>9</v>
      </c>
      <c r="E143" t="s">
        <v>316</v>
      </c>
      <c r="F143" t="s">
        <v>317</v>
      </c>
      <c r="G143">
        <v>1752</v>
      </c>
      <c r="H143" s="4">
        <v>10</v>
      </c>
    </row>
    <row r="144" spans="1:8" x14ac:dyDescent="0.2">
      <c r="A144" t="s">
        <v>318</v>
      </c>
      <c r="B144" s="1" t="str">
        <f>HYPERLINK("http://www.chemspider.com/Chemical-Structure.19195.html","19195")</f>
        <v>19195</v>
      </c>
      <c r="C144" s="1" t="str">
        <f>HYPERLINK("https://www.ebi.ac.uk/chembl/compound/inspect/CHEMBL586816","CHEMBL586816")</f>
        <v>CHEMBL586816</v>
      </c>
      <c r="D144" t="s">
        <v>1</v>
      </c>
      <c r="G144">
        <v>0</v>
      </c>
      <c r="H144" s="4">
        <v>10</v>
      </c>
    </row>
    <row r="145" spans="1:8" x14ac:dyDescent="0.2">
      <c r="A145" t="s">
        <v>319</v>
      </c>
      <c r="B145" s="1" t="str">
        <f>HYPERLINK("http://www.chemspider.com/Chemical-Structure.4754.html","4754")</f>
        <v>4754</v>
      </c>
      <c r="C145" s="1" t="str">
        <f>HYPERLINK("https://www.ebi.ac.uk/chembl/compound/inspect/CHEMBL1377","CHEMBL1377")</f>
        <v>CHEMBL1377</v>
      </c>
      <c r="D145" t="s">
        <v>9</v>
      </c>
      <c r="E145" t="s">
        <v>320</v>
      </c>
      <c r="F145" t="s">
        <v>321</v>
      </c>
      <c r="G145">
        <v>0</v>
      </c>
      <c r="H145" s="4">
        <v>9.9992608549999993</v>
      </c>
    </row>
    <row r="146" spans="1:8" x14ac:dyDescent="0.2">
      <c r="A146" t="s">
        <v>322</v>
      </c>
      <c r="B146" s="1" t="str">
        <f>HYPERLINK("http://www.chemspider.com/Chemical-Structure.2695.html","2695")</f>
        <v>2695</v>
      </c>
      <c r="C146" s="1" t="str">
        <f>HYPERLINK("https://www.ebi.ac.uk/chembl/compound/inspect/CHEMBL683","CHEMBL683")</f>
        <v>CHEMBL683</v>
      </c>
      <c r="D146" t="s">
        <v>1</v>
      </c>
      <c r="E146" t="s">
        <v>323</v>
      </c>
      <c r="F146" t="s">
        <v>324</v>
      </c>
      <c r="G146">
        <v>7721</v>
      </c>
      <c r="H146" s="4">
        <v>10.1</v>
      </c>
    </row>
    <row r="147" spans="1:8" x14ac:dyDescent="0.2">
      <c r="A147" t="s">
        <v>325</v>
      </c>
      <c r="B147" s="1" t="str">
        <f>HYPERLINK("http://www.chemspider.com/Chemical-Structure.2694.html","2694")</f>
        <v>2694</v>
      </c>
      <c r="C147" s="1" t="str">
        <f>HYPERLINK("https://www.ebi.ac.uk/chembl/compound/inspect/CHEMBL565","CHEMBL565")</f>
        <v>CHEMBL565</v>
      </c>
      <c r="D147" t="s">
        <v>9</v>
      </c>
      <c r="E147" t="s">
        <v>326</v>
      </c>
      <c r="F147" t="s">
        <v>327</v>
      </c>
      <c r="G147">
        <v>4</v>
      </c>
      <c r="H147" s="4">
        <v>10</v>
      </c>
    </row>
    <row r="148" spans="1:8" x14ac:dyDescent="0.2">
      <c r="A148" t="s">
        <v>328</v>
      </c>
      <c r="B148" s="1" t="str">
        <f>HYPERLINK("http://www.chemspider.com/Chemical-Structure.932128.html","932128")</f>
        <v>932128</v>
      </c>
      <c r="G148">
        <v>0</v>
      </c>
      <c r="H148" s="4">
        <v>10</v>
      </c>
    </row>
    <row r="149" spans="1:8" x14ac:dyDescent="0.2">
      <c r="A149" t="s">
        <v>329</v>
      </c>
      <c r="B149" s="1" t="str">
        <f>HYPERLINK("http://www.chemspider.com/Chemical-Structure.7411.html","7411")</f>
        <v>7411</v>
      </c>
      <c r="G149">
        <v>0</v>
      </c>
      <c r="H149" s="4">
        <v>10</v>
      </c>
    </row>
    <row r="150" spans="1:8" x14ac:dyDescent="0.2">
      <c r="A150" t="s">
        <v>330</v>
      </c>
      <c r="B150" s="1" t="str">
        <f>HYPERLINK("http://www.chemspider.com/Chemical-Structure.110368.html","110368")</f>
        <v>110368</v>
      </c>
      <c r="C150" s="1" t="str">
        <f>HYPERLINK("https://www.ebi.ac.uk/chembl/compound/inspect/CHEMBL1531556","CHEMBL1531556")</f>
        <v>CHEMBL1531556</v>
      </c>
      <c r="D150" t="s">
        <v>1</v>
      </c>
      <c r="E150" t="s">
        <v>331</v>
      </c>
      <c r="F150" t="s">
        <v>332</v>
      </c>
      <c r="G150">
        <v>0</v>
      </c>
      <c r="H150" s="4">
        <v>10</v>
      </c>
    </row>
    <row r="151" spans="1:8" x14ac:dyDescent="0.2">
      <c r="A151" t="s">
        <v>333</v>
      </c>
      <c r="B151" s="1" t="str">
        <f>HYPERLINK("http://www.chemspider.com/Chemical-Structure.2626.html","2626")</f>
        <v>2626</v>
      </c>
      <c r="C151" s="1" t="str">
        <f>HYPERLINK("https://www.ebi.ac.uk/chembl/compound/inspect/CHEMBL498","CHEMBL498")</f>
        <v>CHEMBL498</v>
      </c>
      <c r="D151" t="s">
        <v>9</v>
      </c>
      <c r="E151" t="s">
        <v>334</v>
      </c>
      <c r="F151" t="s">
        <v>335</v>
      </c>
      <c r="G151">
        <v>3</v>
      </c>
      <c r="H151" s="4">
        <v>10</v>
      </c>
    </row>
    <row r="152" spans="1:8" x14ac:dyDescent="0.2">
      <c r="A152" t="s">
        <v>336</v>
      </c>
      <c r="B152" s="1" t="str">
        <f>HYPERLINK("http://www.chemspider.com/Chemical-Structure.4819.html","4819")</f>
        <v>4819</v>
      </c>
      <c r="C152" s="1" t="str">
        <f>HYPERLINK("https://www.ebi.ac.uk/chembl/compound/inspect/CHEMBL36","CHEMBL36")</f>
        <v>CHEMBL36</v>
      </c>
      <c r="D152" t="s">
        <v>9</v>
      </c>
      <c r="E152" t="s">
        <v>337</v>
      </c>
      <c r="F152" t="s">
        <v>338</v>
      </c>
      <c r="G152">
        <v>405</v>
      </c>
      <c r="H152" s="4">
        <v>10</v>
      </c>
    </row>
    <row r="153" spans="1:8" x14ac:dyDescent="0.2">
      <c r="A153" t="s">
        <v>339</v>
      </c>
      <c r="B153" s="1" t="str">
        <f>HYPERLINK("http://www.chemspider.com/Chemical-Structure.3810.html","3810")</f>
        <v>3810</v>
      </c>
      <c r="C153" s="1" t="str">
        <f>HYPERLINK("https://www.ebi.ac.uk/chembl/compound/inspect/CHEMBL87708","CHEMBL87708")</f>
        <v>CHEMBL87708</v>
      </c>
      <c r="D153" t="s">
        <v>1</v>
      </c>
      <c r="E153" t="s">
        <v>340</v>
      </c>
      <c r="F153" t="s">
        <v>341</v>
      </c>
      <c r="G153">
        <v>0</v>
      </c>
      <c r="H153" s="4">
        <v>10</v>
      </c>
    </row>
    <row r="154" spans="1:8" x14ac:dyDescent="0.2">
      <c r="A154" t="s">
        <v>342</v>
      </c>
      <c r="B154" s="1" t="str">
        <f>HYPERLINK("http://www.chemspider.com/Chemical-Structure.4087.html","4087")</f>
        <v>4087</v>
      </c>
      <c r="C154" s="1" t="str">
        <f>HYPERLINK("https://www.ebi.ac.uk/chembl/compound/inspect/CHEMBL86304","CHEMBL86304")</f>
        <v>CHEMBL86304</v>
      </c>
      <c r="D154" t="s">
        <v>1</v>
      </c>
      <c r="E154" t="s">
        <v>343</v>
      </c>
      <c r="F154" t="s">
        <v>344</v>
      </c>
      <c r="G154">
        <v>9</v>
      </c>
      <c r="H154" s="4">
        <v>10</v>
      </c>
    </row>
    <row r="155" spans="1:8" x14ac:dyDescent="0.2">
      <c r="A155" t="s">
        <v>345</v>
      </c>
      <c r="B155" s="1" t="str">
        <f>HYPERLINK("http://www.chemspider.com/Chemical-Structure.3222.html","3222")</f>
        <v>3222</v>
      </c>
      <c r="C155" s="1" t="str">
        <f>HYPERLINK("https://www.ebi.ac.uk/chembl/compound/inspect/CHEMBL672","CHEMBL672")</f>
        <v>CHEMBL672</v>
      </c>
      <c r="D155" t="s">
        <v>9</v>
      </c>
      <c r="E155" t="s">
        <v>346</v>
      </c>
      <c r="F155" t="s">
        <v>347</v>
      </c>
      <c r="G155">
        <v>349</v>
      </c>
      <c r="H155" s="4">
        <v>10</v>
      </c>
    </row>
    <row r="156" spans="1:8" x14ac:dyDescent="0.2">
      <c r="A156" t="s">
        <v>348</v>
      </c>
      <c r="B156" s="1" t="str">
        <f>HYPERLINK("http://www.chemspider.com/Chemical-Structure.2197.html","2197")</f>
        <v>2197</v>
      </c>
      <c r="C156" s="1" t="str">
        <f>HYPERLINK("https://www.ebi.ac.uk/chembl/compound/inspect/CHEMBL701","CHEMBL701")</f>
        <v>CHEMBL701</v>
      </c>
      <c r="D156" t="s">
        <v>9</v>
      </c>
      <c r="E156" t="s">
        <v>349</v>
      </c>
      <c r="F156" t="s">
        <v>350</v>
      </c>
      <c r="G156">
        <v>177</v>
      </c>
      <c r="H156" s="4">
        <v>4.7</v>
      </c>
    </row>
    <row r="157" spans="1:8" x14ac:dyDescent="0.2">
      <c r="A157" t="s">
        <v>351</v>
      </c>
      <c r="B157" s="1" t="str">
        <f>HYPERLINK("http://www.chemspider.com/Chemical-Structure.2624.html","2624")</f>
        <v>2624</v>
      </c>
      <c r="C157" s="1" t="str">
        <f>HYPERLINK("https://www.ebi.ac.uk/chembl/compound/inspect/CHEMBL505","CHEMBL505")</f>
        <v>CHEMBL505</v>
      </c>
      <c r="D157" t="s">
        <v>9</v>
      </c>
      <c r="E157" t="s">
        <v>352</v>
      </c>
      <c r="F157" t="s">
        <v>353</v>
      </c>
      <c r="G157">
        <v>58</v>
      </c>
      <c r="H157" s="4">
        <v>10</v>
      </c>
    </row>
    <row r="158" spans="1:8" x14ac:dyDescent="0.2">
      <c r="A158" t="s">
        <v>354</v>
      </c>
      <c r="B158" s="1" t="str">
        <f>HYPERLINK("http://www.chemspider.com/Chemical-Structure.2577.html","2577")</f>
        <v>2577</v>
      </c>
      <c r="C158" s="1" t="str">
        <f>HYPERLINK("https://www.ebi.ac.uk/chembl/compound/inspect/CHEMBL1000","CHEMBL1000")</f>
        <v>CHEMBL1000</v>
      </c>
      <c r="D158" t="s">
        <v>9</v>
      </c>
      <c r="E158" t="s">
        <v>355</v>
      </c>
      <c r="F158" t="s">
        <v>356</v>
      </c>
      <c r="G158">
        <v>212</v>
      </c>
      <c r="H158" s="4">
        <v>10</v>
      </c>
    </row>
    <row r="159" spans="1:8" x14ac:dyDescent="0.2">
      <c r="A159" t="s">
        <v>357</v>
      </c>
      <c r="B159" s="1" t="str">
        <f>HYPERLINK("http://www.chemspider.com/Chemical-Structure.3894.html","3894")</f>
        <v>3894</v>
      </c>
      <c r="C159" s="1" t="str">
        <f>HYPERLINK("https://www.ebi.ac.uk/chembl/compound/inspect/CHEMBL1623","CHEMBL1623")</f>
        <v>CHEMBL1623</v>
      </c>
      <c r="D159" t="s">
        <v>9</v>
      </c>
      <c r="E159" t="s">
        <v>358</v>
      </c>
      <c r="F159" t="s">
        <v>359</v>
      </c>
      <c r="G159">
        <v>13</v>
      </c>
      <c r="H159" s="4">
        <v>10</v>
      </c>
    </row>
    <row r="160" spans="1:8" x14ac:dyDescent="0.2">
      <c r="A160" t="s">
        <v>360</v>
      </c>
      <c r="B160" s="1" t="str">
        <f>HYPERLINK("http://www.chemspider.com/Chemical-Structure.2466.html","2466")</f>
        <v>2466</v>
      </c>
      <c r="C160" s="1" t="str">
        <f>HYPERLINK("https://www.ebi.ac.uk/chembl/compound/inspect/CHEMBL864","CHEMBL864")</f>
        <v>CHEMBL864</v>
      </c>
      <c r="D160" t="s">
        <v>9</v>
      </c>
      <c r="E160" t="s">
        <v>361</v>
      </c>
      <c r="F160" t="s">
        <v>362</v>
      </c>
      <c r="G160">
        <v>0</v>
      </c>
      <c r="H160" s="4">
        <v>10</v>
      </c>
    </row>
    <row r="161" spans="1:8" x14ac:dyDescent="0.2">
      <c r="A161" t="s">
        <v>363</v>
      </c>
      <c r="B161" s="1" t="str">
        <f>HYPERLINK("http://www.chemspider.com/Chemical-Structure.5021.html","5021")</f>
        <v>5021</v>
      </c>
      <c r="C161" s="1" t="str">
        <f>HYPERLINK("https://www.ebi.ac.uk/chembl/compound/inspect/CHEMBL1419","CHEMBL1419")</f>
        <v>CHEMBL1419</v>
      </c>
      <c r="D161" t="s">
        <v>9</v>
      </c>
      <c r="E161" t="s">
        <v>364</v>
      </c>
      <c r="F161" t="s">
        <v>365</v>
      </c>
      <c r="G161">
        <v>112</v>
      </c>
      <c r="H161" s="4">
        <v>10</v>
      </c>
    </row>
    <row r="162" spans="1:8" x14ac:dyDescent="0.2">
      <c r="A162" t="s">
        <v>366</v>
      </c>
      <c r="B162" s="1" t="str">
        <f>HYPERLINK("http://www.chemspider.com/Chemical-Structure.3818.html","3818")</f>
        <v>3818</v>
      </c>
      <c r="C162" s="1" t="str">
        <f>HYPERLINK("https://www.ebi.ac.uk/chembl/compound/inspect/CHEMBL841","CHEMBL841")</f>
        <v>CHEMBL841</v>
      </c>
      <c r="D162" t="s">
        <v>9</v>
      </c>
      <c r="E162" t="s">
        <v>54</v>
      </c>
      <c r="F162" t="s">
        <v>55</v>
      </c>
      <c r="G162">
        <v>62</v>
      </c>
      <c r="H162" s="4">
        <v>10</v>
      </c>
    </row>
    <row r="163" spans="1:8" x14ac:dyDescent="0.2">
      <c r="A163" t="s">
        <v>367</v>
      </c>
      <c r="B163" s="1" t="str">
        <f>HYPERLINK("http://www.chemspider.com/Chemical-Structure.3438.html","3438")</f>
        <v>3438</v>
      </c>
      <c r="C163" s="1" t="str">
        <f>HYPERLINK("https://www.ebi.ac.uk/chembl/compound/inspect/CHEMBL54","CHEMBL54")</f>
        <v>CHEMBL54</v>
      </c>
      <c r="D163" t="s">
        <v>9</v>
      </c>
      <c r="E163" t="s">
        <v>368</v>
      </c>
      <c r="F163" t="s">
        <v>369</v>
      </c>
      <c r="G163">
        <v>292</v>
      </c>
      <c r="H163" s="4">
        <v>10</v>
      </c>
    </row>
    <row r="164" spans="1:8" x14ac:dyDescent="0.2">
      <c r="A164" t="s">
        <v>370</v>
      </c>
      <c r="B164" s="1" t="str">
        <f>HYPERLINK("http://www.chemspider.com/Chemical-Structure.20457637.html","20457637")</f>
        <v>20457637</v>
      </c>
      <c r="C164" s="1" t="str">
        <f>HYPERLINK("https://www.ebi.ac.uk/chembl/compound/inspect/CHEMBL1723680","CHEMBL1723680")</f>
        <v>CHEMBL1723680</v>
      </c>
      <c r="D164" t="s">
        <v>1</v>
      </c>
      <c r="F164" t="s">
        <v>371</v>
      </c>
      <c r="G164">
        <v>0</v>
      </c>
      <c r="H164" s="4">
        <v>10</v>
      </c>
    </row>
    <row r="165" spans="1:8" x14ac:dyDescent="0.2">
      <c r="A165" t="s">
        <v>372</v>
      </c>
      <c r="B165" s="1" t="str">
        <f>HYPERLINK("http://www.chemspider.com/Chemical-Structure.20457630.html","20457630")</f>
        <v>20457630</v>
      </c>
      <c r="G165">
        <v>0</v>
      </c>
      <c r="H165" s="4">
        <v>10</v>
      </c>
    </row>
    <row r="166" spans="1:8" x14ac:dyDescent="0.2">
      <c r="A166" t="s">
        <v>373</v>
      </c>
      <c r="B166" s="1" t="str">
        <f>HYPERLINK("http://www.chemspider.com/Chemical-Structure.26323622.html","26323622")</f>
        <v>26323622</v>
      </c>
      <c r="C166" s="1" t="str">
        <f>HYPERLINK("https://www.ebi.ac.uk/chembl/compound/inspect/CHEMBL1957266","CHEMBL1957266")</f>
        <v>CHEMBL1957266</v>
      </c>
      <c r="D166" t="s">
        <v>1</v>
      </c>
      <c r="G166">
        <v>0</v>
      </c>
      <c r="H166" s="4">
        <v>10</v>
      </c>
    </row>
    <row r="167" spans="1:8" x14ac:dyDescent="0.2">
      <c r="A167" t="s">
        <v>374</v>
      </c>
      <c r="B167" s="1" t="str">
        <f>HYPERLINK("http://www.chemspider.com/Chemical-Structure.67544.html","67544")</f>
        <v>67544</v>
      </c>
      <c r="C167" s="1" t="str">
        <f>HYPERLINK("https://www.ebi.ac.uk/chembl/compound/inspect/CHEMBL222334","CHEMBL222334")</f>
        <v>CHEMBL222334</v>
      </c>
      <c r="D167" t="s">
        <v>1</v>
      </c>
      <c r="F167" t="s">
        <v>375</v>
      </c>
      <c r="G167">
        <v>0</v>
      </c>
      <c r="H167" s="4">
        <v>10</v>
      </c>
    </row>
    <row r="168" spans="1:8" x14ac:dyDescent="0.2">
      <c r="A168" t="s">
        <v>376</v>
      </c>
      <c r="B168" s="1" t="str">
        <f>HYPERLINK("http://www.chemspider.com/Chemical-Structure.2180.html","2180")</f>
        <v>2180</v>
      </c>
      <c r="C168" s="1" t="str">
        <f>HYPERLINK("https://www.ebi.ac.uk/chembl/compound/inspect/CHEMBL639","CHEMBL639")</f>
        <v>CHEMBL639</v>
      </c>
      <c r="D168" t="s">
        <v>9</v>
      </c>
      <c r="E168" t="s">
        <v>377</v>
      </c>
      <c r="F168" t="s">
        <v>378</v>
      </c>
      <c r="G168">
        <v>93</v>
      </c>
      <c r="H168" s="4">
        <v>10</v>
      </c>
    </row>
    <row r="169" spans="1:8" x14ac:dyDescent="0.2">
      <c r="A169" t="s">
        <v>379</v>
      </c>
      <c r="B169" s="1" t="str">
        <f>HYPERLINK("http://www.chemspider.com/Chemical-Structure.2688.html","2688")</f>
        <v>2688</v>
      </c>
      <c r="C169" s="1" t="str">
        <f>HYPERLINK("https://www.ebi.ac.uk/chembl/compound/inspect/CHEMBL14690","CHEMBL14690")</f>
        <v>CHEMBL14690</v>
      </c>
      <c r="D169" t="s">
        <v>1</v>
      </c>
      <c r="E169" t="s">
        <v>380</v>
      </c>
      <c r="F169" t="s">
        <v>381</v>
      </c>
      <c r="G169">
        <v>0</v>
      </c>
      <c r="H169" s="4">
        <v>10</v>
      </c>
    </row>
    <row r="170" spans="1:8" x14ac:dyDescent="0.2">
      <c r="A170" t="s">
        <v>382</v>
      </c>
      <c r="B170" s="1" t="str">
        <f>HYPERLINK("http://www.chemspider.com/Chemical-Structure.2885052.html","2885052")</f>
        <v>2885052</v>
      </c>
      <c r="C170" s="1" t="str">
        <f>HYPERLINK("https://www.ebi.ac.uk/chembl/compound/inspect/CHEMBL29097","CHEMBL29097")</f>
        <v>CHEMBL29097</v>
      </c>
      <c r="D170" t="s">
        <v>1</v>
      </c>
      <c r="F170" t="s">
        <v>383</v>
      </c>
      <c r="G170">
        <v>0</v>
      </c>
      <c r="H170" s="4">
        <v>10</v>
      </c>
    </row>
    <row r="171" spans="1:8" x14ac:dyDescent="0.2">
      <c r="A171" t="s">
        <v>384</v>
      </c>
      <c r="B171" s="1" t="str">
        <f>HYPERLINK("http://www.chemspider.com/Chemical-Structure.30576.html","30576")</f>
        <v>30576</v>
      </c>
      <c r="C171" s="1" t="str">
        <f>HYPERLINK("https://www.ebi.ac.uk/chembl/compound/inspect/CHEMBL1201353","CHEMBL1201353")</f>
        <v>CHEMBL1201353</v>
      </c>
      <c r="D171" t="s">
        <v>9</v>
      </c>
      <c r="E171" t="s">
        <v>385</v>
      </c>
      <c r="F171" t="s">
        <v>386</v>
      </c>
      <c r="G171">
        <v>38</v>
      </c>
      <c r="H171" s="4">
        <v>10</v>
      </c>
    </row>
    <row r="172" spans="1:8" x14ac:dyDescent="0.2">
      <c r="A172" t="s">
        <v>387</v>
      </c>
      <c r="B172" s="1" t="str">
        <f>HYPERLINK("http://www.chemspider.com/Chemical-Structure.1266001.html","1266001")</f>
        <v>1266001</v>
      </c>
      <c r="C172" s="1" t="str">
        <f>HYPERLINK("https://www.ebi.ac.uk/chembl/compound/inspect/CHEMBL1201191","CHEMBL1201191")</f>
        <v>CHEMBL1201191</v>
      </c>
      <c r="D172" t="s">
        <v>9</v>
      </c>
      <c r="E172" t="s">
        <v>388</v>
      </c>
      <c r="F172" t="s">
        <v>389</v>
      </c>
      <c r="G172">
        <v>167</v>
      </c>
      <c r="H172" s="4">
        <v>10</v>
      </c>
    </row>
    <row r="173" spans="1:8" x14ac:dyDescent="0.2">
      <c r="A173" t="s">
        <v>390</v>
      </c>
      <c r="B173" s="1" t="str">
        <f>HYPERLINK("http://www.chemspider.com/Chemical-Structure.3574.html","3574")</f>
        <v>3574</v>
      </c>
      <c r="C173" s="1" t="str">
        <f>HYPERLINK("https://www.ebi.ac.uk/chembl/compound/inspect/CHEMBL406","CHEMBL406")</f>
        <v>CHEMBL406</v>
      </c>
      <c r="D173" t="s">
        <v>9</v>
      </c>
      <c r="E173" t="s">
        <v>391</v>
      </c>
      <c r="F173" t="s">
        <v>392</v>
      </c>
      <c r="G173">
        <v>35</v>
      </c>
      <c r="H173" s="4">
        <v>10</v>
      </c>
    </row>
    <row r="174" spans="1:8" x14ac:dyDescent="0.2">
      <c r="A174" t="s">
        <v>393</v>
      </c>
      <c r="B174" s="1" t="str">
        <f>HYPERLINK("http://www.chemspider.com/Chemical-Structure.2631.html","2631")</f>
        <v>2631</v>
      </c>
      <c r="C174" s="1" t="str">
        <f>HYPERLINK("https://www.ebi.ac.uk/chembl/compound/inspect/CHEMBL1055","CHEMBL1055")</f>
        <v>CHEMBL1055</v>
      </c>
      <c r="D174" t="s">
        <v>9</v>
      </c>
      <c r="E174" t="s">
        <v>394</v>
      </c>
      <c r="F174" t="s">
        <v>395</v>
      </c>
      <c r="G174">
        <v>137</v>
      </c>
      <c r="H174" s="4">
        <v>10</v>
      </c>
    </row>
    <row r="175" spans="1:8" x14ac:dyDescent="0.2">
      <c r="A175" t="s">
        <v>396</v>
      </c>
      <c r="B175" s="1" t="str">
        <f>HYPERLINK("http://www.chemspider.com/Chemical-Structure.839530.html","839530")</f>
        <v>839530</v>
      </c>
      <c r="C175" s="1" t="str">
        <f>HYPERLINK("https://www.ebi.ac.uk/chembl/compound/inspect/CHEMBL1522","CHEMBL1522")</f>
        <v>CHEMBL1522</v>
      </c>
      <c r="D175" t="s">
        <v>9</v>
      </c>
      <c r="E175" t="s">
        <v>397</v>
      </c>
      <c r="F175" t="s">
        <v>398</v>
      </c>
      <c r="G175">
        <v>159</v>
      </c>
      <c r="H175" s="4">
        <v>10</v>
      </c>
    </row>
    <row r="176" spans="1:8" x14ac:dyDescent="0.2">
      <c r="A176" t="s">
        <v>399</v>
      </c>
      <c r="B176" s="1" t="str">
        <f>HYPERLINK("http://www.chemspider.com/Chemical-Structure.5287.html","5287")</f>
        <v>5287</v>
      </c>
      <c r="C176" s="1" t="str">
        <f>HYPERLINK("https://www.ebi.ac.uk/chembl/compound/inspect/CHEMBL1079","CHEMBL1079")</f>
        <v>CHEMBL1079</v>
      </c>
      <c r="D176" t="s">
        <v>9</v>
      </c>
      <c r="E176" t="s">
        <v>400</v>
      </c>
      <c r="F176" t="s">
        <v>401</v>
      </c>
      <c r="G176">
        <v>29</v>
      </c>
      <c r="H176" s="4">
        <v>10</v>
      </c>
    </row>
    <row r="177" spans="1:8" x14ac:dyDescent="0.2">
      <c r="A177" t="s">
        <v>402</v>
      </c>
      <c r="B177" s="1" t="str">
        <f>HYPERLINK("http://www.chemspider.com/Chemical-Structure.17358.html","17358")</f>
        <v>17358</v>
      </c>
      <c r="C177" s="1" t="str">
        <f>HYPERLINK("https://www.ebi.ac.uk/chembl/compound/inspect/CHEMBL893","CHEMBL893")</f>
        <v>CHEMBL893</v>
      </c>
      <c r="D177" t="s">
        <v>9</v>
      </c>
      <c r="E177" t="s">
        <v>403</v>
      </c>
      <c r="F177" t="s">
        <v>404</v>
      </c>
      <c r="G177">
        <v>2</v>
      </c>
      <c r="H177" s="4">
        <v>10</v>
      </c>
    </row>
    <row r="178" spans="1:8" x14ac:dyDescent="0.2">
      <c r="A178" t="s">
        <v>405</v>
      </c>
      <c r="B178" s="1" t="str">
        <f>HYPERLINK("http://www.chemspider.com/Chemical-Structure.2701.html","2701")</f>
        <v>2701</v>
      </c>
      <c r="C178" s="1" t="str">
        <f>HYPERLINK("https://www.ebi.ac.uk/chembl/compound/inspect/CHEMBL134","CHEMBL134")</f>
        <v>CHEMBL134</v>
      </c>
      <c r="D178" t="s">
        <v>9</v>
      </c>
      <c r="E178" t="s">
        <v>406</v>
      </c>
      <c r="F178" t="s">
        <v>407</v>
      </c>
      <c r="G178">
        <v>344</v>
      </c>
      <c r="H178" s="4">
        <v>10</v>
      </c>
    </row>
    <row r="179" spans="1:8" x14ac:dyDescent="0.2">
      <c r="A179" t="s">
        <v>408</v>
      </c>
      <c r="B179" s="1" t="str">
        <f>HYPERLINK("http://www.chemspider.com/Chemical-Structure.2925.html","2925")</f>
        <v>2925</v>
      </c>
      <c r="C179" s="1" t="str">
        <f>HYPERLINK("https://www.ebi.ac.uk/chembl/compound/inspect/CHEMBL139","CHEMBL139")</f>
        <v>CHEMBL139</v>
      </c>
      <c r="D179" t="s">
        <v>9</v>
      </c>
      <c r="E179" t="s">
        <v>409</v>
      </c>
      <c r="F179" t="s">
        <v>410</v>
      </c>
      <c r="G179">
        <v>505</v>
      </c>
      <c r="H179" s="4">
        <v>10</v>
      </c>
    </row>
    <row r="180" spans="1:8" x14ac:dyDescent="0.2">
      <c r="A180" t="s">
        <v>411</v>
      </c>
      <c r="B180" s="1" t="str">
        <f>HYPERLINK("http://www.chemspider.com/Chemical-Structure.28460.html","28460")</f>
        <v>28460</v>
      </c>
      <c r="C180" s="1" t="str">
        <f>HYPERLINK("https://www.ebi.ac.uk/chembl/compound/inspect/CHEMBL17860","CHEMBL17860")</f>
        <v>CHEMBL17860</v>
      </c>
      <c r="D180" t="s">
        <v>1</v>
      </c>
      <c r="E180" t="s">
        <v>412</v>
      </c>
      <c r="F180" t="s">
        <v>413</v>
      </c>
      <c r="G180">
        <v>62</v>
      </c>
      <c r="H180" s="4">
        <v>10</v>
      </c>
    </row>
    <row r="181" spans="1:8" x14ac:dyDescent="0.2">
      <c r="A181" t="s">
        <v>414</v>
      </c>
      <c r="B181" s="1" t="str">
        <f>HYPERLINK("http://www.chemspider.com/Chemical-Structure.4066.html","4066")</f>
        <v>4066</v>
      </c>
      <c r="C181" s="1" t="str">
        <f>HYPERLINK("https://www.ebi.ac.uk/chembl/compound/inspect/CHEMBL1670","CHEMBL1670")</f>
        <v>CHEMBL1670</v>
      </c>
      <c r="D181" t="s">
        <v>9</v>
      </c>
      <c r="E181" t="s">
        <v>415</v>
      </c>
      <c r="F181" t="s">
        <v>416</v>
      </c>
      <c r="G181">
        <v>14</v>
      </c>
      <c r="H181" s="4">
        <v>10</v>
      </c>
    </row>
    <row r="182" spans="1:8" x14ac:dyDescent="0.2">
      <c r="A182" t="s">
        <v>417</v>
      </c>
      <c r="B182" s="1" t="str">
        <f>HYPERLINK("http://www.chemspider.com/Chemical-Structure.2710.html","2710")</f>
        <v>2710</v>
      </c>
      <c r="C182" s="1" t="str">
        <f>HYPERLINK("https://www.ebi.ac.uk/chembl/compound/inspect/CHEMBL104","CHEMBL104")</f>
        <v>CHEMBL104</v>
      </c>
      <c r="D182" t="s">
        <v>9</v>
      </c>
      <c r="E182" t="s">
        <v>418</v>
      </c>
      <c r="F182" t="s">
        <v>419</v>
      </c>
      <c r="G182">
        <v>91</v>
      </c>
      <c r="H182" s="4">
        <v>10</v>
      </c>
    </row>
    <row r="183" spans="1:8" x14ac:dyDescent="0.2">
      <c r="A183" t="s">
        <v>420</v>
      </c>
      <c r="B183" s="1" t="str">
        <f>HYPERLINK("http://www.chemspider.com/Chemical-Structure.3821.html","3821")</f>
        <v>3821</v>
      </c>
      <c r="C183" s="1" t="str">
        <f>HYPERLINK("https://www.ebi.ac.uk/chembl/compound/inspect/CHEMBL580","CHEMBL580")</f>
        <v>CHEMBL580</v>
      </c>
      <c r="D183" t="s">
        <v>9</v>
      </c>
      <c r="E183" t="s">
        <v>421</v>
      </c>
      <c r="F183" t="s">
        <v>422</v>
      </c>
      <c r="G183">
        <v>189</v>
      </c>
      <c r="H183" s="4">
        <v>10</v>
      </c>
    </row>
    <row r="184" spans="1:8" x14ac:dyDescent="0.2">
      <c r="A184" t="s">
        <v>423</v>
      </c>
      <c r="B184" s="1" t="str">
        <f>HYPERLINK("http://www.chemspider.com/Chemical-Structure.21395724.html","21395724")</f>
        <v>21395724</v>
      </c>
      <c r="C184" s="1" t="str">
        <f>HYPERLINK("https://www.ebi.ac.uk/chembl/compound/inspect/CHEMBL27094","CHEMBL27094")</f>
        <v>CHEMBL27094</v>
      </c>
      <c r="D184" t="s">
        <v>1</v>
      </c>
      <c r="F184" t="s">
        <v>424</v>
      </c>
      <c r="G184">
        <v>0</v>
      </c>
      <c r="H184" s="4">
        <v>10</v>
      </c>
    </row>
    <row r="185" spans="1:8" x14ac:dyDescent="0.2">
      <c r="A185" t="s">
        <v>425</v>
      </c>
      <c r="B185" s="1" t="str">
        <f>HYPERLINK("http://www.chemspider.com/Chemical-Structure.5273.html","5273")</f>
        <v>5273</v>
      </c>
      <c r="C185" s="1" t="str">
        <f>HYPERLINK("https://www.ebi.ac.uk/chembl/compound/inspect/CHEMBL833","CHEMBL833")</f>
        <v>CHEMBL833</v>
      </c>
      <c r="D185" t="s">
        <v>9</v>
      </c>
      <c r="E185" t="s">
        <v>426</v>
      </c>
      <c r="F185" t="s">
        <v>427</v>
      </c>
      <c r="G185">
        <v>209</v>
      </c>
      <c r="H185" s="4">
        <v>10</v>
      </c>
    </row>
    <row r="186" spans="1:8" x14ac:dyDescent="0.2">
      <c r="A186" t="s">
        <v>428</v>
      </c>
      <c r="B186" s="1" t="str">
        <f>HYPERLINK("http://www.chemspider.com/Chemical-Structure.54632.html","54632")</f>
        <v>54632</v>
      </c>
      <c r="C186" s="1" t="str">
        <f>HYPERLINK("https://www.ebi.ac.uk/chembl/compound/inspect/CHEMBL1771","CHEMBL1771")</f>
        <v>CHEMBL1771</v>
      </c>
      <c r="D186" t="s">
        <v>9</v>
      </c>
      <c r="E186" t="s">
        <v>429</v>
      </c>
      <c r="F186" t="s">
        <v>430</v>
      </c>
      <c r="G186">
        <v>1217</v>
      </c>
      <c r="H186" s="4">
        <v>9.9998641839999998</v>
      </c>
    </row>
    <row r="187" spans="1:8" x14ac:dyDescent="0.2">
      <c r="A187" t="s">
        <v>431</v>
      </c>
      <c r="B187" s="1" t="str">
        <f>HYPERLINK("http://www.chemspider.com/Chemical-Structure.15403.html","15403")</f>
        <v>15403</v>
      </c>
      <c r="C187" s="1" t="str">
        <f>HYPERLINK("https://www.ebi.ac.uk/chembl/compound/inspect/CHEMBL945","CHEMBL945")</f>
        <v>CHEMBL945</v>
      </c>
      <c r="D187" t="s">
        <v>9</v>
      </c>
      <c r="E187" t="s">
        <v>432</v>
      </c>
      <c r="F187" t="s">
        <v>433</v>
      </c>
      <c r="G187">
        <v>99</v>
      </c>
      <c r="H187" s="4">
        <v>9.9996135150000001</v>
      </c>
    </row>
    <row r="188" spans="1:8" x14ac:dyDescent="0.2">
      <c r="A188" t="s">
        <v>434</v>
      </c>
      <c r="B188" s="1" t="str">
        <f>HYPERLINK("http://www.chemspider.com/Chemical-Structure.15403.html","15403")</f>
        <v>15403</v>
      </c>
      <c r="C188" s="1" t="str">
        <f>HYPERLINK("https://www.ebi.ac.uk/chembl/compound/inspect/CHEMBL945","CHEMBL945")</f>
        <v>CHEMBL945</v>
      </c>
      <c r="D188" t="s">
        <v>9</v>
      </c>
      <c r="E188" t="s">
        <v>432</v>
      </c>
      <c r="F188" t="s">
        <v>433</v>
      </c>
      <c r="G188">
        <v>99</v>
      </c>
      <c r="H188" s="4">
        <v>10</v>
      </c>
    </row>
    <row r="189" spans="1:8" x14ac:dyDescent="0.2">
      <c r="A189" t="s">
        <v>435</v>
      </c>
      <c r="B189" s="1" t="str">
        <f>HYPERLINK("http://www.chemspider.com/Chemical-Structure.19105.html","19105")</f>
        <v>19105</v>
      </c>
      <c r="C189" s="1" t="str">
        <f>HYPERLINK("https://www.ebi.ac.uk/chembl/compound/inspect/CHEMBL1619","CHEMBL1619")</f>
        <v>CHEMBL1619</v>
      </c>
      <c r="D189" t="s">
        <v>9</v>
      </c>
      <c r="E189" t="s">
        <v>436</v>
      </c>
      <c r="F189" t="s">
        <v>437</v>
      </c>
      <c r="G189">
        <v>119</v>
      </c>
      <c r="H189" s="4">
        <v>10</v>
      </c>
    </row>
    <row r="190" spans="1:8" x14ac:dyDescent="0.2">
      <c r="A190" t="s">
        <v>438</v>
      </c>
      <c r="B190" s="1" t="str">
        <f>HYPERLINK("http://www.chemspider.com/Chemical-Structure.106472.html","106472")</f>
        <v>106472</v>
      </c>
      <c r="C190" s="1" t="str">
        <f>HYPERLINK("https://www.ebi.ac.uk/chembl/compound/inspect/CHEMBL1750","CHEMBL1750")</f>
        <v>CHEMBL1750</v>
      </c>
      <c r="D190" t="s">
        <v>9</v>
      </c>
      <c r="E190" t="s">
        <v>439</v>
      </c>
      <c r="F190" t="s">
        <v>440</v>
      </c>
      <c r="G190">
        <v>441</v>
      </c>
      <c r="H190" s="4">
        <v>10</v>
      </c>
    </row>
    <row r="191" spans="1:8" x14ac:dyDescent="0.2">
      <c r="A191" t="s">
        <v>441</v>
      </c>
      <c r="B191" s="1" t="str">
        <f>HYPERLINK("http://www.chemspider.com/Chemical-Structure.8627.html","8627")</f>
        <v>8627</v>
      </c>
      <c r="C191" s="1" t="str">
        <f>HYPERLINK("https://www.ebi.ac.uk/chembl/compound/inspect/CHEMBL285819","CHEMBL285819")</f>
        <v>CHEMBL285819</v>
      </c>
      <c r="D191" t="s">
        <v>1</v>
      </c>
      <c r="F191" t="s">
        <v>442</v>
      </c>
      <c r="G191">
        <v>0</v>
      </c>
      <c r="H191" s="4">
        <v>10</v>
      </c>
    </row>
    <row r="192" spans="1:8" x14ac:dyDescent="0.2">
      <c r="A192" t="s">
        <v>443</v>
      </c>
      <c r="B192" s="1" t="str">
        <f>HYPERLINK("http://www.chemspider.com/Chemical-Structure.116402.html","116402")</f>
        <v>116402</v>
      </c>
      <c r="C192" s="1" t="str">
        <f>HYPERLINK("https://www.ebi.ac.uk/chembl/compound/inspect/CHEMBL90472","CHEMBL90472")</f>
        <v>CHEMBL90472</v>
      </c>
      <c r="D192" t="s">
        <v>1</v>
      </c>
      <c r="F192" t="s">
        <v>444</v>
      </c>
      <c r="G192">
        <v>0</v>
      </c>
      <c r="H192" s="4">
        <v>10</v>
      </c>
    </row>
    <row r="193" spans="1:8" x14ac:dyDescent="0.2">
      <c r="A193" t="s">
        <v>445</v>
      </c>
      <c r="B193" s="1" t="str">
        <f>HYPERLINK("http://www.chemspider.com/Chemical-Structure.3824.html","3824")</f>
        <v>3824</v>
      </c>
      <c r="C193" s="1" t="str">
        <f>HYPERLINK("https://www.ebi.ac.uk/chembl/compound/inspect/CHEMBL191","CHEMBL191")</f>
        <v>CHEMBL191</v>
      </c>
      <c r="D193" t="s">
        <v>9</v>
      </c>
      <c r="E193" t="s">
        <v>446</v>
      </c>
      <c r="F193" t="s">
        <v>447</v>
      </c>
      <c r="G193">
        <v>650</v>
      </c>
      <c r="H193" s="4">
        <v>10</v>
      </c>
    </row>
    <row r="194" spans="1:8" x14ac:dyDescent="0.2">
      <c r="A194" t="s">
        <v>448</v>
      </c>
      <c r="B194" s="1" t="str">
        <f>HYPERLINK("http://www.chemspider.com/Chemical-Structure.4645.html","4645")</f>
        <v>4645</v>
      </c>
      <c r="C194" s="1" t="str">
        <f>HYPERLINK("https://www.ebi.ac.uk/chembl/compound/inspect/CHEMBL19236","CHEMBL19236")</f>
        <v>CHEMBL19236</v>
      </c>
      <c r="D194" t="s">
        <v>1</v>
      </c>
      <c r="E194" t="s">
        <v>449</v>
      </c>
      <c r="F194" t="s">
        <v>450</v>
      </c>
      <c r="G194">
        <v>37</v>
      </c>
      <c r="H194" s="4">
        <v>10</v>
      </c>
    </row>
    <row r="195" spans="1:8" x14ac:dyDescent="0.2">
      <c r="A195" t="s">
        <v>451</v>
      </c>
      <c r="B195" s="1" t="str">
        <f>HYPERLINK("http://www.chemspider.com/Chemical-Structure.138948.html","138948")</f>
        <v>138948</v>
      </c>
      <c r="C195" s="1" t="str">
        <f>HYPERLINK("https://www.ebi.ac.uk/chembl/compound/inspect/CHEMBL1201134","CHEMBL1201134")</f>
        <v>CHEMBL1201134</v>
      </c>
      <c r="D195" t="s">
        <v>9</v>
      </c>
      <c r="E195" t="s">
        <v>452</v>
      </c>
      <c r="F195" t="s">
        <v>453</v>
      </c>
      <c r="G195">
        <v>56</v>
      </c>
      <c r="H195" s="4">
        <v>10</v>
      </c>
    </row>
    <row r="196" spans="1:8" x14ac:dyDescent="0.2">
      <c r="A196" t="s">
        <v>454</v>
      </c>
      <c r="B196" s="1" t="str">
        <f>HYPERLINK("http://www.chemspider.com/Chemical-Structure.3906.html","3906")</f>
        <v>3906</v>
      </c>
      <c r="C196" s="1" t="str">
        <f>HYPERLINK("https://www.ebi.ac.uk/chembl/compound/inspect/CHEMBL416956","CHEMBL416956")</f>
        <v>CHEMBL416956</v>
      </c>
      <c r="D196" t="s">
        <v>9</v>
      </c>
      <c r="E196" t="s">
        <v>455</v>
      </c>
      <c r="F196" t="s">
        <v>456</v>
      </c>
      <c r="G196">
        <v>119</v>
      </c>
      <c r="H196" s="4">
        <v>10</v>
      </c>
    </row>
    <row r="197" spans="1:8" x14ac:dyDescent="0.2">
      <c r="A197" t="s">
        <v>457</v>
      </c>
      <c r="B197" s="1" t="str">
        <f>HYPERLINK("http://www.chemspider.com/Chemical-Structure.37171.html","37171")</f>
        <v>37171</v>
      </c>
      <c r="C197" s="1" t="str">
        <f>HYPERLINK("https://www.ebi.ac.uk/chembl/compound/inspect/CHEMBL172","CHEMBL172")</f>
        <v>CHEMBL172</v>
      </c>
      <c r="D197" t="s">
        <v>1</v>
      </c>
      <c r="E197" t="s">
        <v>458</v>
      </c>
      <c r="F197" t="s">
        <v>459</v>
      </c>
      <c r="G197">
        <v>0</v>
      </c>
      <c r="H197" s="4">
        <v>10</v>
      </c>
    </row>
    <row r="198" spans="1:8" x14ac:dyDescent="0.2">
      <c r="A198" t="s">
        <v>460</v>
      </c>
      <c r="B198" s="1" t="str">
        <f>HYPERLINK("http://www.chemspider.com/Chemical-Structure.4145.html","4145")</f>
        <v>4145</v>
      </c>
      <c r="C198" s="1" t="str">
        <f>HYPERLINK("https://www.ebi.ac.uk/chembl/compound/inspect/CHEMBL274866","CHEMBL274866")</f>
        <v>CHEMBL274866</v>
      </c>
      <c r="D198" t="s">
        <v>1</v>
      </c>
      <c r="F198" t="s">
        <v>461</v>
      </c>
      <c r="G198">
        <v>0</v>
      </c>
      <c r="H198" s="4">
        <v>10</v>
      </c>
    </row>
    <row r="199" spans="1:8" x14ac:dyDescent="0.2">
      <c r="A199" t="s">
        <v>462</v>
      </c>
      <c r="B199" s="1" t="str">
        <f>HYPERLINK("http://www.chemspider.com/Chemical-Structure.3280.html","3280")</f>
        <v>3280</v>
      </c>
      <c r="C199" s="1" t="str">
        <f>HYPERLINK("https://www.ebi.ac.uk/chembl/compound/inspect/CHEMBL806","CHEMBL806")</f>
        <v>CHEMBL806</v>
      </c>
      <c r="D199" t="s">
        <v>9</v>
      </c>
      <c r="E199" t="s">
        <v>463</v>
      </c>
      <c r="F199" t="s">
        <v>464</v>
      </c>
      <c r="G199">
        <v>113</v>
      </c>
      <c r="H199" s="4">
        <v>10</v>
      </c>
    </row>
    <row r="200" spans="1:8" x14ac:dyDescent="0.2">
      <c r="A200" t="s">
        <v>465</v>
      </c>
      <c r="B200" s="1" t="str">
        <f>HYPERLINK("http://www.chemspider.com/Chemical-Structure.82752.html","82752")</f>
        <v>82752</v>
      </c>
      <c r="C200" s="1" t="str">
        <f>HYPERLINK("https://www.ebi.ac.uk/chembl/compound/inspect/CHEMBL491","CHEMBL491")</f>
        <v>CHEMBL491</v>
      </c>
      <c r="D200" t="s">
        <v>1</v>
      </c>
      <c r="E200" t="s">
        <v>466</v>
      </c>
      <c r="F200" t="s">
        <v>467</v>
      </c>
      <c r="G200">
        <v>2</v>
      </c>
      <c r="H200" s="4">
        <v>10</v>
      </c>
    </row>
    <row r="201" spans="1:8" x14ac:dyDescent="0.2">
      <c r="A201" t="s">
        <v>468</v>
      </c>
      <c r="B201" s="1" t="str">
        <f>HYPERLINK("http://www.chemspider.com/Chemical-Structure.103195.html","103195")</f>
        <v>103195</v>
      </c>
      <c r="C201" s="1" t="str">
        <f>HYPERLINK("https://www.ebi.ac.uk/chembl/compound/inspect/CHEMBL1337","CHEMBL1337")</f>
        <v>CHEMBL1337</v>
      </c>
      <c r="D201" t="s">
        <v>9</v>
      </c>
      <c r="E201" t="s">
        <v>469</v>
      </c>
      <c r="F201" t="s">
        <v>470</v>
      </c>
      <c r="G201">
        <v>29</v>
      </c>
      <c r="H201" s="4">
        <v>10</v>
      </c>
    </row>
    <row r="202" spans="1:8" x14ac:dyDescent="0.2">
      <c r="A202" t="s">
        <v>471</v>
      </c>
      <c r="B202" s="1" t="str">
        <f>HYPERLINK("http://www.chemspider.com/Chemical-Structure.137743.html","137743")</f>
        <v>137743</v>
      </c>
      <c r="C202" s="1" t="str">
        <f>HYPERLINK("https://www.ebi.ac.uk/chembl/compound/inspect/CHEMBL1201284","CHEMBL1201284")</f>
        <v>CHEMBL1201284</v>
      </c>
      <c r="D202" t="s">
        <v>9</v>
      </c>
      <c r="E202" t="s">
        <v>472</v>
      </c>
      <c r="F202" t="s">
        <v>473</v>
      </c>
      <c r="G202">
        <v>84</v>
      </c>
      <c r="H202" s="4">
        <v>10</v>
      </c>
    </row>
    <row r="203" spans="1:8" x14ac:dyDescent="0.2">
      <c r="A203" t="s">
        <v>474</v>
      </c>
      <c r="B203" s="1" t="str">
        <f>HYPERLINK("http://www.chemspider.com/Chemical-Structure.2588.html","2588")</f>
        <v>2588</v>
      </c>
      <c r="C203" s="1" t="str">
        <f>HYPERLINK("https://www.ebi.ac.uk/chembl/compound/inspect/CHEMBL27403","CHEMBL27403")</f>
        <v>CHEMBL27403</v>
      </c>
      <c r="D203" t="s">
        <v>1</v>
      </c>
      <c r="F203" t="s">
        <v>475</v>
      </c>
      <c r="G203">
        <v>0</v>
      </c>
      <c r="H203" s="4">
        <v>10</v>
      </c>
    </row>
    <row r="204" spans="1:8" x14ac:dyDescent="0.2">
      <c r="A204" t="s">
        <v>476</v>
      </c>
      <c r="B204" s="1" t="str">
        <f>HYPERLINK("http://www.chemspider.com/Chemical-Structure.4586501.html","4586501")</f>
        <v>4586501</v>
      </c>
      <c r="G204">
        <v>0</v>
      </c>
      <c r="H204" s="4">
        <v>10</v>
      </c>
    </row>
    <row r="205" spans="1:8" x14ac:dyDescent="0.2">
      <c r="A205" t="s">
        <v>477</v>
      </c>
      <c r="B205" s="1" t="str">
        <f>HYPERLINK("http://www.chemspider.com/Chemical-Structure.3762.html","3762")</f>
        <v>3762</v>
      </c>
      <c r="C205" s="1" t="str">
        <f>HYPERLINK("https://www.ebi.ac.uk/chembl/compound/inspect/CHEMBL960","CHEMBL960")</f>
        <v>CHEMBL960</v>
      </c>
      <c r="D205" t="s">
        <v>9</v>
      </c>
      <c r="E205" t="s">
        <v>478</v>
      </c>
      <c r="F205" t="s">
        <v>479</v>
      </c>
      <c r="G205">
        <v>102</v>
      </c>
      <c r="H205" s="4">
        <v>10</v>
      </c>
    </row>
    <row r="206" spans="1:8" x14ac:dyDescent="0.2">
      <c r="A206" t="s">
        <v>480</v>
      </c>
      <c r="B206" s="1" t="str">
        <f>HYPERLINK("http://www.chemspider.com/Chemical-Structure.3269.html","3269")</f>
        <v>3269</v>
      </c>
      <c r="C206" s="1" t="str">
        <f>HYPERLINK("https://www.ebi.ac.uk/chembl/compound/inspect/CHEMBL41","CHEMBL41")</f>
        <v>CHEMBL41</v>
      </c>
      <c r="D206" t="s">
        <v>9</v>
      </c>
      <c r="E206" t="s">
        <v>481</v>
      </c>
      <c r="F206" t="s">
        <v>482</v>
      </c>
      <c r="G206">
        <v>402</v>
      </c>
      <c r="H206" s="4">
        <v>10</v>
      </c>
    </row>
    <row r="207" spans="1:8" x14ac:dyDescent="0.2">
      <c r="A207" t="s">
        <v>483</v>
      </c>
      <c r="B207" s="1" t="str">
        <f>HYPERLINK("http://www.chemspider.com/Chemical-Structure.4481878.html","4481878")</f>
        <v>4481878</v>
      </c>
      <c r="C207" s="1" t="str">
        <f>HYPERLINK("https://www.ebi.ac.uk/chembl/compound/inspect/CHEMBL814","CHEMBL814")</f>
        <v>CHEMBL814</v>
      </c>
      <c r="D207" t="s">
        <v>9</v>
      </c>
      <c r="E207" t="s">
        <v>484</v>
      </c>
      <c r="F207" t="s">
        <v>485</v>
      </c>
      <c r="G207">
        <v>65</v>
      </c>
      <c r="H207" s="4">
        <v>9.9997830049999994</v>
      </c>
    </row>
    <row r="208" spans="1:8" x14ac:dyDescent="0.2">
      <c r="A208" t="s">
        <v>486</v>
      </c>
      <c r="B208" s="1" t="str">
        <f>HYPERLINK("http://www.chemspider.com/Chemical-Structure.4481878.html","4481878")</f>
        <v>4481878</v>
      </c>
      <c r="C208" s="1" t="str">
        <f>HYPERLINK("https://www.ebi.ac.uk/chembl/compound/inspect/CHEMBL814","CHEMBL814")</f>
        <v>CHEMBL814</v>
      </c>
      <c r="D208" t="s">
        <v>9</v>
      </c>
      <c r="E208" t="s">
        <v>484</v>
      </c>
      <c r="F208" t="s">
        <v>485</v>
      </c>
      <c r="G208">
        <v>65</v>
      </c>
      <c r="H208" s="4">
        <v>10</v>
      </c>
    </row>
    <row r="209" spans="1:8" x14ac:dyDescent="0.2">
      <c r="A209" t="s">
        <v>487</v>
      </c>
      <c r="B209" s="1" t="str">
        <f>HYPERLINK("http://www.chemspider.com/Chemical-Structure.26646939.html","26646939")</f>
        <v>26646939</v>
      </c>
      <c r="C209" s="1" t="str">
        <f>HYPERLINK("https://www.ebi.ac.uk/chembl/compound/inspect/CHEMBL1797937","CHEMBL1797937")</f>
        <v>CHEMBL1797937</v>
      </c>
      <c r="D209" t="s">
        <v>1</v>
      </c>
      <c r="F209" t="s">
        <v>488</v>
      </c>
      <c r="G209">
        <v>0</v>
      </c>
      <c r="H209" s="4">
        <v>10</v>
      </c>
    </row>
    <row r="210" spans="1:8" x14ac:dyDescent="0.2">
      <c r="A210" t="s">
        <v>489</v>
      </c>
      <c r="B210" s="1" t="str">
        <f>HYPERLINK("http://www.chemspider.com/Chemical-Structure.23315881.html","23315881")</f>
        <v>23315881</v>
      </c>
      <c r="C210" s="1" t="str">
        <f>HYPERLINK("https://www.ebi.ac.uk/chembl/compound/inspect/CHEMBL402866","CHEMBL402866")</f>
        <v>CHEMBL402866</v>
      </c>
      <c r="D210" t="s">
        <v>1</v>
      </c>
      <c r="G210">
        <v>0</v>
      </c>
      <c r="H210" s="4">
        <v>50</v>
      </c>
    </row>
    <row r="211" spans="1:8" x14ac:dyDescent="0.2">
      <c r="A211" t="s">
        <v>490</v>
      </c>
      <c r="B211" s="1" t="str">
        <f>HYPERLINK("http://www.chemspider.com/Chemical-Structure.5293502.html","5293502")</f>
        <v>5293502</v>
      </c>
      <c r="C211" s="1" t="str">
        <f>HYPERLINK("https://www.ebi.ac.uk/chembl/compound/inspect/CHEMBL1200969","CHEMBL1200969")</f>
        <v>CHEMBL1200969</v>
      </c>
      <c r="D211" t="s">
        <v>9</v>
      </c>
      <c r="E211" t="s">
        <v>491</v>
      </c>
      <c r="F211" t="s">
        <v>492</v>
      </c>
      <c r="G211">
        <v>281</v>
      </c>
      <c r="H211" s="4">
        <v>9.9992681959999992</v>
      </c>
    </row>
    <row r="212" spans="1:8" x14ac:dyDescent="0.2">
      <c r="A212" t="s">
        <v>493</v>
      </c>
      <c r="B212" s="1" t="str">
        <f>HYPERLINK("http://www.chemspider.com/Chemical-Structure.2902.html","2902")</f>
        <v>2902</v>
      </c>
      <c r="C212" s="1" t="str">
        <f>HYPERLINK("https://www.ebi.ac.uk/chembl/compound/inspect/CHEMBL830","CHEMBL830")</f>
        <v>CHEMBL830</v>
      </c>
      <c r="D212" t="s">
        <v>9</v>
      </c>
      <c r="E212" t="s">
        <v>494</v>
      </c>
      <c r="F212" t="s">
        <v>495</v>
      </c>
      <c r="G212">
        <v>83</v>
      </c>
      <c r="H212" s="4">
        <v>10</v>
      </c>
    </row>
    <row r="213" spans="1:8" x14ac:dyDescent="0.2">
      <c r="A213" t="s">
        <v>496</v>
      </c>
      <c r="B213" s="1" t="str">
        <f>HYPERLINK("http://www.chemspider.com/Chemical-Structure.5521.html","5521")</f>
        <v>5521</v>
      </c>
      <c r="C213" s="1" t="str">
        <f>HYPERLINK("https://www.ebi.ac.uk/chembl/compound/inspect/CHEMBL313842","CHEMBL313842")</f>
        <v>CHEMBL313842</v>
      </c>
      <c r="D213" t="s">
        <v>1</v>
      </c>
      <c r="E213" t="s">
        <v>497</v>
      </c>
      <c r="F213" t="s">
        <v>498</v>
      </c>
      <c r="G213">
        <v>0</v>
      </c>
      <c r="H213" s="4">
        <v>10</v>
      </c>
    </row>
    <row r="214" spans="1:8" x14ac:dyDescent="0.2">
      <c r="A214" t="s">
        <v>499</v>
      </c>
      <c r="B214" s="1" t="str">
        <f>HYPERLINK("http://www.chemspider.com/Chemical-Structure.2273675.html","2273675")</f>
        <v>2273675</v>
      </c>
      <c r="G214">
        <v>0</v>
      </c>
      <c r="H214" s="4">
        <v>10</v>
      </c>
    </row>
    <row r="215" spans="1:8" x14ac:dyDescent="0.2">
      <c r="A215" t="s">
        <v>500</v>
      </c>
      <c r="B215" s="1" t="str">
        <f>HYPERLINK("http://www.chemspider.com/Chemical-Structure.2896.html","2896")</f>
        <v>2896</v>
      </c>
      <c r="C215" s="1" t="str">
        <f>HYPERLINK("https://www.ebi.ac.uk/chembl/compound/inspect/CHEMBL1393513","CHEMBL1393513")</f>
        <v>CHEMBL1393513</v>
      </c>
      <c r="D215" t="s">
        <v>1</v>
      </c>
      <c r="F215" t="s">
        <v>501</v>
      </c>
      <c r="G215">
        <v>0</v>
      </c>
      <c r="H215" s="4" t="s">
        <v>3369</v>
      </c>
    </row>
    <row r="216" spans="1:8" x14ac:dyDescent="0.2">
      <c r="A216" t="s">
        <v>502</v>
      </c>
      <c r="B216" s="1" t="str">
        <f>HYPERLINK("http://www.chemspider.com/Chemical-Structure.2048.html","2048")</f>
        <v>2048</v>
      </c>
      <c r="G216">
        <v>0</v>
      </c>
      <c r="H216" s="4">
        <v>10</v>
      </c>
    </row>
    <row r="217" spans="1:8" x14ac:dyDescent="0.2">
      <c r="A217" t="s">
        <v>503</v>
      </c>
      <c r="B217" s="1" t="str">
        <f>HYPERLINK("http://www.chemspider.com/Chemical-Structure.3267.html","3267")</f>
        <v>3267</v>
      </c>
      <c r="C217" s="1" t="str">
        <f>HYPERLINK("https://www.ebi.ac.uk/chembl/compound/inspect/CHEMBL1716015","CHEMBL1716015")</f>
        <v>CHEMBL1716015</v>
      </c>
      <c r="D217" t="s">
        <v>1</v>
      </c>
      <c r="F217" t="s">
        <v>504</v>
      </c>
      <c r="G217">
        <v>0</v>
      </c>
      <c r="H217" s="4">
        <v>10</v>
      </c>
    </row>
    <row r="218" spans="1:8" x14ac:dyDescent="0.2">
      <c r="A218" t="s">
        <v>505</v>
      </c>
      <c r="B218" s="1" t="str">
        <f>HYPERLINK("http://www.chemspider.com/Chemical-Structure.2479.html","2479")</f>
        <v>2479</v>
      </c>
      <c r="C218" s="1" t="str">
        <f>HYPERLINK("https://www.ebi.ac.uk/chembl/compound/inspect/CHEMBL460499","CHEMBL460499")</f>
        <v>CHEMBL460499</v>
      </c>
      <c r="D218" t="s">
        <v>1</v>
      </c>
      <c r="E218" t="s">
        <v>506</v>
      </c>
      <c r="F218" t="s">
        <v>507</v>
      </c>
      <c r="G218">
        <v>0</v>
      </c>
      <c r="H218" s="4">
        <v>10.3</v>
      </c>
    </row>
    <row r="219" spans="1:8" x14ac:dyDescent="0.2">
      <c r="A219" t="s">
        <v>508</v>
      </c>
      <c r="B219" s="1" t="str">
        <f>HYPERLINK("http://www.chemspider.com/Chemical-Structure.3246.html","3246")</f>
        <v>3246</v>
      </c>
      <c r="C219" s="1" t="str">
        <f>HYPERLINK("https://www.ebi.ac.uk/chembl/compound/inspect/CHEMBL6628","CHEMBL6628")</f>
        <v>CHEMBL6628</v>
      </c>
      <c r="D219" t="s">
        <v>1</v>
      </c>
      <c r="F219" t="s">
        <v>509</v>
      </c>
      <c r="G219">
        <v>0</v>
      </c>
      <c r="H219" s="4">
        <v>10</v>
      </c>
    </row>
    <row r="220" spans="1:8" x14ac:dyDescent="0.2">
      <c r="A220" t="s">
        <v>510</v>
      </c>
      <c r="B220" s="1" t="str">
        <f>HYPERLINK("http://www.chemspider.com/Chemical-Structure.5193.html","5193")</f>
        <v>5193</v>
      </c>
      <c r="C220" s="1" t="str">
        <f>HYPERLINK("https://www.ebi.ac.uk/chembl/compound/inspect/CHEMBL20883","CHEMBL20883")</f>
        <v>CHEMBL20883</v>
      </c>
      <c r="D220" t="s">
        <v>1</v>
      </c>
      <c r="E220" t="s">
        <v>511</v>
      </c>
      <c r="F220" t="s">
        <v>512</v>
      </c>
      <c r="G220">
        <v>108</v>
      </c>
      <c r="H220" s="4">
        <v>10</v>
      </c>
    </row>
    <row r="221" spans="1:8" x14ac:dyDescent="0.2">
      <c r="A221" t="s">
        <v>513</v>
      </c>
      <c r="B221" s="1" t="str">
        <f>HYPERLINK("http://www.chemspider.com/Chemical-Structure.3268.html","3268")</f>
        <v>3268</v>
      </c>
      <c r="C221" s="1" t="str">
        <f>HYPERLINK("https://www.ebi.ac.uk/chembl/compound/inspect/CHEMBL185","CHEMBL185")</f>
        <v>CHEMBL185</v>
      </c>
      <c r="D221" t="s">
        <v>9</v>
      </c>
      <c r="E221" t="s">
        <v>514</v>
      </c>
      <c r="F221" t="s">
        <v>515</v>
      </c>
      <c r="G221">
        <v>2889</v>
      </c>
      <c r="H221" s="4">
        <v>10.0001</v>
      </c>
    </row>
    <row r="222" spans="1:8" x14ac:dyDescent="0.2">
      <c r="A222" t="s">
        <v>516</v>
      </c>
      <c r="B222" s="1" t="str">
        <f>HYPERLINK("http://www.chemspider.com/Chemical-Structure.74144.html","74144")</f>
        <v>74144</v>
      </c>
      <c r="C222" s="1" t="str">
        <f>HYPERLINK("https://www.ebi.ac.uk/chembl/compound/inspect/CHEMBL1512","CHEMBL1512")</f>
        <v>CHEMBL1512</v>
      </c>
      <c r="D222" t="s">
        <v>9</v>
      </c>
      <c r="E222" t="s">
        <v>517</v>
      </c>
      <c r="F222" t="s">
        <v>518</v>
      </c>
      <c r="G222">
        <v>5</v>
      </c>
      <c r="H222" s="4">
        <v>10</v>
      </c>
    </row>
    <row r="223" spans="1:8" x14ac:dyDescent="0.2">
      <c r="A223" t="s">
        <v>519</v>
      </c>
      <c r="B223" s="1" t="str">
        <f>HYPERLINK("http://www.chemspider.com/Chemical-Structure.4470604.html","4470604")</f>
        <v>4470604</v>
      </c>
      <c r="C223" s="1" t="str">
        <f>HYPERLINK("https://www.ebi.ac.uk/chembl/compound/inspect/CHEMBL1766","CHEMBL1766")</f>
        <v>CHEMBL1766</v>
      </c>
      <c r="D223" t="s">
        <v>9</v>
      </c>
      <c r="E223" t="s">
        <v>520</v>
      </c>
      <c r="F223" t="s">
        <v>521</v>
      </c>
      <c r="G223">
        <v>17</v>
      </c>
      <c r="H223" s="4">
        <v>10</v>
      </c>
    </row>
    <row r="224" spans="1:8" x14ac:dyDescent="0.2">
      <c r="A224" t="s">
        <v>522</v>
      </c>
      <c r="B224" s="1" t="str">
        <f>HYPERLINK("http://www.chemspider.com/Chemical-Structure.5541.html","5541")</f>
        <v>5541</v>
      </c>
      <c r="C224" s="1" t="str">
        <f>HYPERLINK("https://www.ebi.ac.uk/chembl/compound/inspect/CHEMBL384467","CHEMBL384467")</f>
        <v>CHEMBL384467</v>
      </c>
      <c r="D224" t="s">
        <v>9</v>
      </c>
      <c r="E224" t="s">
        <v>523</v>
      </c>
      <c r="F224" t="s">
        <v>524</v>
      </c>
      <c r="G224">
        <v>5858</v>
      </c>
      <c r="H224" s="4" t="s">
        <v>3369</v>
      </c>
    </row>
    <row r="225" spans="1:8" x14ac:dyDescent="0.2">
      <c r="A225" t="s">
        <v>525</v>
      </c>
      <c r="B225" s="1" t="str">
        <f>HYPERLINK("http://www.chemspider.com/Chemical-Structure.206624.html","206624")</f>
        <v>206624</v>
      </c>
      <c r="C225" s="1" t="str">
        <f>HYPERLINK("https://www.ebi.ac.uk/chembl/compound/inspect/CHEMBL1530428","CHEMBL1530428")</f>
        <v>CHEMBL1530428</v>
      </c>
      <c r="D225" t="s">
        <v>1</v>
      </c>
      <c r="F225" t="s">
        <v>526</v>
      </c>
      <c r="G225">
        <v>0</v>
      </c>
      <c r="H225" s="4">
        <v>10</v>
      </c>
    </row>
    <row r="226" spans="1:8" x14ac:dyDescent="0.2">
      <c r="A226" t="s">
        <v>527</v>
      </c>
      <c r="B226" s="1" t="str">
        <f>HYPERLINK("http://www.chemspider.com/Chemical-Structure.6196.html","6196")</f>
        <v>6196</v>
      </c>
      <c r="C226" s="1" t="str">
        <f>HYPERLINK("https://www.ebi.ac.uk/chembl/compound/inspect/CHEMBL1504","CHEMBL1504")</f>
        <v>CHEMBL1504</v>
      </c>
      <c r="D226" t="s">
        <v>9</v>
      </c>
      <c r="E226" t="s">
        <v>528</v>
      </c>
      <c r="F226" t="s">
        <v>529</v>
      </c>
      <c r="G226">
        <v>1164</v>
      </c>
      <c r="H226" s="4">
        <v>10</v>
      </c>
    </row>
    <row r="227" spans="1:8" x14ac:dyDescent="0.2">
      <c r="A227" t="s">
        <v>530</v>
      </c>
      <c r="B227" s="1" t="str">
        <f>HYPERLINK("http://www.chemspider.com/Chemical-Structure.5980.html","5980")</f>
        <v>5980</v>
      </c>
      <c r="C227" s="1" t="str">
        <f>HYPERLINK("https://www.ebi.ac.uk/chembl/compound/inspect/CHEMBL989","CHEMBL989")</f>
        <v>CHEMBL989</v>
      </c>
      <c r="D227" t="s">
        <v>9</v>
      </c>
      <c r="E227" t="s">
        <v>531</v>
      </c>
      <c r="F227" t="s">
        <v>532</v>
      </c>
      <c r="G227">
        <v>634</v>
      </c>
      <c r="H227" s="4">
        <v>10</v>
      </c>
    </row>
    <row r="228" spans="1:8" x14ac:dyDescent="0.2">
      <c r="A228" t="s">
        <v>533</v>
      </c>
      <c r="B228" s="1" t="str">
        <f>HYPERLINK("http://www.chemspider.com/Chemical-Structure.9265.html","9265")</f>
        <v>9265</v>
      </c>
      <c r="C228" s="1" t="str">
        <f>HYPERLINK("https://www.ebi.ac.uk/chembl/compound/inspect/CHEMBL1501","CHEMBL1501")</f>
        <v>CHEMBL1501</v>
      </c>
      <c r="D228" t="s">
        <v>9</v>
      </c>
      <c r="E228" t="s">
        <v>534</v>
      </c>
      <c r="F228" t="s">
        <v>535</v>
      </c>
      <c r="G228">
        <v>21</v>
      </c>
      <c r="H228" s="4">
        <v>10</v>
      </c>
    </row>
    <row r="229" spans="1:8" x14ac:dyDescent="0.2">
      <c r="A229" t="s">
        <v>536</v>
      </c>
      <c r="B229" s="1" t="str">
        <f>HYPERLINK("http://www.chemspider.com/Chemical-Structure.3571948.html","3571948")</f>
        <v>3571948</v>
      </c>
      <c r="C229" s="1" t="str">
        <f>HYPERLINK("https://www.ebi.ac.uk/chembl/compound/inspect/CHEMBL1422","CHEMBL1422")</f>
        <v>CHEMBL1422</v>
      </c>
      <c r="D229" t="s">
        <v>9</v>
      </c>
      <c r="E229" t="s">
        <v>537</v>
      </c>
      <c r="F229" t="s">
        <v>538</v>
      </c>
      <c r="G229">
        <v>1083</v>
      </c>
      <c r="H229" s="4">
        <v>10.000294009999999</v>
      </c>
    </row>
    <row r="230" spans="1:8" x14ac:dyDescent="0.2">
      <c r="A230" t="s">
        <v>539</v>
      </c>
      <c r="B230" s="1" t="str">
        <f>HYPERLINK("http://www.chemspider.com/Chemical-Structure.2951.html","2951")</f>
        <v>2951</v>
      </c>
      <c r="C230" s="1" t="str">
        <f>HYPERLINK("https://www.ebi.ac.uk/chembl/compound/inspect/CHEMBL898","CHEMBL898")</f>
        <v>CHEMBL898</v>
      </c>
      <c r="D230" t="s">
        <v>9</v>
      </c>
      <c r="E230" t="s">
        <v>540</v>
      </c>
      <c r="F230" t="s">
        <v>541</v>
      </c>
      <c r="G230">
        <v>9</v>
      </c>
      <c r="H230" s="4">
        <v>10</v>
      </c>
    </row>
    <row r="231" spans="1:8" x14ac:dyDescent="0.2">
      <c r="A231" t="s">
        <v>542</v>
      </c>
      <c r="B231" s="1" t="str">
        <f>HYPERLINK("http://www.chemspider.com/Chemical-Structure.3248.html","3248")</f>
        <v>3248</v>
      </c>
      <c r="C231" s="1" t="str">
        <f>HYPERLINK("https://www.ebi.ac.uk/chembl/compound/inspect/CHEMBL106","CHEMBL106")</f>
        <v>CHEMBL106</v>
      </c>
      <c r="D231" t="s">
        <v>9</v>
      </c>
      <c r="E231" t="s">
        <v>543</v>
      </c>
      <c r="F231" t="s">
        <v>544</v>
      </c>
      <c r="G231">
        <v>282</v>
      </c>
      <c r="H231" s="4">
        <v>10</v>
      </c>
    </row>
    <row r="232" spans="1:8" x14ac:dyDescent="0.2">
      <c r="A232" t="s">
        <v>545</v>
      </c>
      <c r="B232" s="1" t="str">
        <f>HYPERLINK("http://www.chemspider.com/Chemical-Structure.5316.html","5316")</f>
        <v>5316</v>
      </c>
      <c r="C232" s="1" t="str">
        <f>HYPERLINK("https://www.ebi.ac.uk/chembl/compound/inspect/CHEMBL273348","CHEMBL273348")</f>
        <v>CHEMBL273348</v>
      </c>
      <c r="D232" t="s">
        <v>1</v>
      </c>
      <c r="E232" t="s">
        <v>546</v>
      </c>
      <c r="F232" t="s">
        <v>547</v>
      </c>
      <c r="G232">
        <v>0</v>
      </c>
      <c r="H232" s="4">
        <v>10</v>
      </c>
    </row>
    <row r="233" spans="1:8" x14ac:dyDescent="0.2">
      <c r="A233" t="s">
        <v>548</v>
      </c>
      <c r="B233" s="1" t="str">
        <f>HYPERLINK("http://www.chemspider.com/Chemical-Structure.64684.html","64684")</f>
        <v>64684</v>
      </c>
      <c r="C233" s="1" t="str">
        <f>HYPERLINK("https://www.ebi.ac.uk/chembl/compound/inspect/CHEMBL638","CHEMBL638")</f>
        <v>CHEMBL638</v>
      </c>
      <c r="D233" t="s">
        <v>9</v>
      </c>
      <c r="E233" t="s">
        <v>549</v>
      </c>
      <c r="F233" t="s">
        <v>550</v>
      </c>
      <c r="G233">
        <v>280</v>
      </c>
      <c r="H233" s="4">
        <v>9.9</v>
      </c>
    </row>
    <row r="234" spans="1:8" x14ac:dyDescent="0.2">
      <c r="A234" t="s">
        <v>551</v>
      </c>
      <c r="B234" s="1" t="str">
        <f>HYPERLINK("http://www.chemspider.com/Chemical-Structure.390139.html","390139")</f>
        <v>390139</v>
      </c>
      <c r="C234" s="1" t="str">
        <f>HYPERLINK("https://www.ebi.ac.uk/chembl/compound/inspect/CHEMBL126","CHEMBL126")</f>
        <v>CHEMBL126</v>
      </c>
      <c r="D234" t="s">
        <v>9</v>
      </c>
      <c r="E234" t="s">
        <v>552</v>
      </c>
      <c r="F234" t="s">
        <v>553</v>
      </c>
      <c r="G234">
        <v>200</v>
      </c>
      <c r="H234" s="4">
        <v>10</v>
      </c>
    </row>
    <row r="235" spans="1:8" x14ac:dyDescent="0.2">
      <c r="A235" t="s">
        <v>554</v>
      </c>
      <c r="B235" s="1" t="str">
        <f>HYPERLINK("http://www.chemspider.com/Chemical-Structure.7976319.html","7976319")</f>
        <v>7976319</v>
      </c>
      <c r="G235">
        <v>0</v>
      </c>
      <c r="H235" s="4">
        <v>50</v>
      </c>
    </row>
    <row r="236" spans="1:8" x14ac:dyDescent="0.2">
      <c r="A236" t="s">
        <v>555</v>
      </c>
      <c r="B236" s="1" t="str">
        <f>HYPERLINK("http://www.chemspider.com/Chemical-Structure.3277.html","3277")</f>
        <v>3277</v>
      </c>
      <c r="C236" s="1" t="str">
        <f>HYPERLINK("https://www.ebi.ac.uk/chembl/compound/inspect/CHEMBL563","CHEMBL563")</f>
        <v>CHEMBL563</v>
      </c>
      <c r="D236" t="s">
        <v>9</v>
      </c>
      <c r="E236" t="s">
        <v>556</v>
      </c>
      <c r="F236" t="s">
        <v>557</v>
      </c>
      <c r="G236">
        <v>53</v>
      </c>
      <c r="H236" s="4">
        <v>10</v>
      </c>
    </row>
    <row r="237" spans="1:8" x14ac:dyDescent="0.2">
      <c r="A237" t="s">
        <v>558</v>
      </c>
      <c r="B237" s="1" t="str">
        <f>HYPERLINK("http://www.chemspider.com/Chemical-Structure.44882.html","44882")</f>
        <v>44882</v>
      </c>
      <c r="C237" s="1" t="str">
        <f>HYPERLINK("https://www.ebi.ac.uk/chembl/compound/inspect/CHEMBL63756","CHEMBL63756")</f>
        <v>CHEMBL63756</v>
      </c>
      <c r="D237" t="s">
        <v>1</v>
      </c>
      <c r="E237" t="s">
        <v>559</v>
      </c>
      <c r="F237" t="s">
        <v>560</v>
      </c>
      <c r="G237">
        <v>0</v>
      </c>
      <c r="H237" s="4">
        <v>10</v>
      </c>
    </row>
    <row r="238" spans="1:8" x14ac:dyDescent="0.2">
      <c r="A238" t="s">
        <v>561</v>
      </c>
      <c r="B238" s="1" t="str">
        <f>HYPERLINK("http://www.chemspider.com/Chemical-Structure.3256.html","3256")</f>
        <v>3256</v>
      </c>
      <c r="C238" s="1" t="str">
        <f>HYPERLINK("https://www.ebi.ac.uk/chembl/compound/inspect/CHEMBL407","CHEMBL407")</f>
        <v>CHEMBL407</v>
      </c>
      <c r="D238" t="s">
        <v>9</v>
      </c>
      <c r="E238" t="s">
        <v>562</v>
      </c>
      <c r="F238" t="s">
        <v>563</v>
      </c>
      <c r="G238">
        <v>33</v>
      </c>
      <c r="H238" s="4">
        <v>10.00035031</v>
      </c>
    </row>
    <row r="239" spans="1:8" x14ac:dyDescent="0.2">
      <c r="A239" t="s">
        <v>564</v>
      </c>
      <c r="B239" s="1" t="str">
        <f>HYPERLINK("http://www.chemspider.com/Chemical-Structure.5186.html","5186")</f>
        <v>5186</v>
      </c>
      <c r="C239" s="1" t="str">
        <f>HYPERLINK("https://www.ebi.ac.uk/chembl/compound/inspect/CHEMBL31","CHEMBL31")</f>
        <v>CHEMBL31</v>
      </c>
      <c r="D239" t="s">
        <v>9</v>
      </c>
      <c r="E239" t="s">
        <v>565</v>
      </c>
      <c r="F239" t="s">
        <v>566</v>
      </c>
      <c r="G239">
        <v>59</v>
      </c>
      <c r="H239" s="4">
        <v>10</v>
      </c>
    </row>
    <row r="240" spans="1:8" x14ac:dyDescent="0.2">
      <c r="A240" t="s">
        <v>567</v>
      </c>
      <c r="B240" s="1" t="str">
        <f>HYPERLINK("http://www.chemspider.com/Chemical-Structure.134802.html","134802")</f>
        <v>134802</v>
      </c>
      <c r="C240" s="1" t="str">
        <f>HYPERLINK("https://www.ebi.ac.uk/chembl/compound/inspect/CHEMBL32","CHEMBL32")</f>
        <v>CHEMBL32</v>
      </c>
      <c r="D240" t="s">
        <v>9</v>
      </c>
      <c r="E240" t="s">
        <v>568</v>
      </c>
      <c r="F240" t="s">
        <v>569</v>
      </c>
      <c r="G240">
        <v>732</v>
      </c>
      <c r="H240" s="4">
        <v>10</v>
      </c>
    </row>
    <row r="241" spans="1:8" x14ac:dyDescent="0.2">
      <c r="A241" t="s">
        <v>570</v>
      </c>
      <c r="B241" s="1" t="str">
        <f>HYPERLINK("http://www.chemspider.com/Chemical-Structure.46291.html","46291")</f>
        <v>46291</v>
      </c>
      <c r="C241" s="1" t="str">
        <f>HYPERLINK("https://www.ebi.ac.uk/chembl/compound/inspect/CHEMBL267648","CHEMBL267648")</f>
        <v>CHEMBL267648</v>
      </c>
      <c r="D241" t="s">
        <v>1</v>
      </c>
      <c r="E241" t="s">
        <v>571</v>
      </c>
      <c r="F241" t="s">
        <v>572</v>
      </c>
      <c r="G241">
        <v>0</v>
      </c>
      <c r="H241" s="4">
        <v>10</v>
      </c>
    </row>
    <row r="242" spans="1:8" x14ac:dyDescent="0.2">
      <c r="A242" t="s">
        <v>573</v>
      </c>
      <c r="B242" s="1" t="str">
        <f>HYPERLINK("http://www.chemspider.com/Chemical-Structure.3310229.html","3310229")</f>
        <v>3310229</v>
      </c>
      <c r="G242">
        <v>0</v>
      </c>
      <c r="H242" s="4">
        <v>10</v>
      </c>
    </row>
    <row r="243" spans="1:8" x14ac:dyDescent="0.2">
      <c r="A243" t="s">
        <v>574</v>
      </c>
      <c r="B243" s="1" t="str">
        <f>HYPERLINK("http://www.chemspider.com/Chemical-Structure.3116.html","3116")</f>
        <v>3116</v>
      </c>
      <c r="C243" s="1" t="str">
        <f>HYPERLINK("https://www.ebi.ac.uk/chembl/compound/inspect/CHEMBL826","CHEMBL826")</f>
        <v>CHEMBL826</v>
      </c>
      <c r="D243" t="s">
        <v>9</v>
      </c>
      <c r="E243" t="s">
        <v>575</v>
      </c>
      <c r="F243" t="s">
        <v>576</v>
      </c>
      <c r="G243">
        <v>0</v>
      </c>
      <c r="H243" s="4">
        <v>10</v>
      </c>
    </row>
    <row r="244" spans="1:8" x14ac:dyDescent="0.2">
      <c r="A244" t="s">
        <v>577</v>
      </c>
      <c r="B244" s="1" t="str">
        <f>HYPERLINK("http://www.chemspider.com/Chemical-Structure.4422.html","4422")</f>
        <v>4422</v>
      </c>
      <c r="C244" s="1" t="str">
        <f>HYPERLINK("https://www.ebi.ac.uk/chembl/compound/inspect/CHEMBL4","CHEMBL4")</f>
        <v>CHEMBL4</v>
      </c>
      <c r="D244" t="s">
        <v>9</v>
      </c>
      <c r="E244" t="s">
        <v>578</v>
      </c>
      <c r="F244" t="s">
        <v>579</v>
      </c>
      <c r="G244">
        <v>154</v>
      </c>
      <c r="H244" s="4">
        <v>10</v>
      </c>
    </row>
    <row r="245" spans="1:8" x14ac:dyDescent="0.2">
      <c r="A245" t="s">
        <v>580</v>
      </c>
      <c r="B245" s="1" t="str">
        <f>HYPERLINK("http://www.chemspider.com/Chemical-Structure.59360.html","59360")</f>
        <v>59360</v>
      </c>
      <c r="C245" s="1" t="str">
        <f>HYPERLINK("https://www.ebi.ac.uk/chembl/compound/inspect/CHEMBL240163","CHEMBL240163")</f>
        <v>CHEMBL240163</v>
      </c>
      <c r="D245" t="s">
        <v>1</v>
      </c>
      <c r="E245" t="s">
        <v>581</v>
      </c>
      <c r="F245" t="s">
        <v>582</v>
      </c>
      <c r="G245">
        <v>0</v>
      </c>
      <c r="H245" s="4">
        <v>10</v>
      </c>
    </row>
    <row r="246" spans="1:8" x14ac:dyDescent="0.2">
      <c r="A246" t="s">
        <v>583</v>
      </c>
      <c r="B246" s="1" t="str">
        <f>HYPERLINK("http://www.chemspider.com/Chemical-Structure.131410.html","131410")</f>
        <v>131410</v>
      </c>
      <c r="C246" s="1" t="str">
        <f>HYPERLINK("https://www.ebi.ac.uk/chembl/compound/inspect/CHEMBL33","CHEMBL33")</f>
        <v>CHEMBL33</v>
      </c>
      <c r="D246" t="s">
        <v>9</v>
      </c>
      <c r="E246" t="s">
        <v>584</v>
      </c>
      <c r="F246" t="s">
        <v>585</v>
      </c>
      <c r="G246">
        <v>187</v>
      </c>
      <c r="H246" s="4">
        <v>10</v>
      </c>
    </row>
    <row r="247" spans="1:8" x14ac:dyDescent="0.2">
      <c r="A247" t="s">
        <v>586</v>
      </c>
      <c r="B247" s="1" t="str">
        <f>HYPERLINK("http://www.chemspider.com/Chemical-Structure.4895.html","4895")</f>
        <v>4895</v>
      </c>
      <c r="C247" s="1" t="str">
        <f>HYPERLINK("https://www.ebi.ac.uk/chembl/compound/inspect/CHEMBL85","CHEMBL85")</f>
        <v>CHEMBL85</v>
      </c>
      <c r="D247" t="s">
        <v>9</v>
      </c>
      <c r="E247" t="s">
        <v>587</v>
      </c>
      <c r="F247" t="s">
        <v>588</v>
      </c>
      <c r="G247">
        <v>1054</v>
      </c>
      <c r="H247" s="4">
        <v>10.00083684</v>
      </c>
    </row>
    <row r="248" spans="1:8" x14ac:dyDescent="0.2">
      <c r="A248" t="s">
        <v>589</v>
      </c>
      <c r="B248" s="1" t="str">
        <f>HYPERLINK("http://www.chemspider.com/Chemical-Structure.4486264.html","4486264")</f>
        <v>4486264</v>
      </c>
      <c r="C248" s="1" t="str">
        <f>HYPERLINK("https://www.ebi.ac.uk/chembl/compound/inspect/CHEMBL535","CHEMBL535")</f>
        <v>CHEMBL535</v>
      </c>
      <c r="D248" t="s">
        <v>9</v>
      </c>
      <c r="E248" t="s">
        <v>590</v>
      </c>
      <c r="F248" t="s">
        <v>591</v>
      </c>
      <c r="G248">
        <v>1077</v>
      </c>
      <c r="H248" s="4">
        <v>10.000049519999999</v>
      </c>
    </row>
    <row r="249" spans="1:8" x14ac:dyDescent="0.2">
      <c r="A249" t="s">
        <v>592</v>
      </c>
      <c r="B249" s="1" t="str">
        <f>HYPERLINK("http://www.chemspider.com/Chemical-Structure.393588.html","393588")</f>
        <v>393588</v>
      </c>
      <c r="C249" s="1" t="str">
        <f>HYPERLINK("https://www.ebi.ac.uk/chembl/compound/inspect/CHEMBL1477","CHEMBL1477")</f>
        <v>CHEMBL1477</v>
      </c>
      <c r="D249" t="s">
        <v>9</v>
      </c>
      <c r="E249" t="s">
        <v>593</v>
      </c>
      <c r="F249" t="s">
        <v>594</v>
      </c>
      <c r="G249">
        <v>0</v>
      </c>
      <c r="H249" s="4">
        <v>10.5</v>
      </c>
    </row>
    <row r="250" spans="1:8" x14ac:dyDescent="0.2">
      <c r="A250" t="s">
        <v>595</v>
      </c>
      <c r="B250" s="1" t="str">
        <f>HYPERLINK("http://www.chemspider.com/Chemical-Structure.393587.html","393587")</f>
        <v>393587</v>
      </c>
      <c r="C250" s="1" t="str">
        <f>HYPERLINK("https://www.ebi.ac.uk/chembl/compound/inspect/CHEMBL1078","CHEMBL1078")</f>
        <v>CHEMBL1078</v>
      </c>
      <c r="D250" t="s">
        <v>1</v>
      </c>
      <c r="E250" t="s">
        <v>596</v>
      </c>
      <c r="F250" t="s">
        <v>597</v>
      </c>
      <c r="G250">
        <v>101</v>
      </c>
      <c r="H250" s="4">
        <v>10</v>
      </c>
    </row>
    <row r="251" spans="1:8" x14ac:dyDescent="0.2">
      <c r="A251" t="s">
        <v>598</v>
      </c>
      <c r="B251" s="1" t="str">
        <f>HYPERLINK("http://www.chemspider.com/Chemical-Structure.4681.html","4681")</f>
        <v>4681</v>
      </c>
      <c r="C251" s="1" t="str">
        <f>HYPERLINK("https://www.ebi.ac.uk/chembl/compound/inspect/CHEMBL18331","CHEMBL18331")</f>
        <v>CHEMBL18331</v>
      </c>
      <c r="D251" t="s">
        <v>1</v>
      </c>
      <c r="E251" t="s">
        <v>599</v>
      </c>
      <c r="F251" t="s">
        <v>600</v>
      </c>
      <c r="G251">
        <v>0</v>
      </c>
      <c r="H251" s="4">
        <v>10</v>
      </c>
    </row>
    <row r="252" spans="1:8" x14ac:dyDescent="0.2">
      <c r="A252" t="s">
        <v>601</v>
      </c>
      <c r="B252" s="1" t="str">
        <f>HYPERLINK("http://www.chemspider.com/Chemical-Structure.3056.html","3056")</f>
        <v>3056</v>
      </c>
      <c r="C252" s="1" t="str">
        <f>HYPERLINK("https://www.ebi.ac.uk/chembl/compound/inspect/CHEMBL1108","CHEMBL1108")</f>
        <v>CHEMBL1108</v>
      </c>
      <c r="D252" t="s">
        <v>9</v>
      </c>
      <c r="E252" t="s">
        <v>602</v>
      </c>
      <c r="F252" t="s">
        <v>603</v>
      </c>
      <c r="G252">
        <v>37</v>
      </c>
      <c r="H252" s="4">
        <v>10</v>
      </c>
    </row>
    <row r="253" spans="1:8" x14ac:dyDescent="0.2">
      <c r="A253" t="s">
        <v>604</v>
      </c>
      <c r="B253" s="1" t="str">
        <f>HYPERLINK("http://www.chemspider.com/Chemical-Structure.32932.html","32932")</f>
        <v>32932</v>
      </c>
      <c r="C253" s="1" t="str">
        <f>HYPERLINK("https://www.ebi.ac.uk/chembl/compound/inspect/CHEMBL1454946","CHEMBL1454946")</f>
        <v>CHEMBL1454946</v>
      </c>
      <c r="D253" t="s">
        <v>1</v>
      </c>
      <c r="E253" t="s">
        <v>605</v>
      </c>
      <c r="F253" t="s">
        <v>606</v>
      </c>
      <c r="G253">
        <v>0</v>
      </c>
      <c r="H253" s="4">
        <v>10</v>
      </c>
    </row>
    <row r="254" spans="1:8" x14ac:dyDescent="0.2">
      <c r="A254" t="s">
        <v>607</v>
      </c>
      <c r="B254" s="1" t="str">
        <f>HYPERLINK("http://www.chemspider.com/Chemical-Structure.3812.html","3812")</f>
        <v>3812</v>
      </c>
      <c r="C254" s="1" t="str">
        <f>HYPERLINK("https://www.ebi.ac.uk/chembl/compound/inspect/CHEMBL29188","CHEMBL29188")</f>
        <v>CHEMBL29188</v>
      </c>
      <c r="D254" t="s">
        <v>1</v>
      </c>
      <c r="E254" t="s">
        <v>608</v>
      </c>
      <c r="F254" t="s">
        <v>609</v>
      </c>
      <c r="G254">
        <v>0</v>
      </c>
      <c r="H254" s="4">
        <v>10</v>
      </c>
    </row>
    <row r="255" spans="1:8" x14ac:dyDescent="0.2">
      <c r="A255" t="s">
        <v>610</v>
      </c>
      <c r="B255" s="1" t="str">
        <f>HYPERLINK("http://www.chemspider.com/Chemical-Structure.2669.html","2669")</f>
        <v>2669</v>
      </c>
      <c r="C255" s="1" t="str">
        <f>HYPERLINK("https://www.ebi.ac.uk/chembl/compound/inspect/CHEMBL549","CHEMBL549")</f>
        <v>CHEMBL549</v>
      </c>
      <c r="D255" t="s">
        <v>9</v>
      </c>
      <c r="E255" t="s">
        <v>611</v>
      </c>
      <c r="F255" t="s">
        <v>612</v>
      </c>
      <c r="G255">
        <v>583</v>
      </c>
      <c r="H255" s="4">
        <v>10</v>
      </c>
    </row>
    <row r="256" spans="1:8" x14ac:dyDescent="0.2">
      <c r="A256" t="s">
        <v>613</v>
      </c>
      <c r="B256" s="1" t="str">
        <f>HYPERLINK("http://www.chemspider.com/Chemical-Structure.4529.html","4529")</f>
        <v>4529</v>
      </c>
      <c r="C256" s="1" t="str">
        <f>HYPERLINK("https://www.ebi.ac.uk/chembl/compound/inspect/CHEMBL169007","CHEMBL169007")</f>
        <v>CHEMBL169007</v>
      </c>
      <c r="D256" t="s">
        <v>1</v>
      </c>
      <c r="G256">
        <v>0</v>
      </c>
      <c r="H256" s="4">
        <v>10</v>
      </c>
    </row>
    <row r="257" spans="1:8" x14ac:dyDescent="0.2">
      <c r="A257" t="s">
        <v>614</v>
      </c>
      <c r="B257" s="1" t="str">
        <f>HYPERLINK("http://www.chemspider.com/Chemical-Structure.9772961.html","9772961")</f>
        <v>9772961</v>
      </c>
      <c r="G257">
        <v>0</v>
      </c>
      <c r="H257" s="4">
        <v>10</v>
      </c>
    </row>
    <row r="258" spans="1:8" x14ac:dyDescent="0.2">
      <c r="A258" t="s">
        <v>615</v>
      </c>
      <c r="B258" s="1" t="str">
        <f>HYPERLINK("http://www.chemspider.com/Chemical-Structure.132493.html","132493")</f>
        <v>132493</v>
      </c>
      <c r="C258" s="1" t="str">
        <f>HYPERLINK("https://www.ebi.ac.uk/chembl/compound/inspect/CHEMBL1138","CHEMBL1138")</f>
        <v>CHEMBL1138</v>
      </c>
      <c r="D258" t="s">
        <v>9</v>
      </c>
      <c r="E258" t="s">
        <v>616</v>
      </c>
      <c r="F258" t="s">
        <v>617</v>
      </c>
      <c r="G258">
        <v>638</v>
      </c>
      <c r="H258" s="4">
        <v>10.00060281</v>
      </c>
    </row>
    <row r="259" spans="1:8" x14ac:dyDescent="0.2">
      <c r="A259" t="s">
        <v>618</v>
      </c>
      <c r="B259" s="1" t="str">
        <f>HYPERLINK("http://www.chemspider.com/Chemical-Structure.9123120.html","9123120")</f>
        <v>9123120</v>
      </c>
      <c r="C259" s="1" t="str">
        <f>HYPERLINK("https://www.ebi.ac.uk/chembl/compound/inspect/CHEMBL322363","CHEMBL322363")</f>
        <v>CHEMBL322363</v>
      </c>
      <c r="D259" t="s">
        <v>1</v>
      </c>
      <c r="G259">
        <v>0</v>
      </c>
      <c r="H259" s="4">
        <v>9.6999999999999993</v>
      </c>
    </row>
    <row r="260" spans="1:8" x14ac:dyDescent="0.2">
      <c r="A260" t="s">
        <v>619</v>
      </c>
      <c r="B260" s="1" t="str">
        <f>HYPERLINK("http://www.chemspider.com/Chemical-Structure.39888.html","39888")</f>
        <v>39888</v>
      </c>
      <c r="C260" s="1" t="str">
        <f>HYPERLINK("https://www.ebi.ac.uk/chembl/compound/inspect/CHEMBL490","CHEMBL490")</f>
        <v>CHEMBL490</v>
      </c>
      <c r="D260" t="s">
        <v>9</v>
      </c>
      <c r="E260" t="s">
        <v>620</v>
      </c>
      <c r="F260" t="s">
        <v>621</v>
      </c>
      <c r="G260">
        <v>433</v>
      </c>
      <c r="H260" s="4">
        <v>10</v>
      </c>
    </row>
    <row r="261" spans="1:8" x14ac:dyDescent="0.2">
      <c r="A261" t="s">
        <v>622</v>
      </c>
      <c r="B261" s="1" t="str">
        <f>HYPERLINK("http://www.chemspider.com/Chemical-Structure.129277.html","129277")</f>
        <v>129277</v>
      </c>
      <c r="C261" s="1" t="str">
        <f>HYPERLINK("https://www.ebi.ac.uk/chembl/compound/inspect/CHEMBL1508","CHEMBL1508")</f>
        <v>CHEMBL1508</v>
      </c>
      <c r="D261" t="s">
        <v>9</v>
      </c>
      <c r="E261" t="s">
        <v>623</v>
      </c>
      <c r="F261" t="s">
        <v>624</v>
      </c>
      <c r="G261">
        <v>513</v>
      </c>
      <c r="H261" s="4">
        <v>10</v>
      </c>
    </row>
    <row r="262" spans="1:8" x14ac:dyDescent="0.2">
      <c r="A262" t="s">
        <v>625</v>
      </c>
      <c r="B262" s="1" t="str">
        <f>HYPERLINK("http://www.chemspider.com/Chemical-Structure.8070323.html","8070323")</f>
        <v>8070323</v>
      </c>
      <c r="C262" s="1" t="str">
        <f>HYPERLINK("https://www.ebi.ac.uk/chembl/compound/inspect/CHEMBL321017","CHEMBL321017")</f>
        <v>CHEMBL321017</v>
      </c>
      <c r="D262" t="s">
        <v>1</v>
      </c>
      <c r="F262" t="s">
        <v>626</v>
      </c>
      <c r="G262">
        <v>0</v>
      </c>
      <c r="H262" s="4">
        <v>10</v>
      </c>
    </row>
    <row r="263" spans="1:8" x14ac:dyDescent="0.2">
      <c r="A263" t="s">
        <v>627</v>
      </c>
      <c r="B263" s="1" t="str">
        <f>HYPERLINK("http://www.chemspider.com/Chemical-Structure.133235.html","133235")</f>
        <v>133235</v>
      </c>
      <c r="C263" s="1" t="str">
        <f>HYPERLINK("https://www.ebi.ac.uk/chembl/compound/inspect/CHEMBL249465","CHEMBL249465")</f>
        <v>CHEMBL249465</v>
      </c>
      <c r="D263" t="s">
        <v>1</v>
      </c>
      <c r="F263" t="s">
        <v>628</v>
      </c>
      <c r="G263">
        <v>0</v>
      </c>
      <c r="H263" s="4">
        <v>10</v>
      </c>
    </row>
    <row r="264" spans="1:8" x14ac:dyDescent="0.2">
      <c r="A264" t="s">
        <v>629</v>
      </c>
      <c r="B264" s="1" t="str">
        <f>HYPERLINK("http://www.chemspider.com/Chemical-Structure.114471.html","114471")</f>
        <v>114471</v>
      </c>
      <c r="C264" s="1" t="str">
        <f>HYPERLINK("https://www.ebi.ac.uk/chembl/compound/inspect/CHEMBL1201754","CHEMBL1201754")</f>
        <v>CHEMBL1201754</v>
      </c>
      <c r="D264" t="s">
        <v>9</v>
      </c>
      <c r="E264" t="s">
        <v>630</v>
      </c>
      <c r="F264" t="s">
        <v>631</v>
      </c>
      <c r="G264">
        <v>11</v>
      </c>
      <c r="H264" s="4">
        <v>10</v>
      </c>
    </row>
    <row r="265" spans="1:8" x14ac:dyDescent="0.2">
      <c r="A265" t="s">
        <v>632</v>
      </c>
      <c r="B265" s="1" t="str">
        <f>HYPERLINK("http://www.chemspider.com/Chemical-Structure.91712.html","91712")</f>
        <v>91712</v>
      </c>
      <c r="G265">
        <v>0</v>
      </c>
      <c r="H265" s="4">
        <v>10</v>
      </c>
    </row>
    <row r="266" spans="1:8" x14ac:dyDescent="0.2">
      <c r="A266" t="s">
        <v>633</v>
      </c>
      <c r="B266" s="1" t="str">
        <f>HYPERLINK("http://www.chemspider.com/Chemical-Structure.3249.html","3249")</f>
        <v>3249</v>
      </c>
      <c r="C266" s="1" t="str">
        <f>HYPERLINK("https://www.ebi.ac.uk/chembl/compound/inspect/CHEMBL1463","CHEMBL1463")</f>
        <v>CHEMBL1463</v>
      </c>
      <c r="D266" t="s">
        <v>9</v>
      </c>
      <c r="E266" t="s">
        <v>634</v>
      </c>
      <c r="F266" t="s">
        <v>635</v>
      </c>
      <c r="G266">
        <v>30</v>
      </c>
      <c r="H266" s="4">
        <v>10.5</v>
      </c>
    </row>
    <row r="267" spans="1:8" x14ac:dyDescent="0.2">
      <c r="A267" t="s">
        <v>636</v>
      </c>
      <c r="B267" s="1" t="str">
        <f>HYPERLINK("http://www.chemspider.com/Chemical-Structure.3268.html","3268")</f>
        <v>3268</v>
      </c>
      <c r="C267" s="1" t="str">
        <f>HYPERLINK("https://www.ebi.ac.uk/chembl/compound/inspect/CHEMBL185","CHEMBL185")</f>
        <v>CHEMBL185</v>
      </c>
      <c r="D267" t="s">
        <v>9</v>
      </c>
      <c r="E267" t="s">
        <v>514</v>
      </c>
      <c r="F267" t="s">
        <v>515</v>
      </c>
      <c r="G267">
        <v>2889</v>
      </c>
      <c r="H267" s="4">
        <v>10</v>
      </c>
    </row>
    <row r="268" spans="1:8" x14ac:dyDescent="0.2">
      <c r="A268" t="s">
        <v>637</v>
      </c>
      <c r="B268" s="1" t="str">
        <f>HYPERLINK("http://www.chemspider.com/Chemical-Structure.571392.html","571392")</f>
        <v>571392</v>
      </c>
      <c r="C268" s="1" t="str">
        <f>HYPERLINK("https://www.ebi.ac.uk/chembl/compound/inspect/CHEMBL1568","CHEMBL1568")</f>
        <v>CHEMBL1568</v>
      </c>
      <c r="D268" t="s">
        <v>1</v>
      </c>
      <c r="E268" t="s">
        <v>638</v>
      </c>
      <c r="F268" t="s">
        <v>639</v>
      </c>
      <c r="G268">
        <v>2746</v>
      </c>
      <c r="H268" s="4">
        <v>10</v>
      </c>
    </row>
    <row r="269" spans="1:8" x14ac:dyDescent="0.2">
      <c r="A269" t="s">
        <v>640</v>
      </c>
      <c r="G269">
        <v>0</v>
      </c>
      <c r="H269" s="4">
        <v>20</v>
      </c>
    </row>
    <row r="270" spans="1:8" x14ac:dyDescent="0.2">
      <c r="A270" t="s">
        <v>641</v>
      </c>
      <c r="B270" s="1" t="str">
        <f>HYPERLINK("http://www.chemspider.com/Chemical-Structure.2072.html","2072")</f>
        <v>2072</v>
      </c>
      <c r="C270" s="1" t="str">
        <f>HYPERLINK("https://www.ebi.ac.uk/chembl/compound/inspect/CHEMBL633","CHEMBL633")</f>
        <v>CHEMBL633</v>
      </c>
      <c r="D270" t="s">
        <v>9</v>
      </c>
      <c r="E270" t="s">
        <v>642</v>
      </c>
      <c r="F270" t="s">
        <v>643</v>
      </c>
      <c r="G270">
        <v>189</v>
      </c>
      <c r="H270" s="4">
        <v>9.5</v>
      </c>
    </row>
    <row r="271" spans="1:8" x14ac:dyDescent="0.2">
      <c r="A271" t="s">
        <v>644</v>
      </c>
      <c r="B271" s="1" t="str">
        <f>HYPERLINK("http://www.chemspider.com/Chemical-Structure.5614.html","5614")</f>
        <v>5614</v>
      </c>
      <c r="C271" s="1" t="str">
        <f>HYPERLINK("https://www.ebi.ac.uk/chembl/compound/inspect/CHEMBL1624","CHEMBL1624")</f>
        <v>CHEMBL1624</v>
      </c>
      <c r="D271" t="s">
        <v>9</v>
      </c>
      <c r="E271" t="s">
        <v>645</v>
      </c>
      <c r="F271" t="s">
        <v>646</v>
      </c>
      <c r="G271">
        <v>62</v>
      </c>
      <c r="H271" s="4">
        <v>10</v>
      </c>
    </row>
    <row r="272" spans="1:8" x14ac:dyDescent="0.2">
      <c r="A272" t="s">
        <v>647</v>
      </c>
      <c r="B272" s="1" t="str">
        <f>HYPERLINK("http://www.chemspider.com/Chemical-Structure.838.html","838")</f>
        <v>838</v>
      </c>
      <c r="C272" s="1" t="str">
        <f>HYPERLINK("https://www.ebi.ac.uk/chembl/compound/inspect/CHEMBL789","CHEMBL789")</f>
        <v>CHEMBL789</v>
      </c>
      <c r="D272" t="s">
        <v>1</v>
      </c>
      <c r="E272" t="s">
        <v>648</v>
      </c>
      <c r="F272" t="s">
        <v>649</v>
      </c>
      <c r="G272">
        <v>0</v>
      </c>
      <c r="H272" s="4">
        <v>10</v>
      </c>
    </row>
    <row r="273" spans="1:8" x14ac:dyDescent="0.2">
      <c r="A273" t="s">
        <v>650</v>
      </c>
      <c r="G273">
        <v>0</v>
      </c>
      <c r="H273" s="4">
        <v>20</v>
      </c>
    </row>
    <row r="274" spans="1:8" x14ac:dyDescent="0.2">
      <c r="A274" t="s">
        <v>651</v>
      </c>
      <c r="G274">
        <v>0</v>
      </c>
      <c r="H274" s="4">
        <v>20</v>
      </c>
    </row>
    <row r="275" spans="1:8" x14ac:dyDescent="0.2">
      <c r="A275" t="s">
        <v>652</v>
      </c>
      <c r="G275">
        <v>0</v>
      </c>
      <c r="H275" s="4">
        <v>20</v>
      </c>
    </row>
    <row r="276" spans="1:8" x14ac:dyDescent="0.2">
      <c r="A276" t="s">
        <v>653</v>
      </c>
      <c r="G276">
        <v>0</v>
      </c>
      <c r="H276" s="4">
        <v>20</v>
      </c>
    </row>
    <row r="277" spans="1:8" x14ac:dyDescent="0.2">
      <c r="A277" t="s">
        <v>654</v>
      </c>
      <c r="B277" s="1" t="str">
        <f>HYPERLINK("http://www.chemspider.com/Chemical-Structure.2040.html","2040")</f>
        <v>2040</v>
      </c>
      <c r="C277" s="1" t="str">
        <f>HYPERLINK("https://www.ebi.ac.uk/chembl/compound/inspect/CHEMBL285932","CHEMBL285932")</f>
        <v>CHEMBL285932</v>
      </c>
      <c r="D277" t="s">
        <v>1</v>
      </c>
      <c r="F277" t="s">
        <v>655</v>
      </c>
      <c r="G277">
        <v>0</v>
      </c>
      <c r="H277" s="4">
        <v>10</v>
      </c>
    </row>
    <row r="278" spans="1:8" x14ac:dyDescent="0.2">
      <c r="A278" t="s">
        <v>656</v>
      </c>
      <c r="G278">
        <v>0</v>
      </c>
      <c r="H278" s="4">
        <v>10</v>
      </c>
    </row>
    <row r="279" spans="1:8" x14ac:dyDescent="0.2">
      <c r="A279" t="s">
        <v>657</v>
      </c>
      <c r="G279">
        <v>0</v>
      </c>
      <c r="H279" s="4">
        <v>10</v>
      </c>
    </row>
    <row r="280" spans="1:8" x14ac:dyDescent="0.2">
      <c r="A280" t="s">
        <v>658</v>
      </c>
      <c r="G280">
        <v>0</v>
      </c>
      <c r="H280" s="4">
        <v>10</v>
      </c>
    </row>
    <row r="281" spans="1:8" x14ac:dyDescent="0.2">
      <c r="A281" t="s">
        <v>659</v>
      </c>
      <c r="G281">
        <v>0</v>
      </c>
      <c r="H281" s="4">
        <v>10</v>
      </c>
    </row>
    <row r="282" spans="1:8" x14ac:dyDescent="0.2">
      <c r="A282" t="s">
        <v>660</v>
      </c>
      <c r="G282">
        <v>0</v>
      </c>
      <c r="H282" s="4">
        <v>10</v>
      </c>
    </row>
    <row r="283" spans="1:8" x14ac:dyDescent="0.2">
      <c r="A283" t="s">
        <v>661</v>
      </c>
      <c r="G283">
        <v>0</v>
      </c>
      <c r="H283" s="4">
        <v>10</v>
      </c>
    </row>
    <row r="284" spans="1:8" x14ac:dyDescent="0.2">
      <c r="A284" t="s">
        <v>662</v>
      </c>
      <c r="G284">
        <v>0</v>
      </c>
      <c r="H284" s="4">
        <v>10</v>
      </c>
    </row>
    <row r="285" spans="1:8" x14ac:dyDescent="0.2">
      <c r="A285" t="s">
        <v>663</v>
      </c>
      <c r="G285">
        <v>0</v>
      </c>
      <c r="H285" s="4">
        <v>10</v>
      </c>
    </row>
    <row r="286" spans="1:8" x14ac:dyDescent="0.2">
      <c r="A286" t="s">
        <v>664</v>
      </c>
      <c r="G286">
        <v>0</v>
      </c>
      <c r="H286" s="4">
        <v>10</v>
      </c>
    </row>
    <row r="287" spans="1:8" x14ac:dyDescent="0.2">
      <c r="A287" t="s">
        <v>665</v>
      </c>
      <c r="G287">
        <v>0</v>
      </c>
      <c r="H287" s="4">
        <v>10</v>
      </c>
    </row>
    <row r="288" spans="1:8" x14ac:dyDescent="0.2">
      <c r="A288" t="s">
        <v>666</v>
      </c>
      <c r="G288">
        <v>0</v>
      </c>
      <c r="H288" s="4">
        <v>10</v>
      </c>
    </row>
    <row r="289" spans="1:8" x14ac:dyDescent="0.2">
      <c r="A289" t="s">
        <v>667</v>
      </c>
      <c r="G289">
        <v>0</v>
      </c>
      <c r="H289" s="4">
        <v>10</v>
      </c>
    </row>
    <row r="290" spans="1:8" x14ac:dyDescent="0.2">
      <c r="A290" t="s">
        <v>668</v>
      </c>
      <c r="G290">
        <v>0</v>
      </c>
      <c r="H290" s="4">
        <v>10</v>
      </c>
    </row>
    <row r="291" spans="1:8" x14ac:dyDescent="0.2">
      <c r="A291" t="s">
        <v>669</v>
      </c>
      <c r="G291">
        <v>0</v>
      </c>
      <c r="H291" s="4">
        <v>10</v>
      </c>
    </row>
    <row r="292" spans="1:8" x14ac:dyDescent="0.2">
      <c r="A292" t="s">
        <v>670</v>
      </c>
      <c r="G292">
        <v>0</v>
      </c>
      <c r="H292" s="4">
        <v>10</v>
      </c>
    </row>
    <row r="293" spans="1:8" x14ac:dyDescent="0.2">
      <c r="A293" t="s">
        <v>671</v>
      </c>
      <c r="G293">
        <v>0</v>
      </c>
      <c r="H293" s="4">
        <v>10</v>
      </c>
    </row>
    <row r="294" spans="1:8" x14ac:dyDescent="0.2">
      <c r="A294" t="s">
        <v>672</v>
      </c>
      <c r="G294">
        <v>0</v>
      </c>
      <c r="H294" s="4">
        <v>10</v>
      </c>
    </row>
    <row r="295" spans="1:8" x14ac:dyDescent="0.2">
      <c r="A295" t="s">
        <v>673</v>
      </c>
      <c r="B295" s="1" t="str">
        <f>HYPERLINK("http://www.chemspider.com/Chemical-Structure.367495.html","367495")</f>
        <v>367495</v>
      </c>
      <c r="G295">
        <v>0</v>
      </c>
      <c r="H295" s="4">
        <v>10</v>
      </c>
    </row>
    <row r="296" spans="1:8" x14ac:dyDescent="0.2">
      <c r="A296" t="s">
        <v>674</v>
      </c>
      <c r="B296" s="1" t="str">
        <f>HYPERLINK("http://www.chemspider.com/Chemical-Structure.3949.html","3949")</f>
        <v>3949</v>
      </c>
      <c r="C296" s="1" t="str">
        <f>HYPERLINK("https://www.ebi.ac.uk/chembl/compound/inspect/CHEMBL1431","CHEMBL1431")</f>
        <v>CHEMBL1431</v>
      </c>
      <c r="D296" t="s">
        <v>9</v>
      </c>
      <c r="E296" t="s">
        <v>675</v>
      </c>
      <c r="F296" t="s">
        <v>676</v>
      </c>
      <c r="G296">
        <v>3397</v>
      </c>
      <c r="H296" s="4">
        <v>10</v>
      </c>
    </row>
    <row r="297" spans="1:8" x14ac:dyDescent="0.2">
      <c r="A297" t="s">
        <v>677</v>
      </c>
      <c r="B297" s="1" t="str">
        <f>HYPERLINK("http://www.chemspider.com/Chemical-Structure.3892.html","3892")</f>
        <v>3892</v>
      </c>
      <c r="C297" s="1" t="str">
        <f>HYPERLINK("https://www.ebi.ac.uk/chembl/compound/inspect/CHEMBL267936","CHEMBL267936")</f>
        <v>CHEMBL267936</v>
      </c>
      <c r="D297" t="s">
        <v>9</v>
      </c>
      <c r="E297" t="s">
        <v>678</v>
      </c>
      <c r="F297" t="s">
        <v>679</v>
      </c>
      <c r="G297">
        <v>33</v>
      </c>
      <c r="H297" s="4">
        <v>12.2</v>
      </c>
    </row>
    <row r="298" spans="1:8" x14ac:dyDescent="0.2">
      <c r="A298" t="s">
        <v>680</v>
      </c>
      <c r="B298" s="1" t="str">
        <f>HYPERLINK("http://www.chemspider.com/Chemical-Structure.2075.html","2075")</f>
        <v>2075</v>
      </c>
      <c r="C298" s="1" t="str">
        <f>HYPERLINK("https://www.ebi.ac.uk/chembl/compound/inspect/CHEMBL629","CHEMBL629")</f>
        <v>CHEMBL629</v>
      </c>
      <c r="D298" t="s">
        <v>9</v>
      </c>
      <c r="E298" t="s">
        <v>681</v>
      </c>
      <c r="F298" t="s">
        <v>682</v>
      </c>
      <c r="G298">
        <v>181</v>
      </c>
      <c r="H298" s="4">
        <v>10</v>
      </c>
    </row>
    <row r="299" spans="1:8" x14ac:dyDescent="0.2">
      <c r="A299" t="s">
        <v>683</v>
      </c>
      <c r="B299" s="1" t="str">
        <f>HYPERLINK("http://www.chemspider.com/Chemical-Structure.4384.html","4384")</f>
        <v>4384</v>
      </c>
      <c r="C299" s="1" t="str">
        <f>HYPERLINK("https://www.ebi.ac.uk/chembl/compound/inspect/CHEMBL445","CHEMBL445")</f>
        <v>CHEMBL445</v>
      </c>
      <c r="D299" t="s">
        <v>9</v>
      </c>
      <c r="E299" t="s">
        <v>684</v>
      </c>
      <c r="F299" t="s">
        <v>685</v>
      </c>
      <c r="G299">
        <v>91</v>
      </c>
      <c r="H299" s="4">
        <v>10</v>
      </c>
    </row>
    <row r="300" spans="1:8" x14ac:dyDescent="0.2">
      <c r="A300" t="s">
        <v>686</v>
      </c>
      <c r="B300" s="1" t="str">
        <f>HYPERLINK("http://www.chemspider.com/Chemical-Structure.3871.html","3871")</f>
        <v>3871</v>
      </c>
      <c r="C300" s="1" t="str">
        <f>HYPERLINK("https://www.ebi.ac.uk/chembl/compound/inspect/CHEMBL21731","CHEMBL21731")</f>
        <v>CHEMBL21731</v>
      </c>
      <c r="D300" t="s">
        <v>9</v>
      </c>
      <c r="E300" t="s">
        <v>687</v>
      </c>
      <c r="F300" t="s">
        <v>688</v>
      </c>
      <c r="G300">
        <v>1</v>
      </c>
      <c r="H300" s="4">
        <v>11.314415309999999</v>
      </c>
    </row>
    <row r="301" spans="1:8" x14ac:dyDescent="0.2">
      <c r="A301" t="s">
        <v>689</v>
      </c>
      <c r="B301" s="1" t="str">
        <f>HYPERLINK("http://www.chemspider.com/Chemical-Structure.194.html","194")</f>
        <v>194</v>
      </c>
      <c r="C301" s="1" t="str">
        <f>HYPERLINK("https://www.ebi.ac.uk/chembl/compound/inspect/CHEMBL58343","CHEMBL58343")</f>
        <v>CHEMBL58343</v>
      </c>
      <c r="D301" t="s">
        <v>1</v>
      </c>
      <c r="E301" t="s">
        <v>690</v>
      </c>
      <c r="F301" t="s">
        <v>691</v>
      </c>
      <c r="G301">
        <v>0</v>
      </c>
      <c r="H301" s="4">
        <v>10</v>
      </c>
    </row>
    <row r="302" spans="1:8" x14ac:dyDescent="0.2">
      <c r="A302" t="s">
        <v>692</v>
      </c>
      <c r="B302" s="1" t="str">
        <f>HYPERLINK("http://www.chemspider.com/Chemical-Structure.1071.html","1071")</f>
        <v>1071</v>
      </c>
      <c r="C302" s="1" t="str">
        <f>HYPERLINK("https://www.ebi.ac.uk/chembl/compound/inspect/CHEMBL19612","CHEMBL19612")</f>
        <v>CHEMBL19612</v>
      </c>
      <c r="D302" t="s">
        <v>1</v>
      </c>
      <c r="E302" t="s">
        <v>693</v>
      </c>
      <c r="F302" t="s">
        <v>694</v>
      </c>
      <c r="G302">
        <v>0</v>
      </c>
      <c r="H302" s="4">
        <v>10</v>
      </c>
    </row>
    <row r="303" spans="1:8" x14ac:dyDescent="0.2">
      <c r="A303" t="s">
        <v>695</v>
      </c>
      <c r="B303" s="1" t="str">
        <f>HYPERLINK("http://www.chemspider.com/Chemical-Structure.1072.html","1072")</f>
        <v>1072</v>
      </c>
      <c r="C303" s="1" t="str">
        <f>HYPERLINK("https://www.ebi.ac.uk/chembl/compound/inspect/CHEMBL23194","CHEMBL23194")</f>
        <v>CHEMBL23194</v>
      </c>
      <c r="D303" t="s">
        <v>1</v>
      </c>
      <c r="E303" t="s">
        <v>696</v>
      </c>
      <c r="F303" t="s">
        <v>697</v>
      </c>
      <c r="G303">
        <v>0</v>
      </c>
      <c r="H303" s="4">
        <v>10</v>
      </c>
    </row>
    <row r="304" spans="1:8" x14ac:dyDescent="0.2">
      <c r="A304" t="s">
        <v>698</v>
      </c>
      <c r="B304" s="1" t="str">
        <f>HYPERLINK("http://www.chemspider.com/Chemical-Structure.3568.html","3568")</f>
        <v>3568</v>
      </c>
      <c r="C304" s="1" t="str">
        <f>HYPERLINK("https://www.ebi.ac.uk/chembl/compound/inspect/CHEMBL11","CHEMBL11")</f>
        <v>CHEMBL11</v>
      </c>
      <c r="D304" t="s">
        <v>9</v>
      </c>
      <c r="E304" t="s">
        <v>699</v>
      </c>
      <c r="F304" t="s">
        <v>700</v>
      </c>
      <c r="G304">
        <v>62</v>
      </c>
      <c r="H304" s="4">
        <v>10.00055274</v>
      </c>
    </row>
    <row r="305" spans="1:8" x14ac:dyDescent="0.2">
      <c r="A305" t="s">
        <v>701</v>
      </c>
      <c r="B305" s="1" t="str">
        <f>HYPERLINK("http://www.chemspider.com/Chemical-Structure.2888.html","2888")</f>
        <v>2888</v>
      </c>
      <c r="C305" s="1" t="str">
        <f>HYPERLINK("https://www.ebi.ac.uk/chembl/compound/inspect/CHEMBL72","CHEMBL72")</f>
        <v>CHEMBL72</v>
      </c>
      <c r="D305" t="s">
        <v>9</v>
      </c>
      <c r="E305" t="s">
        <v>702</v>
      </c>
      <c r="F305" t="s">
        <v>703</v>
      </c>
      <c r="G305">
        <v>88</v>
      </c>
      <c r="H305" s="4">
        <v>10</v>
      </c>
    </row>
    <row r="306" spans="1:8" x14ac:dyDescent="0.2">
      <c r="A306" t="s">
        <v>704</v>
      </c>
      <c r="B306" s="1" t="str">
        <f>HYPERLINK("http://www.chemspider.com/Chemical-Structure.1266005.html","1266005")</f>
        <v>1266005</v>
      </c>
      <c r="C306" s="1" t="str">
        <f>HYPERLINK("https://www.ebi.ac.uk/chembl/compound/inspect/CHEMBL822","CHEMBL822")</f>
        <v>CHEMBL822</v>
      </c>
      <c r="D306" t="s">
        <v>9</v>
      </c>
      <c r="E306" t="s">
        <v>705</v>
      </c>
      <c r="F306" t="s">
        <v>706</v>
      </c>
      <c r="G306">
        <v>88</v>
      </c>
      <c r="H306" s="4">
        <v>10</v>
      </c>
    </row>
    <row r="307" spans="1:8" x14ac:dyDescent="0.2">
      <c r="A307" t="s">
        <v>707</v>
      </c>
      <c r="B307" s="1" t="str">
        <f>HYPERLINK("http://www.chemspider.com/Chemical-Structure.4526.html","4526")</f>
        <v>4526</v>
      </c>
      <c r="C307" s="1" t="str">
        <f>HYPERLINK("https://www.ebi.ac.uk/chembl/compound/inspect/CHEMBL673","CHEMBL673")</f>
        <v>CHEMBL673</v>
      </c>
      <c r="D307" t="s">
        <v>9</v>
      </c>
      <c r="E307" t="s">
        <v>708</v>
      </c>
      <c r="F307" t="s">
        <v>709</v>
      </c>
      <c r="G307">
        <v>0</v>
      </c>
      <c r="H307" s="4">
        <v>10.000356010000001</v>
      </c>
    </row>
    <row r="308" spans="1:8" x14ac:dyDescent="0.2">
      <c r="A308" t="s">
        <v>710</v>
      </c>
      <c r="B308" s="1" t="str">
        <f>HYPERLINK("http://www.chemspider.com/Chemical-Structure.3547.html","3547")</f>
        <v>3547</v>
      </c>
      <c r="C308" s="1" t="str">
        <f>HYPERLINK("https://www.ebi.ac.uk/chembl/compound/inspect/CHEMBL1089","CHEMBL1089")</f>
        <v>CHEMBL1089</v>
      </c>
      <c r="D308" t="s">
        <v>9</v>
      </c>
      <c r="E308" t="s">
        <v>711</v>
      </c>
      <c r="F308" t="s">
        <v>712</v>
      </c>
      <c r="G308">
        <v>5</v>
      </c>
      <c r="H308" s="4">
        <v>10</v>
      </c>
    </row>
    <row r="309" spans="1:8" x14ac:dyDescent="0.2">
      <c r="A309" t="s">
        <v>713</v>
      </c>
      <c r="B309" s="1" t="str">
        <f>HYPERLINK("http://www.chemspider.com/Chemical-Structure.24930.html","24930")</f>
        <v>24930</v>
      </c>
      <c r="C309" s="1" t="str">
        <f>HYPERLINK("https://www.ebi.ac.uk/chembl/compound/inspect/CHEMBL972","CHEMBL972")</f>
        <v>CHEMBL972</v>
      </c>
      <c r="D309" t="s">
        <v>9</v>
      </c>
      <c r="E309" t="s">
        <v>714</v>
      </c>
      <c r="F309" t="s">
        <v>715</v>
      </c>
      <c r="G309">
        <v>62</v>
      </c>
      <c r="H309" s="4">
        <v>10</v>
      </c>
    </row>
    <row r="310" spans="1:8" x14ac:dyDescent="0.2">
      <c r="A310" t="s">
        <v>716</v>
      </c>
      <c r="B310" s="1" t="str">
        <f>HYPERLINK("http://www.chemspider.com/Chemical-Structure.559096.html","559096")</f>
        <v>559096</v>
      </c>
      <c r="C310" s="1" t="str">
        <f>HYPERLINK("https://www.ebi.ac.uk/chembl/compound/inspect/CHEMBL1908847","CHEMBL1908847")</f>
        <v>CHEMBL1908847</v>
      </c>
      <c r="D310" t="s">
        <v>1</v>
      </c>
      <c r="E310" t="s">
        <v>717</v>
      </c>
      <c r="G310">
        <v>0</v>
      </c>
      <c r="H310" s="4">
        <v>10</v>
      </c>
    </row>
    <row r="311" spans="1:8" x14ac:dyDescent="0.2">
      <c r="A311" t="s">
        <v>718</v>
      </c>
      <c r="B311" s="1" t="str">
        <f>HYPERLINK("http://www.chemspider.com/Chemical-Structure.91400.html","91400")</f>
        <v>91400</v>
      </c>
      <c r="G311">
        <v>0</v>
      </c>
      <c r="H311" s="4">
        <v>10</v>
      </c>
    </row>
    <row r="312" spans="1:8" x14ac:dyDescent="0.2">
      <c r="A312" t="s">
        <v>719</v>
      </c>
      <c r="B312" s="1" t="str">
        <f>HYPERLINK("http://www.chemspider.com/Chemical-Structure.5226.html","5226")</f>
        <v>5226</v>
      </c>
      <c r="C312" s="1" t="str">
        <f>HYPERLINK("https://www.ebi.ac.uk/chembl/compound/inspect/CHEMBL1266","CHEMBL1266")</f>
        <v>CHEMBL1266</v>
      </c>
      <c r="D312" t="s">
        <v>9</v>
      </c>
      <c r="E312" t="s">
        <v>720</v>
      </c>
      <c r="F312" t="s">
        <v>721</v>
      </c>
      <c r="G312">
        <v>171</v>
      </c>
      <c r="H312" s="4">
        <v>10</v>
      </c>
    </row>
    <row r="313" spans="1:8" x14ac:dyDescent="0.2">
      <c r="A313" t="s">
        <v>722</v>
      </c>
      <c r="B313" s="1" t="str">
        <f>HYPERLINK("http://www.chemspider.com/Chemical-Structure.4283.html","4283")</f>
        <v>4283</v>
      </c>
      <c r="C313" s="1" t="str">
        <f>HYPERLINK("https://www.ebi.ac.uk/chembl/compound/inspect/CHEMBL761","CHEMBL761")</f>
        <v>CHEMBL761</v>
      </c>
      <c r="D313" t="s">
        <v>9</v>
      </c>
      <c r="E313" t="s">
        <v>723</v>
      </c>
      <c r="F313" t="s">
        <v>724</v>
      </c>
      <c r="G313">
        <v>14</v>
      </c>
      <c r="H313" s="4">
        <v>10</v>
      </c>
    </row>
    <row r="314" spans="1:8" x14ac:dyDescent="0.2">
      <c r="A314" t="s">
        <v>725</v>
      </c>
      <c r="B314" s="1" t="str">
        <f>HYPERLINK("http://www.chemspider.com/Chemical-Structure.5303.html","5303")</f>
        <v>5303</v>
      </c>
      <c r="C314" s="1" t="str">
        <f>HYPERLINK("https://www.ebi.ac.uk/chembl/compound/inspect/CHEMBL770","CHEMBL770")</f>
        <v>CHEMBL770</v>
      </c>
      <c r="D314" t="s">
        <v>9</v>
      </c>
      <c r="E314" t="s">
        <v>726</v>
      </c>
      <c r="F314" t="s">
        <v>727</v>
      </c>
      <c r="G314">
        <v>0</v>
      </c>
      <c r="H314" s="4">
        <v>10</v>
      </c>
    </row>
    <row r="315" spans="1:8" x14ac:dyDescent="0.2">
      <c r="A315" t="s">
        <v>728</v>
      </c>
      <c r="B315" s="1" t="str">
        <f>HYPERLINK("http://www.chemspider.com/Chemical-Structure.13835459.html","13835459")</f>
        <v>13835459</v>
      </c>
      <c r="C315" s="1" t="str">
        <f>HYPERLINK("https://www.ebi.ac.uk/chembl/compound/inspect/CHEMBL1412","CHEMBL1412")</f>
        <v>CHEMBL1412</v>
      </c>
      <c r="D315" t="s">
        <v>1</v>
      </c>
      <c r="E315" t="s">
        <v>729</v>
      </c>
      <c r="F315" t="s">
        <v>730</v>
      </c>
      <c r="G315">
        <v>23</v>
      </c>
      <c r="H315" s="4">
        <v>10</v>
      </c>
    </row>
    <row r="316" spans="1:8" x14ac:dyDescent="0.2">
      <c r="A316" t="s">
        <v>731</v>
      </c>
      <c r="B316" s="1" t="str">
        <f>HYPERLINK("http://www.chemspider.com/Chemical-Structure.4893.html","4893")</f>
        <v>4893</v>
      </c>
      <c r="C316" s="1" t="str">
        <f>HYPERLINK("https://www.ebi.ac.uk/chembl/compound/inspect/CHEMBL959","CHEMBL959")</f>
        <v>CHEMBL959</v>
      </c>
      <c r="D316" t="s">
        <v>9</v>
      </c>
      <c r="E316" t="s">
        <v>732</v>
      </c>
      <c r="F316" t="s">
        <v>733</v>
      </c>
      <c r="G316">
        <v>4</v>
      </c>
      <c r="H316" s="4">
        <v>10</v>
      </c>
    </row>
    <row r="317" spans="1:8" x14ac:dyDescent="0.2">
      <c r="A317" t="s">
        <v>734</v>
      </c>
      <c r="B317" s="1" t="str">
        <f>HYPERLINK("http://www.chemspider.com/Chemical-Structure.3914.html","3914")</f>
        <v>3914</v>
      </c>
      <c r="C317" s="1" t="str">
        <f>HYPERLINK("https://www.ebi.ac.uk/chembl/compound/inspect/CHEMBL807","CHEMBL807")</f>
        <v>CHEMBL807</v>
      </c>
      <c r="D317" t="s">
        <v>9</v>
      </c>
      <c r="E317" t="s">
        <v>735</v>
      </c>
      <c r="F317" t="s">
        <v>736</v>
      </c>
      <c r="G317">
        <v>395</v>
      </c>
      <c r="H317" s="4">
        <v>9.9993923099999993</v>
      </c>
    </row>
    <row r="318" spans="1:8" x14ac:dyDescent="0.2">
      <c r="A318" t="s">
        <v>737</v>
      </c>
      <c r="B318" s="1" t="str">
        <f>HYPERLINK("http://www.chemspider.com/Chemical-Structure.2045.html","2045")</f>
        <v>2045</v>
      </c>
      <c r="C318" s="1" t="str">
        <f>HYPERLINK("https://www.ebi.ac.uk/chembl/compound/inspect/CHEMBL660","CHEMBL660")</f>
        <v>CHEMBL660</v>
      </c>
      <c r="D318" t="s">
        <v>9</v>
      </c>
      <c r="E318" t="s">
        <v>738</v>
      </c>
      <c r="F318" t="s">
        <v>739</v>
      </c>
      <c r="G318">
        <v>129</v>
      </c>
      <c r="H318" s="4">
        <v>10</v>
      </c>
    </row>
    <row r="319" spans="1:8" x14ac:dyDescent="0.2">
      <c r="A319" t="s">
        <v>740</v>
      </c>
      <c r="B319" s="1" t="str">
        <f>HYPERLINK("http://www.chemspider.com/Chemical-Structure.26618871.html","26618871")</f>
        <v>26618871</v>
      </c>
      <c r="C319" s="1" t="str">
        <f>HYPERLINK("https://www.ebi.ac.uk/chembl/compound/inspect/CHEMBL1825141","CHEMBL1825141")</f>
        <v>CHEMBL1825141</v>
      </c>
      <c r="D319" t="s">
        <v>1</v>
      </c>
      <c r="G319">
        <v>0</v>
      </c>
      <c r="H319" s="4" t="s">
        <v>3369</v>
      </c>
    </row>
    <row r="320" spans="1:8" x14ac:dyDescent="0.2">
      <c r="A320" t="s">
        <v>741</v>
      </c>
      <c r="B320" s="1" t="str">
        <f>HYPERLINK("http://www.chemspider.com/Chemical-Structure.5329.html","5329")</f>
        <v>5329</v>
      </c>
      <c r="C320" s="1" t="str">
        <f>HYPERLINK("https://www.ebi.ac.uk/chembl/compound/inspect/CHEMBL313833","CHEMBL313833")</f>
        <v>CHEMBL313833</v>
      </c>
      <c r="D320" t="s">
        <v>9</v>
      </c>
      <c r="E320" t="s">
        <v>742</v>
      </c>
      <c r="F320" t="s">
        <v>743</v>
      </c>
      <c r="G320">
        <v>32</v>
      </c>
      <c r="H320" s="4">
        <v>10.000390790000001</v>
      </c>
    </row>
    <row r="321" spans="1:8" x14ac:dyDescent="0.2">
      <c r="A321" t="s">
        <v>744</v>
      </c>
      <c r="B321" s="1" t="str">
        <f>HYPERLINK("http://www.chemspider.com/Chemical-Structure.28696862.html","28696862")</f>
        <v>28696862</v>
      </c>
      <c r="G321">
        <v>0</v>
      </c>
      <c r="H321" s="4">
        <v>10</v>
      </c>
    </row>
    <row r="322" spans="1:8" x14ac:dyDescent="0.2">
      <c r="A322" t="s">
        <v>745</v>
      </c>
      <c r="B322" s="1" t="str">
        <f>HYPERLINK("http://www.chemspider.com/Chemical-Structure.13856352.html","13856352")</f>
        <v>13856352</v>
      </c>
      <c r="C322" s="1" t="str">
        <f>HYPERLINK("https://www.ebi.ac.uk/chembl/compound/inspect/CHEMBL610","CHEMBL610")</f>
        <v>CHEMBL610</v>
      </c>
      <c r="D322" t="s">
        <v>1</v>
      </c>
      <c r="E322" t="s">
        <v>746</v>
      </c>
      <c r="F322" t="s">
        <v>747</v>
      </c>
      <c r="G322">
        <v>0</v>
      </c>
      <c r="H322" s="4">
        <v>10</v>
      </c>
    </row>
    <row r="323" spans="1:8" x14ac:dyDescent="0.2">
      <c r="A323" t="s">
        <v>748</v>
      </c>
      <c r="B323" s="1" t="str">
        <f>HYPERLINK("http://www.chemspider.com/Chemical-Structure.18369.html","18369")</f>
        <v>18369</v>
      </c>
      <c r="C323" s="1" t="str">
        <f>HYPERLINK("https://www.ebi.ac.uk/chembl/compound/inspect/CHEMBL1179","CHEMBL1179")</f>
        <v>CHEMBL1179</v>
      </c>
      <c r="D323" t="s">
        <v>1</v>
      </c>
      <c r="E323" t="s">
        <v>742</v>
      </c>
      <c r="F323" t="s">
        <v>749</v>
      </c>
      <c r="G323">
        <v>32</v>
      </c>
      <c r="H323" s="4">
        <v>50</v>
      </c>
    </row>
    <row r="324" spans="1:8" x14ac:dyDescent="0.2">
      <c r="A324" t="s">
        <v>750</v>
      </c>
      <c r="B324" s="1" t="str">
        <f>HYPERLINK("http://www.chemspider.com/Chemical-Structure.9790598.html","9790598")</f>
        <v>9790598</v>
      </c>
      <c r="G324">
        <v>0</v>
      </c>
      <c r="H324" s="4">
        <v>20</v>
      </c>
    </row>
    <row r="325" spans="1:8" x14ac:dyDescent="0.2">
      <c r="A325" t="s">
        <v>751</v>
      </c>
      <c r="B325" s="1" t="str">
        <f>HYPERLINK("http://www.chemspider.com/Chemical-Structure.24620233.html","24620233")</f>
        <v>24620233</v>
      </c>
      <c r="C325" s="1" t="str">
        <f>HYPERLINK("https://www.ebi.ac.uk/chembl/compound/inspect/CHEMBL551723","CHEMBL551723")</f>
        <v>CHEMBL551723</v>
      </c>
      <c r="D325" t="s">
        <v>1</v>
      </c>
      <c r="G325">
        <v>0</v>
      </c>
      <c r="H325" s="4">
        <v>10</v>
      </c>
    </row>
    <row r="326" spans="1:8" x14ac:dyDescent="0.2">
      <c r="A326" t="s">
        <v>752</v>
      </c>
      <c r="B326" s="1" t="str">
        <f>HYPERLINK("http://www.chemspider.com/Chemical-Structure.487098.html","487098")</f>
        <v>487098</v>
      </c>
      <c r="C326" s="1" t="str">
        <f>HYPERLINK("https://www.ebi.ac.uk/chembl/compound/inspect/CHEMBL92309","CHEMBL92309")</f>
        <v>CHEMBL92309</v>
      </c>
      <c r="D326" t="s">
        <v>1</v>
      </c>
      <c r="F326" t="s">
        <v>753</v>
      </c>
      <c r="G326">
        <v>0</v>
      </c>
      <c r="H326" s="4">
        <v>50</v>
      </c>
    </row>
    <row r="327" spans="1:8" x14ac:dyDescent="0.2">
      <c r="A327" t="s">
        <v>754</v>
      </c>
      <c r="B327" s="1" t="str">
        <f>HYPERLINK("http://www.chemspider.com/Chemical-Structure.54751.html","54751")</f>
        <v>54751</v>
      </c>
      <c r="C327" s="1" t="str">
        <f>HYPERLINK("https://www.ebi.ac.uk/chembl/compound/inspect/CHEMBL100014","CHEMBL100014")</f>
        <v>CHEMBL100014</v>
      </c>
      <c r="D327" t="s">
        <v>1</v>
      </c>
      <c r="F327" t="s">
        <v>755</v>
      </c>
      <c r="G327">
        <v>0</v>
      </c>
      <c r="H327" s="4">
        <v>20</v>
      </c>
    </row>
    <row r="328" spans="1:8" x14ac:dyDescent="0.2">
      <c r="A328" t="s">
        <v>756</v>
      </c>
      <c r="B328" s="1" t="str">
        <f>HYPERLINK("http://www.chemspider.com/Chemical-Structure.3615.html","3615")</f>
        <v>3615</v>
      </c>
      <c r="C328" s="1" t="str">
        <f>HYPERLINK("https://www.ebi.ac.uk/chembl/compound/inspect/CHEMBL1615433","CHEMBL1615433")</f>
        <v>CHEMBL1615433</v>
      </c>
      <c r="D328" t="s">
        <v>9</v>
      </c>
      <c r="E328" t="s">
        <v>757</v>
      </c>
      <c r="F328" t="s">
        <v>758</v>
      </c>
      <c r="G328">
        <v>147</v>
      </c>
      <c r="H328" s="4">
        <v>10</v>
      </c>
    </row>
    <row r="329" spans="1:8" x14ac:dyDescent="0.2">
      <c r="A329" t="s">
        <v>759</v>
      </c>
      <c r="B329" s="1" t="str">
        <f>HYPERLINK("http://www.chemspider.com/Chemical-Structure.151965.html","151965")</f>
        <v>151965</v>
      </c>
      <c r="G329">
        <v>0</v>
      </c>
      <c r="H329" s="4">
        <v>10</v>
      </c>
    </row>
    <row r="330" spans="1:8" x14ac:dyDescent="0.2">
      <c r="A330" t="s">
        <v>760</v>
      </c>
      <c r="B330" s="1" t="str">
        <f>HYPERLINK("http://www.chemspider.com/Chemical-Structure.3374.html","3374")</f>
        <v>3374</v>
      </c>
      <c r="C330" s="1" t="str">
        <f>HYPERLINK("https://www.ebi.ac.uk/chembl/compound/inspect/CHEMBL1201335","CHEMBL1201335")</f>
        <v>CHEMBL1201335</v>
      </c>
      <c r="D330" t="s">
        <v>9</v>
      </c>
      <c r="E330" t="s">
        <v>761</v>
      </c>
      <c r="F330" t="s">
        <v>762</v>
      </c>
      <c r="G330">
        <v>87</v>
      </c>
      <c r="H330" s="4">
        <v>10</v>
      </c>
    </row>
    <row r="331" spans="1:8" x14ac:dyDescent="0.2">
      <c r="A331" t="s">
        <v>763</v>
      </c>
      <c r="B331" s="1" t="str">
        <f>HYPERLINK("http://www.chemspider.com/Chemical-Structure.4473.html","4473")</f>
        <v>4473</v>
      </c>
      <c r="C331" s="1" t="str">
        <f>HYPERLINK("https://www.ebi.ac.uk/chembl/compound/inspect/CHEMBL1231","CHEMBL1231")</f>
        <v>CHEMBL1231</v>
      </c>
      <c r="D331" t="s">
        <v>9</v>
      </c>
      <c r="E331" t="s">
        <v>764</v>
      </c>
      <c r="F331" t="s">
        <v>765</v>
      </c>
      <c r="G331">
        <v>137</v>
      </c>
      <c r="H331" s="4">
        <v>10</v>
      </c>
    </row>
    <row r="332" spans="1:8" x14ac:dyDescent="0.2">
      <c r="A332" t="s">
        <v>766</v>
      </c>
      <c r="B332" s="1" t="str">
        <f>HYPERLINK("http://www.chemspider.com/Chemical-Structure.5547.html","5547")</f>
        <v>5547</v>
      </c>
      <c r="C332" s="1" t="str">
        <f>HYPERLINK("https://www.ebi.ac.uk/chembl/compound/inspect/CHEMBL1201286","CHEMBL1201286")</f>
        <v>CHEMBL1201286</v>
      </c>
      <c r="D332" t="s">
        <v>9</v>
      </c>
      <c r="E332" t="s">
        <v>767</v>
      </c>
      <c r="F332" t="s">
        <v>768</v>
      </c>
      <c r="G332">
        <v>0</v>
      </c>
      <c r="H332" s="4">
        <v>9.9992783129999996</v>
      </c>
    </row>
    <row r="333" spans="1:8" x14ac:dyDescent="0.2">
      <c r="A333" t="s">
        <v>769</v>
      </c>
      <c r="B333" s="1" t="str">
        <f>HYPERLINK("http://www.chemspider.com/Chemical-Structure.3917.html","3917")</f>
        <v>3917</v>
      </c>
      <c r="C333" s="1" t="str">
        <f>HYPERLINK("https://www.ebi.ac.uk/chembl/compound/inspect/CHEMBL524004","CHEMBL524004")</f>
        <v>CHEMBL524004</v>
      </c>
      <c r="D333" t="s">
        <v>9</v>
      </c>
      <c r="E333" t="s">
        <v>770</v>
      </c>
      <c r="F333" t="s">
        <v>771</v>
      </c>
      <c r="G333">
        <v>0</v>
      </c>
      <c r="H333" s="4">
        <v>10</v>
      </c>
    </row>
    <row r="334" spans="1:8" x14ac:dyDescent="0.2">
      <c r="A334" t="s">
        <v>772</v>
      </c>
      <c r="B334" s="1" t="str">
        <f>HYPERLINK("http://www.chemspider.com/Chemical-Structure.69594.html","69594")</f>
        <v>69594</v>
      </c>
      <c r="C334" s="1" t="str">
        <f>HYPERLINK("https://www.ebi.ac.uk/chembl/compound/inspect/CHEMBL143228","CHEMBL143228")</f>
        <v>CHEMBL143228</v>
      </c>
      <c r="D334" t="s">
        <v>1</v>
      </c>
      <c r="G334">
        <v>0</v>
      </c>
      <c r="H334" s="4">
        <v>10</v>
      </c>
    </row>
    <row r="335" spans="1:8" x14ac:dyDescent="0.2">
      <c r="A335" t="s">
        <v>773</v>
      </c>
      <c r="B335" s="1" t="str">
        <f>HYPERLINK("http://www.chemspider.com/Chemical-Structure.8966.html","8966")</f>
        <v>8966</v>
      </c>
      <c r="C335" s="1" t="str">
        <f>HYPERLINK("https://www.ebi.ac.uk/chembl/compound/inspect/CHEMBL70352","CHEMBL70352")</f>
        <v>CHEMBL70352</v>
      </c>
      <c r="D335" t="s">
        <v>1</v>
      </c>
      <c r="E335" t="s">
        <v>774</v>
      </c>
      <c r="F335" t="s">
        <v>775</v>
      </c>
      <c r="G335">
        <v>0</v>
      </c>
      <c r="H335" s="4">
        <v>10</v>
      </c>
    </row>
    <row r="336" spans="1:8" x14ac:dyDescent="0.2">
      <c r="A336" t="s">
        <v>776</v>
      </c>
      <c r="B336" s="1" t="str">
        <f>HYPERLINK("http://www.chemspider.com/Chemical-Structure.4932313.html","4932313")</f>
        <v>4932313</v>
      </c>
      <c r="C336" s="1" t="str">
        <f>HYPERLINK("https://www.ebi.ac.uk/chembl/compound/inspect/CHEMBL1907142","CHEMBL1907142")</f>
        <v>CHEMBL1907142</v>
      </c>
      <c r="D336" t="s">
        <v>1</v>
      </c>
      <c r="G336">
        <v>0</v>
      </c>
      <c r="H336" s="4">
        <v>10</v>
      </c>
    </row>
    <row r="337" spans="1:8" x14ac:dyDescent="0.2">
      <c r="A337" t="s">
        <v>777</v>
      </c>
      <c r="B337" s="1" t="str">
        <f>HYPERLINK("http://www.chemspider.com/Chemical-Structure.3207.html","3207")</f>
        <v>3207</v>
      </c>
      <c r="C337" s="1" t="str">
        <f>HYPERLINK("https://www.ebi.ac.uk/chembl/compound/inspect/CHEMBL880","CHEMBL880")</f>
        <v>CHEMBL880</v>
      </c>
      <c r="D337" t="s">
        <v>9</v>
      </c>
      <c r="E337" t="s">
        <v>778</v>
      </c>
      <c r="F337" t="s">
        <v>779</v>
      </c>
      <c r="G337">
        <v>43</v>
      </c>
      <c r="H337" s="4">
        <v>10</v>
      </c>
    </row>
    <row r="338" spans="1:8" x14ac:dyDescent="0.2">
      <c r="A338" t="s">
        <v>780</v>
      </c>
      <c r="B338" s="1" t="str">
        <f>HYPERLINK("http://www.chemspider.com/Chemical-Structure.182.html","182")</f>
        <v>182</v>
      </c>
      <c r="C338" s="1" t="str">
        <f>HYPERLINK("https://www.ebi.ac.uk/chembl/compound/inspect/CHEMBL667","CHEMBL667")</f>
        <v>CHEMBL667</v>
      </c>
      <c r="D338" t="s">
        <v>9</v>
      </c>
      <c r="E338" t="s">
        <v>781</v>
      </c>
      <c r="F338" t="s">
        <v>782</v>
      </c>
      <c r="G338">
        <v>82</v>
      </c>
      <c r="H338" s="4">
        <v>10</v>
      </c>
    </row>
    <row r="339" spans="1:8" x14ac:dyDescent="0.2">
      <c r="A339" t="s">
        <v>783</v>
      </c>
      <c r="B339" s="1" t="str">
        <f>HYPERLINK("http://www.chemspider.com/Chemical-Structure.36358.html","36358")</f>
        <v>36358</v>
      </c>
      <c r="C339" s="1" t="str">
        <f>HYPERLINK("https://www.ebi.ac.uk/chembl/compound/inspect/CHEMBL1201219","CHEMBL1201219")</f>
        <v>CHEMBL1201219</v>
      </c>
      <c r="D339" t="s">
        <v>9</v>
      </c>
      <c r="E339" t="s">
        <v>784</v>
      </c>
      <c r="F339" t="s">
        <v>785</v>
      </c>
      <c r="G339">
        <v>44</v>
      </c>
      <c r="H339" s="4">
        <v>10.00071805</v>
      </c>
    </row>
    <row r="340" spans="1:8" x14ac:dyDescent="0.2">
      <c r="A340" t="s">
        <v>786</v>
      </c>
      <c r="B340" s="1" t="str">
        <f>HYPERLINK("http://www.chemspider.com/Chemical-Structure.2934.html","2934")</f>
        <v>2934</v>
      </c>
      <c r="C340" s="1" t="str">
        <f>HYPERLINK("https://www.ebi.ac.uk/chembl/compound/inspect/CHEMBL1123","CHEMBL1123")</f>
        <v>CHEMBL1123</v>
      </c>
      <c r="D340" t="s">
        <v>9</v>
      </c>
      <c r="E340" t="s">
        <v>787</v>
      </c>
      <c r="F340" t="s">
        <v>788</v>
      </c>
      <c r="G340">
        <v>0</v>
      </c>
      <c r="H340" s="4">
        <v>10</v>
      </c>
    </row>
    <row r="341" spans="1:8" x14ac:dyDescent="0.2">
      <c r="A341" t="s">
        <v>789</v>
      </c>
      <c r="B341" s="1" t="str">
        <f>HYPERLINK("http://www.chemspider.com/Chemical-Structure.12919.html","12919")</f>
        <v>12919</v>
      </c>
      <c r="C341" s="1" t="str">
        <f>HYPERLINK("https://www.ebi.ac.uk/chembl/compound/inspect/CHEMBL1201294","CHEMBL1201294")</f>
        <v>CHEMBL1201294</v>
      </c>
      <c r="D341" t="s">
        <v>9</v>
      </c>
      <c r="E341" t="s">
        <v>790</v>
      </c>
      <c r="F341" t="s">
        <v>791</v>
      </c>
      <c r="G341">
        <v>2</v>
      </c>
      <c r="H341" s="4">
        <v>10</v>
      </c>
    </row>
    <row r="342" spans="1:8" x14ac:dyDescent="0.2">
      <c r="A342" t="s">
        <v>792</v>
      </c>
      <c r="B342" s="1" t="str">
        <f>HYPERLINK("http://www.chemspider.com/Chemical-Structure.2579.html","2579")</f>
        <v>2579</v>
      </c>
      <c r="G342">
        <v>0</v>
      </c>
      <c r="H342" s="4">
        <v>10</v>
      </c>
    </row>
    <row r="343" spans="1:8" x14ac:dyDescent="0.2">
      <c r="A343" t="s">
        <v>793</v>
      </c>
      <c r="B343" s="1" t="str">
        <f>HYPERLINK("http://www.chemspider.com/Chemical-Structure.4343.html","4343")</f>
        <v>4343</v>
      </c>
      <c r="C343" s="1" t="str">
        <f>HYPERLINK("https://www.ebi.ac.uk/chembl/compound/inspect/CHEMBL1726","CHEMBL1726")</f>
        <v>CHEMBL1726</v>
      </c>
      <c r="D343" t="s">
        <v>9</v>
      </c>
      <c r="E343" t="s">
        <v>794</v>
      </c>
      <c r="F343" t="s">
        <v>795</v>
      </c>
      <c r="G343">
        <v>10</v>
      </c>
      <c r="H343" s="4">
        <v>9.9991098889999996</v>
      </c>
    </row>
    <row r="344" spans="1:8" x14ac:dyDescent="0.2">
      <c r="A344" t="s">
        <v>796</v>
      </c>
      <c r="B344" s="1" t="str">
        <f>HYPERLINK("http://www.chemspider.com/Chemical-Structure.21395727.html","21395727")</f>
        <v>21395727</v>
      </c>
      <c r="C344" s="1" t="str">
        <f>HYPERLINK("https://www.ebi.ac.uk/chembl/compound/inspect/CHEMBL15041","CHEMBL15041")</f>
        <v>CHEMBL15041</v>
      </c>
      <c r="D344" t="s">
        <v>1</v>
      </c>
      <c r="F344" t="s">
        <v>797</v>
      </c>
      <c r="G344">
        <v>0</v>
      </c>
      <c r="H344" s="4">
        <v>10</v>
      </c>
    </row>
    <row r="345" spans="1:8" x14ac:dyDescent="0.2">
      <c r="A345" t="s">
        <v>798</v>
      </c>
      <c r="B345" s="1" t="str">
        <f>HYPERLINK("http://www.chemspider.com/Chemical-Structure.21395717.html","21395717")</f>
        <v>21395717</v>
      </c>
      <c r="C345" s="1" t="str">
        <f>HYPERLINK("https://www.ebi.ac.uk/chembl/compound/inspect/CHEMBL441428","CHEMBL441428")</f>
        <v>CHEMBL441428</v>
      </c>
      <c r="D345" t="s">
        <v>1</v>
      </c>
      <c r="F345" t="s">
        <v>799</v>
      </c>
      <c r="G345">
        <v>0</v>
      </c>
      <c r="H345" s="4">
        <v>10</v>
      </c>
    </row>
    <row r="346" spans="1:8" x14ac:dyDescent="0.2">
      <c r="A346" t="s">
        <v>800</v>
      </c>
      <c r="B346" s="1" t="str">
        <f>HYPERLINK("http://www.chemspider.com/Chemical-Structure.21395714.html","21395714")</f>
        <v>21395714</v>
      </c>
      <c r="C346" s="1" t="str">
        <f>HYPERLINK("https://www.ebi.ac.uk/chembl/compound/inspect/CHEMBL28123","CHEMBL28123")</f>
        <v>CHEMBL28123</v>
      </c>
      <c r="D346" t="s">
        <v>1</v>
      </c>
      <c r="F346" t="s">
        <v>801</v>
      </c>
      <c r="G346">
        <v>0</v>
      </c>
      <c r="H346" s="4">
        <v>10</v>
      </c>
    </row>
    <row r="347" spans="1:8" x14ac:dyDescent="0.2">
      <c r="A347" t="s">
        <v>802</v>
      </c>
      <c r="B347" s="1" t="str">
        <f>HYPERLINK("http://www.chemspider.com/Chemical-Structure.4319.html","4319")</f>
        <v>4319</v>
      </c>
      <c r="C347" s="1" t="str">
        <f>HYPERLINK("https://www.ebi.ac.uk/chembl/compound/inspect/CHEMBL1484","CHEMBL1484")</f>
        <v>CHEMBL1484</v>
      </c>
      <c r="D347" t="s">
        <v>9</v>
      </c>
      <c r="E347" t="s">
        <v>803</v>
      </c>
      <c r="F347" t="s">
        <v>804</v>
      </c>
      <c r="G347">
        <v>42</v>
      </c>
      <c r="H347" s="4">
        <v>10</v>
      </c>
    </row>
    <row r="348" spans="1:8" x14ac:dyDescent="0.2">
      <c r="A348" t="s">
        <v>805</v>
      </c>
      <c r="B348" s="1" t="str">
        <f>HYPERLINK("http://www.chemspider.com/Chemical-Structure.21395725.html","21395725")</f>
        <v>21395725</v>
      </c>
      <c r="C348" s="1" t="str">
        <f>HYPERLINK("https://www.ebi.ac.uk/chembl/compound/inspect/CHEMBL40792","CHEMBL40792")</f>
        <v>CHEMBL40792</v>
      </c>
      <c r="D348" t="s">
        <v>1</v>
      </c>
      <c r="F348" t="s">
        <v>806</v>
      </c>
      <c r="G348">
        <v>0</v>
      </c>
      <c r="H348" s="4">
        <v>10</v>
      </c>
    </row>
    <row r="349" spans="1:8" x14ac:dyDescent="0.2">
      <c r="A349" t="s">
        <v>807</v>
      </c>
      <c r="B349" s="1" t="str">
        <f>HYPERLINK("http://www.chemspider.com/Chemical-Structure.13872064.html","13872064")</f>
        <v>13872064</v>
      </c>
      <c r="C349" s="1" t="str">
        <f>HYPERLINK("https://www.ebi.ac.uk/chembl/compound/inspect/CHEMBL7303","CHEMBL7303")</f>
        <v>CHEMBL7303</v>
      </c>
      <c r="D349" t="s">
        <v>1</v>
      </c>
      <c r="E349" t="s">
        <v>808</v>
      </c>
      <c r="F349" t="s">
        <v>809</v>
      </c>
      <c r="G349">
        <v>0</v>
      </c>
      <c r="H349" s="4">
        <v>10</v>
      </c>
    </row>
    <row r="350" spans="1:8" x14ac:dyDescent="0.2">
      <c r="A350" t="s">
        <v>810</v>
      </c>
      <c r="B350" s="1" t="str">
        <f>HYPERLINK("http://www.chemspider.com/Chemical-Structure.25022584.html","25022584")</f>
        <v>25022584</v>
      </c>
      <c r="C350" s="1" t="str">
        <f>HYPERLINK("https://www.ebi.ac.uk/chembl/compound/inspect/CHEMBL1625583","CHEMBL1625583")</f>
        <v>CHEMBL1625583</v>
      </c>
      <c r="D350" t="s">
        <v>1</v>
      </c>
      <c r="G350">
        <v>0</v>
      </c>
      <c r="H350" s="4">
        <v>10</v>
      </c>
    </row>
    <row r="351" spans="1:8" x14ac:dyDescent="0.2">
      <c r="A351" t="s">
        <v>811</v>
      </c>
      <c r="B351" s="1" t="str">
        <f>HYPERLINK("http://www.chemspider.com/Chemical-Structure.5123.html","5123")</f>
        <v>5123</v>
      </c>
      <c r="C351" s="1" t="str">
        <f>HYPERLINK("https://www.ebi.ac.uk/chembl/compound/inspect/CHEMBL703","CHEMBL703")</f>
        <v>CHEMBL703</v>
      </c>
      <c r="D351" t="s">
        <v>9</v>
      </c>
      <c r="E351" t="s">
        <v>812</v>
      </c>
      <c r="F351" t="s">
        <v>813</v>
      </c>
      <c r="G351">
        <v>7</v>
      </c>
      <c r="H351" s="4">
        <v>10</v>
      </c>
    </row>
    <row r="352" spans="1:8" x14ac:dyDescent="0.2">
      <c r="A352" t="s">
        <v>814</v>
      </c>
      <c r="B352" s="1" t="str">
        <f>HYPERLINK("http://www.chemspider.com/Chemical-Structure.4395301.html","4395301")</f>
        <v>4395301</v>
      </c>
      <c r="G352">
        <v>0</v>
      </c>
      <c r="H352" s="4">
        <v>10</v>
      </c>
    </row>
    <row r="353" spans="1:8" x14ac:dyDescent="0.2">
      <c r="A353" t="s">
        <v>815</v>
      </c>
      <c r="B353" s="1" t="str">
        <f>HYPERLINK("http://www.chemspider.com/Chemical-Structure.3329.html","3329")</f>
        <v>3329</v>
      </c>
      <c r="C353" s="1" t="str">
        <f>HYPERLINK("https://www.ebi.ac.uk/chembl/compound/inspect/CHEMBL87563","CHEMBL87563")</f>
        <v>CHEMBL87563</v>
      </c>
      <c r="D353" t="s">
        <v>1</v>
      </c>
      <c r="E353" t="s">
        <v>816</v>
      </c>
      <c r="F353" t="s">
        <v>817</v>
      </c>
      <c r="G353">
        <v>0</v>
      </c>
      <c r="H353" s="4">
        <v>10</v>
      </c>
    </row>
    <row r="354" spans="1:8" x14ac:dyDescent="0.2">
      <c r="A354" t="s">
        <v>818</v>
      </c>
      <c r="B354" s="1" t="str">
        <f>HYPERLINK("http://www.chemspider.com/Chemical-Structure.28604868.html","28604868")</f>
        <v>28604868</v>
      </c>
      <c r="G354">
        <v>0</v>
      </c>
      <c r="H354" s="4">
        <v>10</v>
      </c>
    </row>
    <row r="355" spans="1:8" x14ac:dyDescent="0.2">
      <c r="A355" t="s">
        <v>819</v>
      </c>
      <c r="B355" s="1" t="str">
        <f>HYPERLINK("http://www.chemspider.com/Chemical-Structure.28467541.html","28467541")</f>
        <v>28467541</v>
      </c>
      <c r="G355">
        <v>0</v>
      </c>
      <c r="H355" s="4">
        <v>50</v>
      </c>
    </row>
    <row r="356" spans="1:8" x14ac:dyDescent="0.2">
      <c r="A356" t="s">
        <v>820</v>
      </c>
      <c r="B356" s="1" t="str">
        <f>HYPERLINK("http://www.chemspider.com/Chemical-Structure.4817.html","4817")</f>
        <v>4817</v>
      </c>
      <c r="C356" s="1" t="str">
        <f>HYPERLINK("https://www.ebi.ac.uk/chembl/compound/inspect/CHEMBL1115","CHEMBL1115")</f>
        <v>CHEMBL1115</v>
      </c>
      <c r="D356" t="s">
        <v>9</v>
      </c>
      <c r="E356" t="s">
        <v>821</v>
      </c>
      <c r="F356" t="s">
        <v>822</v>
      </c>
      <c r="G356">
        <v>26</v>
      </c>
      <c r="H356" s="4">
        <v>9.9992449140000002</v>
      </c>
    </row>
    <row r="357" spans="1:8" x14ac:dyDescent="0.2">
      <c r="A357" t="s">
        <v>823</v>
      </c>
      <c r="B357" s="1" t="str">
        <f>HYPERLINK("http://www.chemspider.com/Chemical-Structure.9578010.html","9578010")</f>
        <v>9578010</v>
      </c>
      <c r="C357" s="1" t="str">
        <f>HYPERLINK("https://www.ebi.ac.uk/chembl/compound/inspect/CHEMBL306319","CHEMBL306319")</f>
        <v>CHEMBL306319</v>
      </c>
      <c r="D357" t="s">
        <v>1</v>
      </c>
      <c r="G357">
        <v>0</v>
      </c>
      <c r="H357" s="4">
        <v>10</v>
      </c>
    </row>
    <row r="358" spans="1:8" x14ac:dyDescent="0.2">
      <c r="A358" t="s">
        <v>824</v>
      </c>
      <c r="B358" s="1" t="str">
        <f>HYPERLINK("http://www.chemspider.com/Chemical-Structure.3890.html","3890")</f>
        <v>3890</v>
      </c>
      <c r="C358" s="1" t="str">
        <f>HYPERLINK("https://www.ebi.ac.uk/chembl/compound/inspect/CHEMBL685","CHEMBL685")</f>
        <v>CHEMBL685</v>
      </c>
      <c r="D358" t="s">
        <v>9</v>
      </c>
      <c r="E358" t="s">
        <v>825</v>
      </c>
      <c r="F358" t="s">
        <v>826</v>
      </c>
      <c r="G358">
        <v>43</v>
      </c>
      <c r="H358" s="4">
        <v>10</v>
      </c>
    </row>
    <row r="359" spans="1:8" x14ac:dyDescent="0.2">
      <c r="A359" t="s">
        <v>827</v>
      </c>
      <c r="B359" s="1" t="str">
        <f>HYPERLINK("http://www.chemspider.com/Chemical-Structure.3890.html","3890")</f>
        <v>3890</v>
      </c>
      <c r="C359" s="1" t="str">
        <f>HYPERLINK("https://www.ebi.ac.uk/chembl/compound/inspect/CHEMBL685","CHEMBL685")</f>
        <v>CHEMBL685</v>
      </c>
      <c r="D359" t="s">
        <v>9</v>
      </c>
      <c r="E359" t="s">
        <v>825</v>
      </c>
      <c r="F359" t="s">
        <v>826</v>
      </c>
      <c r="G359">
        <v>43</v>
      </c>
      <c r="H359" s="4">
        <v>9.9991734020000003</v>
      </c>
    </row>
    <row r="360" spans="1:8" x14ac:dyDescent="0.2">
      <c r="A360" t="s">
        <v>828</v>
      </c>
      <c r="B360" s="1" t="str">
        <f>HYPERLINK("http://www.chemspider.com/Chemical-Structure.49398.html","49398")</f>
        <v>49398</v>
      </c>
      <c r="C360" s="1" t="str">
        <f>HYPERLINK("https://www.ebi.ac.uk/chembl/compound/inspect/CHEMBL1144","CHEMBL1144")</f>
        <v>CHEMBL1144</v>
      </c>
      <c r="D360" t="s">
        <v>9</v>
      </c>
      <c r="E360" t="s">
        <v>829</v>
      </c>
      <c r="F360" t="s">
        <v>830</v>
      </c>
      <c r="G360">
        <v>321</v>
      </c>
      <c r="H360" s="4">
        <v>9.5</v>
      </c>
    </row>
    <row r="361" spans="1:8" x14ac:dyDescent="0.2">
      <c r="A361" t="s">
        <v>831</v>
      </c>
      <c r="B361" s="1" t="str">
        <f>HYPERLINK("http://www.chemspider.com/Chemical-Structure.571010.html","571010")</f>
        <v>571010</v>
      </c>
      <c r="C361" s="1" t="str">
        <f>HYPERLINK("https://www.ebi.ac.uk/chembl/compound/inspect/CHEMBL1289230","CHEMBL1289230")</f>
        <v>CHEMBL1289230</v>
      </c>
      <c r="D361" t="s">
        <v>1</v>
      </c>
      <c r="F361" t="s">
        <v>832</v>
      </c>
      <c r="G361">
        <v>0</v>
      </c>
      <c r="H361" s="4">
        <v>10</v>
      </c>
    </row>
    <row r="362" spans="1:8" x14ac:dyDescent="0.2">
      <c r="A362" t="s">
        <v>833</v>
      </c>
      <c r="B362" s="1" t="str">
        <f>HYPERLINK("http://www.chemspider.com/Chemical-Structure.2298409.html","2298409")</f>
        <v>2298409</v>
      </c>
      <c r="G362">
        <v>0</v>
      </c>
      <c r="H362" s="4">
        <v>10.4</v>
      </c>
    </row>
    <row r="363" spans="1:8" x14ac:dyDescent="0.2">
      <c r="A363" t="s">
        <v>834</v>
      </c>
      <c r="B363" s="1" t="str">
        <f>HYPERLINK("http://www.chemspider.com/Chemical-Structure.4745.html","4745")</f>
        <v>4745</v>
      </c>
      <c r="C363" s="1" t="str">
        <f>HYPERLINK("https://www.ebi.ac.uk/chembl/compound/inspect/CHEMBL569","CHEMBL569")</f>
        <v>CHEMBL569</v>
      </c>
      <c r="D363" t="s">
        <v>9</v>
      </c>
      <c r="E363" t="s">
        <v>835</v>
      </c>
      <c r="F363" t="s">
        <v>836</v>
      </c>
      <c r="G363">
        <v>32</v>
      </c>
      <c r="H363" s="4">
        <v>10</v>
      </c>
    </row>
    <row r="364" spans="1:8" x14ac:dyDescent="0.2">
      <c r="A364" t="s">
        <v>837</v>
      </c>
      <c r="B364" s="1" t="str">
        <f>HYPERLINK("http://www.chemspider.com/Chemical-Structure.33418.html","33418")</f>
        <v>33418</v>
      </c>
      <c r="C364" s="1" t="str">
        <f>HYPERLINK("https://www.ebi.ac.uk/chembl/compound/inspect/CHEMBL23731","CHEMBL23731")</f>
        <v>CHEMBL23731</v>
      </c>
      <c r="D364" t="s">
        <v>1</v>
      </c>
      <c r="E364" t="s">
        <v>838</v>
      </c>
      <c r="F364" t="s">
        <v>839</v>
      </c>
      <c r="G364">
        <v>1</v>
      </c>
      <c r="H364" s="4">
        <v>10</v>
      </c>
    </row>
    <row r="365" spans="1:8" x14ac:dyDescent="0.2">
      <c r="A365" t="s">
        <v>840</v>
      </c>
      <c r="B365" s="1" t="str">
        <f>HYPERLINK("http://www.chemspider.com/Chemical-Structure.580864.html","580864")</f>
        <v>580864</v>
      </c>
      <c r="C365" s="1" t="str">
        <f>HYPERLINK("https://www.ebi.ac.uk/chembl/compound/inspect/CHEMBL681","CHEMBL681")</f>
        <v>CHEMBL681</v>
      </c>
      <c r="D365" t="s">
        <v>9</v>
      </c>
      <c r="E365" t="s">
        <v>841</v>
      </c>
      <c r="F365" t="s">
        <v>842</v>
      </c>
      <c r="G365">
        <v>67</v>
      </c>
      <c r="H365" s="4">
        <v>10.1</v>
      </c>
    </row>
    <row r="366" spans="1:8" x14ac:dyDescent="0.2">
      <c r="A366" t="s">
        <v>843</v>
      </c>
      <c r="B366" s="1" t="str">
        <f>HYPERLINK("http://www.chemspider.com/Chemical-Structure.3050.html","3050")</f>
        <v>3050</v>
      </c>
      <c r="C366" s="1" t="str">
        <f>HYPERLINK("https://www.ebi.ac.uk/chembl/compound/inspect/CHEMBL1004","CHEMBL1004")</f>
        <v>CHEMBL1004</v>
      </c>
      <c r="D366" t="s">
        <v>9</v>
      </c>
      <c r="E366" t="s">
        <v>844</v>
      </c>
      <c r="F366" t="s">
        <v>845</v>
      </c>
      <c r="G366">
        <v>14</v>
      </c>
      <c r="H366" s="4">
        <v>10</v>
      </c>
    </row>
    <row r="367" spans="1:8" x14ac:dyDescent="0.2">
      <c r="A367" t="s">
        <v>846</v>
      </c>
      <c r="B367" s="1" t="str">
        <f>HYPERLINK("http://www.chemspider.com/Chemical-Structure.395929.html","395929")</f>
        <v>395929</v>
      </c>
      <c r="C367" s="1" t="str">
        <f>HYPERLINK("https://www.ebi.ac.uk/chembl/compound/inspect/CHEMBL674","CHEMBL674")</f>
        <v>CHEMBL674</v>
      </c>
      <c r="D367" t="s">
        <v>1</v>
      </c>
      <c r="E367" t="s">
        <v>847</v>
      </c>
      <c r="F367" t="s">
        <v>848</v>
      </c>
      <c r="G367">
        <v>7930</v>
      </c>
      <c r="H367" s="4">
        <v>6.4</v>
      </c>
    </row>
    <row r="368" spans="1:8" x14ac:dyDescent="0.2">
      <c r="A368" t="s">
        <v>849</v>
      </c>
      <c r="B368" s="1" t="str">
        <f>HYPERLINK("http://www.chemspider.com/Chemical-Structure.58540.html","58540")</f>
        <v>58540</v>
      </c>
      <c r="C368" s="1" t="str">
        <f>HYPERLINK("https://www.ebi.ac.uk/chembl/compound/inspect/CHEMBL1229","CHEMBL1229")</f>
        <v>CHEMBL1229</v>
      </c>
      <c r="D368" t="s">
        <v>9</v>
      </c>
      <c r="E368" t="s">
        <v>850</v>
      </c>
      <c r="F368" t="s">
        <v>851</v>
      </c>
      <c r="G368">
        <v>208</v>
      </c>
      <c r="H368" s="4">
        <v>9.9999046679999992</v>
      </c>
    </row>
    <row r="369" spans="1:8" x14ac:dyDescent="0.2">
      <c r="A369" t="s">
        <v>852</v>
      </c>
      <c r="B369" s="1" t="str">
        <f>HYPERLINK("http://www.chemspider.com/Chemical-Structure.8351761.html","8351761")</f>
        <v>8351761</v>
      </c>
      <c r="G369">
        <v>0</v>
      </c>
      <c r="H369" s="4">
        <v>10</v>
      </c>
    </row>
    <row r="370" spans="1:8" x14ac:dyDescent="0.2">
      <c r="A370" t="s">
        <v>853</v>
      </c>
      <c r="B370" s="1" t="str">
        <f>HYPERLINK("http://www.chemspider.com/Chemical-Structure.2254.html","2254")</f>
        <v>2254</v>
      </c>
      <c r="C370" s="1" t="str">
        <f>HYPERLINK("https://www.ebi.ac.uk/chembl/compound/inspect/CHEMBL116590","CHEMBL116590")</f>
        <v>CHEMBL116590</v>
      </c>
      <c r="D370" t="s">
        <v>1</v>
      </c>
      <c r="F370" t="s">
        <v>854</v>
      </c>
      <c r="G370">
        <v>0</v>
      </c>
      <c r="H370" s="4">
        <v>10</v>
      </c>
    </row>
    <row r="371" spans="1:8" x14ac:dyDescent="0.2">
      <c r="A371" t="s">
        <v>855</v>
      </c>
      <c r="B371" s="1" t="str">
        <f>HYPERLINK("http://www.chemspider.com/Chemical-Structure.2989.html","2989")</f>
        <v>2989</v>
      </c>
      <c r="C371" s="1" t="str">
        <f>HYPERLINK("https://www.ebi.ac.uk/chembl/compound/inspect/CHEMBL657","CHEMBL657")</f>
        <v>CHEMBL657</v>
      </c>
      <c r="D371" t="s">
        <v>9</v>
      </c>
      <c r="E371" t="s">
        <v>856</v>
      </c>
      <c r="F371" t="s">
        <v>857</v>
      </c>
      <c r="G371">
        <v>199</v>
      </c>
      <c r="H371" s="4">
        <v>10</v>
      </c>
    </row>
    <row r="372" spans="1:8" x14ac:dyDescent="0.2">
      <c r="A372" t="s">
        <v>858</v>
      </c>
      <c r="B372" s="1" t="str">
        <f>HYPERLINK("http://www.chemspider.com/Chemical-Structure.4440.html","4440")</f>
        <v>4440</v>
      </c>
      <c r="C372" s="1" t="str">
        <f>HYPERLINK("https://www.ebi.ac.uk/chembl/compound/inspect/CHEMBL900","CHEMBL900")</f>
        <v>CHEMBL900</v>
      </c>
      <c r="D372" t="s">
        <v>9</v>
      </c>
      <c r="E372" t="s">
        <v>859</v>
      </c>
      <c r="F372" t="s">
        <v>860</v>
      </c>
      <c r="G372">
        <v>2</v>
      </c>
      <c r="H372" s="4">
        <v>10</v>
      </c>
    </row>
    <row r="373" spans="1:8" x14ac:dyDescent="0.2">
      <c r="A373" t="s">
        <v>861</v>
      </c>
      <c r="B373" s="1" t="str">
        <f>HYPERLINK("http://www.chemspider.com/Chemical-Structure.10179905.html","10179905")</f>
        <v>10179905</v>
      </c>
      <c r="C373" s="1" t="str">
        <f>HYPERLINK("https://www.ebi.ac.uk/chembl/compound/inspect/CHEMBL248095","CHEMBL248095")</f>
        <v>CHEMBL248095</v>
      </c>
      <c r="D373" t="s">
        <v>1</v>
      </c>
      <c r="E373" t="s">
        <v>862</v>
      </c>
      <c r="F373" t="s">
        <v>863</v>
      </c>
      <c r="G373">
        <v>0</v>
      </c>
      <c r="H373" s="4">
        <v>10</v>
      </c>
    </row>
    <row r="374" spans="1:8" x14ac:dyDescent="0.2">
      <c r="A374" t="s">
        <v>864</v>
      </c>
      <c r="B374" s="1" t="str">
        <f>HYPERLINK("http://www.chemspider.com/Chemical-Structure.3749.html","3749")</f>
        <v>3749</v>
      </c>
      <c r="G374">
        <v>0</v>
      </c>
      <c r="H374" s="4">
        <v>10</v>
      </c>
    </row>
    <row r="375" spans="1:8" x14ac:dyDescent="0.2">
      <c r="A375" t="s">
        <v>865</v>
      </c>
      <c r="B375" s="1" t="str">
        <f>HYPERLINK("http://www.chemspider.com/Chemical-Structure.3558.html","3558")</f>
        <v>3558</v>
      </c>
      <c r="C375" s="1" t="str">
        <f>HYPERLINK("https://www.ebi.ac.uk/chembl/compound/inspect/CHEMBL252556","CHEMBL252556")</f>
        <v>CHEMBL252556</v>
      </c>
      <c r="D375" t="s">
        <v>1</v>
      </c>
      <c r="E375" t="s">
        <v>866</v>
      </c>
      <c r="F375" t="s">
        <v>867</v>
      </c>
      <c r="G375">
        <v>43</v>
      </c>
      <c r="H375" s="4">
        <v>10.199999999999999</v>
      </c>
    </row>
    <row r="376" spans="1:8" x14ac:dyDescent="0.2">
      <c r="A376" t="s">
        <v>868</v>
      </c>
      <c r="B376" s="1" t="str">
        <f>HYPERLINK("http://www.chemspider.com/Chemical-Structure.4445197.html","4445197")</f>
        <v>4445197</v>
      </c>
      <c r="C376" s="1" t="str">
        <f>HYPERLINK("https://www.ebi.ac.uk/chembl/compound/inspect/CHEMBL454801","CHEMBL454801")</f>
        <v>CHEMBL454801</v>
      </c>
      <c r="D376" t="s">
        <v>1</v>
      </c>
      <c r="E376" t="s">
        <v>869</v>
      </c>
      <c r="F376" t="s">
        <v>870</v>
      </c>
      <c r="G376">
        <v>2</v>
      </c>
      <c r="H376" s="4">
        <v>10</v>
      </c>
    </row>
    <row r="377" spans="1:8" x14ac:dyDescent="0.2">
      <c r="A377" t="s">
        <v>871</v>
      </c>
      <c r="B377" s="1" t="str">
        <f>HYPERLINK("http://www.chemspider.com/Chemical-Structure.5395.html","5395")</f>
        <v>5395</v>
      </c>
      <c r="C377" s="1" t="str">
        <f>HYPERLINK("https://www.ebi.ac.uk/chembl/compound/inspect/CHEMBL1566956","CHEMBL1566956")</f>
        <v>CHEMBL1566956</v>
      </c>
      <c r="D377" t="s">
        <v>1</v>
      </c>
      <c r="E377" t="s">
        <v>872</v>
      </c>
      <c r="F377" t="s">
        <v>873</v>
      </c>
      <c r="G377">
        <v>0</v>
      </c>
      <c r="H377" s="4">
        <v>10.1</v>
      </c>
    </row>
    <row r="378" spans="1:8" x14ac:dyDescent="0.2">
      <c r="A378" t="s">
        <v>874</v>
      </c>
      <c r="B378" s="1" t="str">
        <f>HYPERLINK("http://www.chemspider.com/Chemical-Structure.5375.html","5375")</f>
        <v>5375</v>
      </c>
      <c r="C378" s="1" t="str">
        <f>HYPERLINK("https://www.ebi.ac.uk/chembl/compound/inspect/CHEMBL1201256","CHEMBL1201256")</f>
        <v>CHEMBL1201256</v>
      </c>
      <c r="D378" t="s">
        <v>9</v>
      </c>
      <c r="E378" t="s">
        <v>875</v>
      </c>
      <c r="F378" t="s">
        <v>876</v>
      </c>
      <c r="G378">
        <v>5</v>
      </c>
      <c r="H378" s="4">
        <v>10</v>
      </c>
    </row>
    <row r="379" spans="1:8" x14ac:dyDescent="0.2">
      <c r="A379" t="s">
        <v>877</v>
      </c>
      <c r="B379" s="1" t="str">
        <f>HYPERLINK("http://www.chemspider.com/Chemical-Structure.8054.html","8054")</f>
        <v>8054</v>
      </c>
      <c r="C379" s="1" t="str">
        <f>HYPERLINK("https://www.ebi.ac.uk/chembl/compound/inspect/CHEMBL377172","CHEMBL377172")</f>
        <v>CHEMBL377172</v>
      </c>
      <c r="D379" t="s">
        <v>1</v>
      </c>
      <c r="F379" t="s">
        <v>878</v>
      </c>
      <c r="G379">
        <v>0</v>
      </c>
      <c r="H379" s="4">
        <v>10</v>
      </c>
    </row>
    <row r="380" spans="1:8" x14ac:dyDescent="0.2">
      <c r="A380" t="s">
        <v>879</v>
      </c>
      <c r="B380" s="1" t="str">
        <f>HYPERLINK("http://www.chemspider.com/Chemical-Structure.5372.html","5372")</f>
        <v>5372</v>
      </c>
      <c r="C380" s="1" t="str">
        <f>HYPERLINK("https://www.ebi.ac.uk/chembl/compound/inspect/CHEMBL190044","CHEMBL190044")</f>
        <v>CHEMBL190044</v>
      </c>
      <c r="D380" t="s">
        <v>1</v>
      </c>
      <c r="E380" t="s">
        <v>880</v>
      </c>
      <c r="F380" t="s">
        <v>881</v>
      </c>
      <c r="G380">
        <v>3</v>
      </c>
      <c r="H380" s="4">
        <v>10</v>
      </c>
    </row>
    <row r="381" spans="1:8" x14ac:dyDescent="0.2">
      <c r="A381" t="s">
        <v>882</v>
      </c>
      <c r="B381" s="1" t="str">
        <f>HYPERLINK("http://www.chemspider.com/Chemical-Structure.5566.html","5566")</f>
        <v>5566</v>
      </c>
      <c r="C381" s="1" t="str">
        <f>HYPERLINK("https://www.ebi.ac.uk/chembl/compound/inspect/CHEMBL772","CHEMBL772")</f>
        <v>CHEMBL772</v>
      </c>
      <c r="D381" t="s">
        <v>9</v>
      </c>
      <c r="E381" t="s">
        <v>883</v>
      </c>
      <c r="F381" t="s">
        <v>884</v>
      </c>
      <c r="G381">
        <v>10</v>
      </c>
      <c r="H381" s="4">
        <v>10</v>
      </c>
    </row>
    <row r="382" spans="1:8" x14ac:dyDescent="0.2">
      <c r="A382" t="s">
        <v>885</v>
      </c>
      <c r="B382" s="1" t="str">
        <f>HYPERLINK("http://www.chemspider.com/Chemical-Structure.5376.html","5376")</f>
        <v>5376</v>
      </c>
      <c r="C382" s="1" t="str">
        <f>HYPERLINK("https://www.ebi.ac.uk/chembl/compound/inspect/CHEMBL22","CHEMBL22")</f>
        <v>CHEMBL22</v>
      </c>
      <c r="D382" t="s">
        <v>9</v>
      </c>
      <c r="E382" t="s">
        <v>886</v>
      </c>
      <c r="F382" t="s">
        <v>887</v>
      </c>
      <c r="G382">
        <v>320</v>
      </c>
      <c r="H382" s="4">
        <v>10</v>
      </c>
    </row>
    <row r="383" spans="1:8" x14ac:dyDescent="0.2">
      <c r="A383" t="s">
        <v>888</v>
      </c>
      <c r="B383" s="1" t="str">
        <f>HYPERLINK("http://www.chemspider.com/Chemical-Structure.642910.html","642910")</f>
        <v>642910</v>
      </c>
      <c r="C383" s="1" t="str">
        <f>HYPERLINK("https://www.ebi.ac.uk/chembl/compound/inspect/CHEMBL501235","CHEMBL501235")</f>
        <v>CHEMBL501235</v>
      </c>
      <c r="D383" t="s">
        <v>1</v>
      </c>
      <c r="F383" t="s">
        <v>889</v>
      </c>
      <c r="G383">
        <v>0</v>
      </c>
      <c r="H383" s="4">
        <v>10</v>
      </c>
    </row>
    <row r="384" spans="1:8" x14ac:dyDescent="0.2">
      <c r="A384" t="s">
        <v>890</v>
      </c>
      <c r="B384" s="1" t="str">
        <f>HYPERLINK("http://www.chemspider.com/Chemical-Structure.17947.html","17947")</f>
        <v>17947</v>
      </c>
      <c r="C384" s="1" t="str">
        <f>HYPERLINK("https://www.ebi.ac.uk/chembl/compound/inspect/CHEMBL206106","CHEMBL206106")</f>
        <v>CHEMBL206106</v>
      </c>
      <c r="D384" t="s">
        <v>1</v>
      </c>
      <c r="F384" t="s">
        <v>891</v>
      </c>
      <c r="G384">
        <v>0</v>
      </c>
      <c r="H384" s="4">
        <v>10</v>
      </c>
    </row>
    <row r="385" spans="1:8" x14ac:dyDescent="0.2">
      <c r="A385" t="s">
        <v>892</v>
      </c>
      <c r="B385" s="1" t="str">
        <f>HYPERLINK("http://www.chemspider.com/Chemical-Structure.4447573.html","4447573")</f>
        <v>4447573</v>
      </c>
      <c r="C385" s="1" t="str">
        <f>HYPERLINK("https://www.ebi.ac.uk/chembl/compound/inspect/CHEMBL1131","CHEMBL1131")</f>
        <v>CHEMBL1131</v>
      </c>
      <c r="D385" t="s">
        <v>9</v>
      </c>
      <c r="E385" t="s">
        <v>893</v>
      </c>
      <c r="F385" t="s">
        <v>894</v>
      </c>
      <c r="G385">
        <v>55</v>
      </c>
      <c r="H385" s="4">
        <v>9.9994146229999998</v>
      </c>
    </row>
    <row r="386" spans="1:8" x14ac:dyDescent="0.2">
      <c r="A386" t="s">
        <v>895</v>
      </c>
      <c r="B386" s="1" t="str">
        <f>HYPERLINK("http://www.chemspider.com/Chemical-Structure.21899.html","21899")</f>
        <v>21899</v>
      </c>
      <c r="C386" s="1" t="str">
        <f>HYPERLINK("https://www.ebi.ac.uk/chembl/compound/inspect/CHEMBL494760","CHEMBL494760")</f>
        <v>CHEMBL494760</v>
      </c>
      <c r="D386" t="s">
        <v>1</v>
      </c>
      <c r="E386" t="s">
        <v>896</v>
      </c>
      <c r="F386" t="s">
        <v>897</v>
      </c>
      <c r="G386">
        <v>0</v>
      </c>
      <c r="H386" s="4">
        <v>10</v>
      </c>
    </row>
    <row r="387" spans="1:8" x14ac:dyDescent="0.2">
      <c r="A387" t="s">
        <v>898</v>
      </c>
      <c r="B387" s="1" t="str">
        <f>HYPERLINK("http://www.chemspider.com/Chemical-Structure.4739.html","4739")</f>
        <v>4739</v>
      </c>
      <c r="C387" s="1" t="str">
        <f>HYPERLINK("https://www.ebi.ac.uk/chembl/compound/inspect/CHEMBL506","CHEMBL506")</f>
        <v>CHEMBL506</v>
      </c>
      <c r="D387" t="s">
        <v>9</v>
      </c>
      <c r="E387" t="s">
        <v>899</v>
      </c>
      <c r="F387" t="s">
        <v>900</v>
      </c>
      <c r="G387">
        <v>157</v>
      </c>
      <c r="H387" s="4">
        <v>10</v>
      </c>
    </row>
    <row r="388" spans="1:8" x14ac:dyDescent="0.2">
      <c r="A388" t="s">
        <v>901</v>
      </c>
      <c r="B388" s="1" t="str">
        <f>HYPERLINK("http://www.chemspider.com/Chemical-Structure.10621.html","10621")</f>
        <v>10621</v>
      </c>
      <c r="C388" s="1" t="str">
        <f>HYPERLINK("https://www.ebi.ac.uk/chembl/compound/inspect/CHEMBL1079227","CHEMBL1079227")</f>
        <v>CHEMBL1079227</v>
      </c>
      <c r="D388" t="s">
        <v>1</v>
      </c>
      <c r="E388" t="s">
        <v>902</v>
      </c>
      <c r="F388" t="s">
        <v>903</v>
      </c>
      <c r="G388">
        <v>0</v>
      </c>
      <c r="H388" s="4">
        <v>10</v>
      </c>
    </row>
    <row r="389" spans="1:8" x14ac:dyDescent="0.2">
      <c r="A389" t="s">
        <v>904</v>
      </c>
      <c r="B389" s="1" t="str">
        <f>HYPERLINK("http://www.chemspider.com/Chemical-Structure.10193.html","10193")</f>
        <v>10193</v>
      </c>
      <c r="C389" s="1" t="str">
        <f>HYPERLINK("https://www.ebi.ac.uk/chembl/compound/inspect/CHEMBL42624","CHEMBL42624")</f>
        <v>CHEMBL42624</v>
      </c>
      <c r="D389" t="s">
        <v>1</v>
      </c>
      <c r="E389" t="s">
        <v>905</v>
      </c>
      <c r="F389" t="s">
        <v>906</v>
      </c>
      <c r="G389">
        <v>0</v>
      </c>
      <c r="H389" s="4">
        <v>10</v>
      </c>
    </row>
    <row r="390" spans="1:8" x14ac:dyDescent="0.2">
      <c r="A390" t="s">
        <v>907</v>
      </c>
      <c r="B390" s="1" t="str">
        <f>HYPERLINK("http://www.chemspider.com/Chemical-Structure.19331.html","19331")</f>
        <v>19331</v>
      </c>
      <c r="C390" s="1" t="str">
        <f>HYPERLINK("https://www.ebi.ac.uk/chembl/compound/inspect/CHEMBL1164301","CHEMBL1164301")</f>
        <v>CHEMBL1164301</v>
      </c>
      <c r="D390" t="s">
        <v>1</v>
      </c>
      <c r="E390" t="s">
        <v>908</v>
      </c>
      <c r="F390" t="s">
        <v>909</v>
      </c>
      <c r="G390">
        <v>0</v>
      </c>
      <c r="H390" s="4">
        <v>10</v>
      </c>
    </row>
    <row r="391" spans="1:8" x14ac:dyDescent="0.2">
      <c r="A391" t="s">
        <v>910</v>
      </c>
      <c r="B391" s="1" t="str">
        <f>HYPERLINK("http://www.chemspider.com/Chemical-Structure.60021.html","60021")</f>
        <v>60021</v>
      </c>
      <c r="C391" s="1" t="str">
        <f>HYPERLINK("https://www.ebi.ac.uk/chembl/compound/inspect/CHEMBL450288","CHEMBL450288")</f>
        <v>CHEMBL450288</v>
      </c>
      <c r="D391" t="s">
        <v>1</v>
      </c>
      <c r="F391" t="s">
        <v>911</v>
      </c>
      <c r="G391">
        <v>0</v>
      </c>
      <c r="H391" s="4">
        <v>10</v>
      </c>
    </row>
    <row r="392" spans="1:8" x14ac:dyDescent="0.2">
      <c r="A392" t="s">
        <v>912</v>
      </c>
      <c r="B392" s="1" t="str">
        <f>HYPERLINK("http://www.chemspider.com/Chemical-Structure.2373.html","2373")</f>
        <v>2373</v>
      </c>
      <c r="C392" s="1" t="str">
        <f>HYPERLINK("https://www.ebi.ac.uk/chembl/compound/inspect/CHEMBL188921","CHEMBL188921")</f>
        <v>CHEMBL188921</v>
      </c>
      <c r="D392" t="s">
        <v>1</v>
      </c>
      <c r="E392" t="s">
        <v>913</v>
      </c>
      <c r="F392" t="s">
        <v>914</v>
      </c>
      <c r="G392">
        <v>1</v>
      </c>
      <c r="H392" s="4">
        <v>10</v>
      </c>
    </row>
    <row r="393" spans="1:8" x14ac:dyDescent="0.2">
      <c r="A393" t="s">
        <v>915</v>
      </c>
      <c r="B393" s="1" t="str">
        <f>HYPERLINK("http://www.chemspider.com/Chemical-Structure.63208.html","63208")</f>
        <v>63208</v>
      </c>
      <c r="G393">
        <v>0</v>
      </c>
      <c r="H393" s="4">
        <v>10</v>
      </c>
    </row>
    <row r="394" spans="1:8" x14ac:dyDescent="0.2">
      <c r="A394" t="s">
        <v>916</v>
      </c>
      <c r="B394" s="1" t="str">
        <f>HYPERLINK("http://www.chemspider.com/Chemical-Structure.4445042.html","4445042")</f>
        <v>4445042</v>
      </c>
      <c r="C394" s="1" t="str">
        <f>HYPERLINK("https://www.ebi.ac.uk/chembl/compound/inspect/CHEMBL83527","CHEMBL83527")</f>
        <v>CHEMBL83527</v>
      </c>
      <c r="D394" t="s">
        <v>1</v>
      </c>
      <c r="E394" t="s">
        <v>917</v>
      </c>
      <c r="F394" t="s">
        <v>918</v>
      </c>
      <c r="G394">
        <v>2</v>
      </c>
      <c r="H394" s="4">
        <v>10</v>
      </c>
    </row>
    <row r="395" spans="1:8" x14ac:dyDescent="0.2">
      <c r="A395" t="s">
        <v>919</v>
      </c>
      <c r="B395" s="1" t="str">
        <f>HYPERLINK("http://www.chemspider.com/Chemical-Structure.16280.html","16280")</f>
        <v>16280</v>
      </c>
      <c r="C395" s="1" t="str">
        <f>HYPERLINK("https://www.ebi.ac.uk/chembl/compound/inspect/CHEMBL224146","CHEMBL224146")</f>
        <v>CHEMBL224146</v>
      </c>
      <c r="D395" t="s">
        <v>1</v>
      </c>
      <c r="E395" t="s">
        <v>920</v>
      </c>
      <c r="F395" t="s">
        <v>921</v>
      </c>
      <c r="G395">
        <v>0</v>
      </c>
      <c r="H395" s="4">
        <v>10</v>
      </c>
    </row>
    <row r="396" spans="1:8" x14ac:dyDescent="0.2">
      <c r="A396" t="s">
        <v>922</v>
      </c>
      <c r="B396" s="1" t="str">
        <f>HYPERLINK("http://www.chemspider.com/Chemical-Structure.8333.html","8333")</f>
        <v>8333</v>
      </c>
      <c r="C396" s="1" t="str">
        <f>HYPERLINK("https://www.ebi.ac.uk/chembl/compound/inspect/CHEMBL225303","CHEMBL225303")</f>
        <v>CHEMBL225303</v>
      </c>
      <c r="D396" t="s">
        <v>1</v>
      </c>
      <c r="E396" t="s">
        <v>923</v>
      </c>
      <c r="F396" t="s">
        <v>924</v>
      </c>
      <c r="G396">
        <v>0</v>
      </c>
      <c r="H396" s="4">
        <v>10</v>
      </c>
    </row>
    <row r="397" spans="1:8" x14ac:dyDescent="0.2">
      <c r="A397" t="s">
        <v>925</v>
      </c>
      <c r="B397" s="1" t="str">
        <f>HYPERLINK("http://www.chemspider.com/Chemical-Structure.8155.html","8155")</f>
        <v>8155</v>
      </c>
      <c r="C397" s="1" t="str">
        <f>HYPERLINK("https://www.ebi.ac.uk/chembl/compound/inspect/CHEMBL120568","CHEMBL120568")</f>
        <v>CHEMBL120568</v>
      </c>
      <c r="D397" t="s">
        <v>1</v>
      </c>
      <c r="E397" t="s">
        <v>926</v>
      </c>
      <c r="F397" t="s">
        <v>927</v>
      </c>
      <c r="G397">
        <v>7726</v>
      </c>
      <c r="H397" s="4">
        <v>10</v>
      </c>
    </row>
    <row r="398" spans="1:8" x14ac:dyDescent="0.2">
      <c r="A398" t="s">
        <v>928</v>
      </c>
      <c r="B398" s="1" t="str">
        <f>HYPERLINK("http://www.chemspider.com/Chemical-Structure.13860434.html","13860434")</f>
        <v>13860434</v>
      </c>
      <c r="C398" s="1" t="str">
        <f>HYPERLINK("https://www.ebi.ac.uk/chembl/compound/inspect/CHEMBL13883","CHEMBL13883")</f>
        <v>CHEMBL13883</v>
      </c>
      <c r="D398" t="s">
        <v>1</v>
      </c>
      <c r="E398" t="s">
        <v>929</v>
      </c>
      <c r="F398" t="s">
        <v>930</v>
      </c>
      <c r="G398">
        <v>0</v>
      </c>
      <c r="H398" s="4">
        <v>10</v>
      </c>
    </row>
    <row r="399" spans="1:8" x14ac:dyDescent="0.2">
      <c r="A399" t="s">
        <v>931</v>
      </c>
      <c r="B399" s="1" t="str">
        <f>HYPERLINK("http://www.chemspider.com/Chemical-Structure.1675.html","1675")</f>
        <v>1675</v>
      </c>
      <c r="C399" s="1" t="str">
        <f>HYPERLINK("https://www.ebi.ac.uk/chembl/compound/inspect/CHEMBL1562","CHEMBL1562")</f>
        <v>CHEMBL1562</v>
      </c>
      <c r="D399" t="s">
        <v>1</v>
      </c>
      <c r="E399" t="s">
        <v>932</v>
      </c>
      <c r="F399" t="s">
        <v>933</v>
      </c>
      <c r="G399">
        <v>7727</v>
      </c>
      <c r="H399" s="4">
        <v>10</v>
      </c>
    </row>
    <row r="400" spans="1:8" x14ac:dyDescent="0.2">
      <c r="A400" t="s">
        <v>934</v>
      </c>
      <c r="B400" s="1" t="str">
        <f>HYPERLINK("http://www.chemspider.com/Chemical-Structure.13876103.html","13876103")</f>
        <v>13876103</v>
      </c>
      <c r="C400" s="1" t="str">
        <f>HYPERLINK("https://www.ebi.ac.uk/chembl/compound/inspect/CHEMBL42710","CHEMBL42710")</f>
        <v>CHEMBL42710</v>
      </c>
      <c r="D400" t="s">
        <v>1</v>
      </c>
      <c r="E400" t="s">
        <v>935</v>
      </c>
      <c r="F400" t="s">
        <v>936</v>
      </c>
      <c r="G400">
        <v>5</v>
      </c>
      <c r="H400" s="4">
        <v>10</v>
      </c>
    </row>
    <row r="401" spans="1:8" x14ac:dyDescent="0.2">
      <c r="A401" t="s">
        <v>937</v>
      </c>
      <c r="B401" s="1" t="str">
        <f>HYPERLINK("http://www.chemspider.com/Chemical-Structure.28952.html","28952")</f>
        <v>28952</v>
      </c>
      <c r="C401" s="1" t="str">
        <f>HYPERLINK("https://www.ebi.ac.uk/chembl/compound/inspect/CHEMBL25894","CHEMBL25894")</f>
        <v>CHEMBL25894</v>
      </c>
      <c r="D401" t="s">
        <v>1</v>
      </c>
      <c r="E401" t="s">
        <v>938</v>
      </c>
      <c r="F401" t="s">
        <v>939</v>
      </c>
      <c r="G401">
        <v>0</v>
      </c>
      <c r="H401" s="4">
        <v>10</v>
      </c>
    </row>
    <row r="402" spans="1:8" x14ac:dyDescent="0.2">
      <c r="A402" t="s">
        <v>940</v>
      </c>
      <c r="B402" s="1" t="str">
        <f>HYPERLINK("http://www.chemspider.com/Chemical-Structure.1265956.html","1265956")</f>
        <v>1265956</v>
      </c>
      <c r="C402" s="1" t="str">
        <f>HYPERLINK("https://www.ebi.ac.uk/chembl/compound/inspect/CHEMBL313971","CHEMBL313971")</f>
        <v>CHEMBL313971</v>
      </c>
      <c r="D402" t="s">
        <v>1</v>
      </c>
      <c r="E402" t="s">
        <v>941</v>
      </c>
      <c r="F402" t="s">
        <v>942</v>
      </c>
      <c r="G402">
        <v>8</v>
      </c>
      <c r="H402" s="4">
        <v>10</v>
      </c>
    </row>
    <row r="403" spans="1:8" x14ac:dyDescent="0.2">
      <c r="A403" t="s">
        <v>943</v>
      </c>
      <c r="B403" s="1" t="str">
        <f>HYPERLINK("http://www.chemspider.com/Chemical-Structure.1265957.html","1265957")</f>
        <v>1265957</v>
      </c>
      <c r="C403" s="1" t="str">
        <f>HYPERLINK("https://www.ebi.ac.uk/chembl/compound/inspect/CHEMBL294199","CHEMBL294199")</f>
        <v>CHEMBL294199</v>
      </c>
      <c r="D403" t="s">
        <v>9</v>
      </c>
      <c r="E403" t="s">
        <v>944</v>
      </c>
      <c r="F403" t="s">
        <v>945</v>
      </c>
      <c r="G403">
        <v>205</v>
      </c>
      <c r="H403" s="4">
        <v>10</v>
      </c>
    </row>
    <row r="404" spans="1:8" x14ac:dyDescent="0.2">
      <c r="A404" t="s">
        <v>946</v>
      </c>
      <c r="B404" s="1" t="str">
        <f>HYPERLINK("http://www.chemspider.com/Chemical-Structure.58845.html","58845")</f>
        <v>58845</v>
      </c>
      <c r="C404" s="1" t="str">
        <f>HYPERLINK("https://www.ebi.ac.uk/chembl/compound/inspect/CHEMBL368347","CHEMBL368347")</f>
        <v>CHEMBL368347</v>
      </c>
      <c r="D404" t="s">
        <v>1</v>
      </c>
      <c r="E404" t="s">
        <v>947</v>
      </c>
      <c r="F404" t="s">
        <v>948</v>
      </c>
      <c r="G404">
        <v>0</v>
      </c>
      <c r="H404" s="4">
        <v>10</v>
      </c>
    </row>
    <row r="405" spans="1:8" x14ac:dyDescent="0.2">
      <c r="A405" t="s">
        <v>949</v>
      </c>
      <c r="B405" s="1" t="str">
        <f>HYPERLINK("http://www.chemspider.com/Chemical-Structure.839564.html","839564")</f>
        <v>839564</v>
      </c>
      <c r="C405" s="1" t="str">
        <f>HYPERLINK("https://www.ebi.ac.uk/chembl/compound/inspect/CHEMBL140","CHEMBL140")</f>
        <v>CHEMBL140</v>
      </c>
      <c r="D405" t="s">
        <v>1</v>
      </c>
      <c r="F405" t="s">
        <v>950</v>
      </c>
      <c r="G405">
        <v>0</v>
      </c>
      <c r="H405" s="4">
        <v>10</v>
      </c>
    </row>
    <row r="406" spans="1:8" x14ac:dyDescent="0.2">
      <c r="A406" t="s">
        <v>951</v>
      </c>
      <c r="B406" s="1" t="str">
        <f>HYPERLINK("http://www.chemspider.com/Chemical-Structure.393368.html","393368")</f>
        <v>393368</v>
      </c>
      <c r="C406" s="1" t="str">
        <f>HYPERLINK("https://www.ebi.ac.uk/chembl/compound/inspect/CHEMBL32749","CHEMBL32749")</f>
        <v>CHEMBL32749</v>
      </c>
      <c r="D406" t="s">
        <v>1</v>
      </c>
      <c r="E406" t="s">
        <v>952</v>
      </c>
      <c r="F406" t="s">
        <v>953</v>
      </c>
      <c r="G406">
        <v>7729</v>
      </c>
      <c r="H406" s="4">
        <v>10</v>
      </c>
    </row>
    <row r="407" spans="1:8" x14ac:dyDescent="0.2">
      <c r="A407" t="s">
        <v>954</v>
      </c>
      <c r="B407" s="1" t="str">
        <f>HYPERLINK("http://www.chemspider.com/Chemical-Structure.3660.html","3660")</f>
        <v>3660</v>
      </c>
      <c r="C407" s="1" t="str">
        <f>HYPERLINK("https://www.ebi.ac.uk/chembl/compound/inspect/CHEMBL2107457","CHEMBL2107457")</f>
        <v>CHEMBL2107457</v>
      </c>
      <c r="D407" t="s">
        <v>1</v>
      </c>
      <c r="E407" t="s">
        <v>955</v>
      </c>
      <c r="F407" t="s">
        <v>956</v>
      </c>
      <c r="G407">
        <v>33</v>
      </c>
      <c r="H407" s="4">
        <v>10</v>
      </c>
    </row>
    <row r="408" spans="1:8" x14ac:dyDescent="0.2">
      <c r="A408" t="s">
        <v>957</v>
      </c>
      <c r="B408" s="1" t="str">
        <f>HYPERLINK("http://www.chemspider.com/Chemical-Structure.2425.html","2425")</f>
        <v>2425</v>
      </c>
      <c r="C408" s="1" t="str">
        <f>HYPERLINK("https://www.ebi.ac.uk/chembl/compound/inspect/CHEMBL6966","CHEMBL6966")</f>
        <v>CHEMBL6966</v>
      </c>
      <c r="D408" t="s">
        <v>9</v>
      </c>
      <c r="E408" t="s">
        <v>958</v>
      </c>
      <c r="F408" t="s">
        <v>959</v>
      </c>
      <c r="G408">
        <v>0</v>
      </c>
      <c r="H408" s="4">
        <v>10</v>
      </c>
    </row>
    <row r="409" spans="1:8" x14ac:dyDescent="0.2">
      <c r="A409" t="s">
        <v>960</v>
      </c>
      <c r="B409" s="1" t="str">
        <f>HYPERLINK("http://www.chemspider.com/Chemical-Structure.5225.html","5225")</f>
        <v>5225</v>
      </c>
      <c r="C409" s="1" t="str">
        <f>HYPERLINK("https://www.ebi.ac.uk/chembl/compound/inspect/CHEMBL160919","CHEMBL160919")</f>
        <v>CHEMBL160919</v>
      </c>
      <c r="D409" t="s">
        <v>1</v>
      </c>
      <c r="E409" t="s">
        <v>961</v>
      </c>
      <c r="F409" t="s">
        <v>962</v>
      </c>
      <c r="G409">
        <v>0</v>
      </c>
      <c r="H409" s="4">
        <v>10</v>
      </c>
    </row>
    <row r="410" spans="1:8" x14ac:dyDescent="0.2">
      <c r="A410" t="s">
        <v>963</v>
      </c>
      <c r="B410" s="1" t="str">
        <f>HYPERLINK("http://www.chemspider.com/Chemical-Structure.8114.html","8114")</f>
        <v>8114</v>
      </c>
      <c r="C410" s="1" t="str">
        <f>HYPERLINK("https://www.ebi.ac.uk/chembl/compound/inspect/CHEMBL26019","CHEMBL26019")</f>
        <v>CHEMBL26019</v>
      </c>
      <c r="D410" t="s">
        <v>1</v>
      </c>
      <c r="F410" t="s">
        <v>964</v>
      </c>
      <c r="G410">
        <v>0</v>
      </c>
      <c r="H410" s="4">
        <v>10</v>
      </c>
    </row>
    <row r="411" spans="1:8" x14ac:dyDescent="0.2">
      <c r="A411" t="s">
        <v>965</v>
      </c>
      <c r="B411" s="1" t="str">
        <f>HYPERLINK("http://www.chemspider.com/Chemical-Structure.13133662.html","13133662")</f>
        <v>13133662</v>
      </c>
      <c r="G411">
        <v>0</v>
      </c>
      <c r="H411" s="4">
        <v>10</v>
      </c>
    </row>
    <row r="412" spans="1:8" x14ac:dyDescent="0.2">
      <c r="A412" t="s">
        <v>966</v>
      </c>
      <c r="B412" s="1" t="str">
        <f>HYPERLINK("http://www.chemspider.com/Chemical-Structure.56615.html","56615")</f>
        <v>56615</v>
      </c>
      <c r="C412" s="1" t="str">
        <f>HYPERLINK("https://www.ebi.ac.uk/chembl/compound/inspect/CHEMBL1201248","CHEMBL1201248")</f>
        <v>CHEMBL1201248</v>
      </c>
      <c r="D412" t="s">
        <v>9</v>
      </c>
      <c r="E412" t="s">
        <v>967</v>
      </c>
      <c r="F412" t="s">
        <v>968</v>
      </c>
      <c r="G412">
        <v>37</v>
      </c>
      <c r="H412" s="4">
        <v>10</v>
      </c>
    </row>
    <row r="413" spans="1:8" x14ac:dyDescent="0.2">
      <c r="A413" t="s">
        <v>969</v>
      </c>
      <c r="B413" s="1" t="str">
        <f>HYPERLINK("http://www.chemspider.com/Chemical-Structure.4518.html","4518")</f>
        <v>4518</v>
      </c>
      <c r="C413" s="1" t="str">
        <f>HYPERLINK("https://www.ebi.ac.uk/chembl/compound/inspect/CHEMBL19224","CHEMBL19224")</f>
        <v>CHEMBL19224</v>
      </c>
      <c r="D413" t="s">
        <v>1</v>
      </c>
      <c r="E413" t="s">
        <v>970</v>
      </c>
      <c r="F413" t="s">
        <v>971</v>
      </c>
      <c r="G413">
        <v>19</v>
      </c>
      <c r="H413" s="4">
        <v>10</v>
      </c>
    </row>
    <row r="414" spans="1:8" x14ac:dyDescent="0.2">
      <c r="A414" t="s">
        <v>972</v>
      </c>
      <c r="B414" s="1" t="str">
        <f>HYPERLINK("http://www.chemspider.com/Chemical-Structure.4445411.html","4445411")</f>
        <v>4445411</v>
      </c>
      <c r="C414" s="1" t="str">
        <f>HYPERLINK("https://www.ebi.ac.uk/chembl/compound/inspect/CHEMBL415324","CHEMBL415324")</f>
        <v>CHEMBL415324</v>
      </c>
      <c r="D414" t="s">
        <v>1</v>
      </c>
      <c r="E414" t="s">
        <v>973</v>
      </c>
      <c r="F414" t="s">
        <v>974</v>
      </c>
      <c r="G414">
        <v>30</v>
      </c>
      <c r="H414" s="4">
        <v>10</v>
      </c>
    </row>
    <row r="415" spans="1:8" x14ac:dyDescent="0.2">
      <c r="A415" t="s">
        <v>975</v>
      </c>
      <c r="B415" s="1" t="str">
        <f>HYPERLINK("http://www.chemspider.com/Chemical-Structure.5796.html","5796")</f>
        <v>5796</v>
      </c>
      <c r="C415" s="1" t="str">
        <f>HYPERLINK("https://www.ebi.ac.uk/chembl/compound/inspect/CHEMBL117785","CHEMBL117785")</f>
        <v>CHEMBL117785</v>
      </c>
      <c r="D415" t="s">
        <v>9</v>
      </c>
      <c r="E415" t="s">
        <v>976</v>
      </c>
      <c r="F415" t="s">
        <v>977</v>
      </c>
      <c r="G415">
        <v>22</v>
      </c>
      <c r="H415" s="4">
        <v>9.9990878480000003</v>
      </c>
    </row>
    <row r="416" spans="1:8" x14ac:dyDescent="0.2">
      <c r="A416" t="s">
        <v>978</v>
      </c>
      <c r="B416" s="1" t="str">
        <f>HYPERLINK("http://www.chemspider.com/Chemical-Structure.6054.html","6054")</f>
        <v>6054</v>
      </c>
      <c r="C416" s="1" t="str">
        <f>HYPERLINK("https://www.ebi.ac.uk/chembl/compound/inspect/CHEMBL1201151","CHEMBL1201151")</f>
        <v>CHEMBL1201151</v>
      </c>
      <c r="D416" t="s">
        <v>9</v>
      </c>
      <c r="E416" t="s">
        <v>979</v>
      </c>
      <c r="F416" t="s">
        <v>980</v>
      </c>
      <c r="G416">
        <v>6</v>
      </c>
      <c r="H416" s="4">
        <v>10</v>
      </c>
    </row>
    <row r="417" spans="1:8" x14ac:dyDescent="0.2">
      <c r="A417" t="s">
        <v>981</v>
      </c>
      <c r="B417" s="1" t="str">
        <f>HYPERLINK("http://www.chemspider.com/Chemical-Structure.37302.html","37302")</f>
        <v>37302</v>
      </c>
      <c r="C417" s="1" t="str">
        <f>HYPERLINK("https://www.ebi.ac.uk/chembl/compound/inspect/CHEMBL219146","CHEMBL219146")</f>
        <v>CHEMBL219146</v>
      </c>
      <c r="D417" t="s">
        <v>1</v>
      </c>
      <c r="E417" t="s">
        <v>982</v>
      </c>
      <c r="F417" t="s">
        <v>983</v>
      </c>
      <c r="G417">
        <v>64</v>
      </c>
      <c r="H417" s="4">
        <v>9.6999999999999993</v>
      </c>
    </row>
    <row r="418" spans="1:8" x14ac:dyDescent="0.2">
      <c r="A418" t="s">
        <v>984</v>
      </c>
      <c r="B418" s="1" t="str">
        <f>HYPERLINK("http://www.chemspider.com/Chemical-Structure.211446.html","211446")</f>
        <v>211446</v>
      </c>
      <c r="C418" s="1" t="str">
        <f>HYPERLINK("https://www.ebi.ac.uk/chembl/compound/inspect/CHEMBL22969","CHEMBL22969")</f>
        <v>CHEMBL22969</v>
      </c>
      <c r="D418" t="s">
        <v>1</v>
      </c>
      <c r="F418" t="s">
        <v>985</v>
      </c>
      <c r="G418">
        <v>0</v>
      </c>
      <c r="H418" s="4">
        <v>11.2</v>
      </c>
    </row>
    <row r="419" spans="1:8" x14ac:dyDescent="0.2">
      <c r="A419" t="s">
        <v>986</v>
      </c>
      <c r="B419" s="1" t="str">
        <f>HYPERLINK("http://www.chemspider.com/Chemical-Structure.13109865.html","13109865")</f>
        <v>13109865</v>
      </c>
      <c r="C419" s="1" t="str">
        <f>HYPERLINK("https://www.ebi.ac.uk/chembl/compound/inspect/CHEMBL52440","CHEMBL52440")</f>
        <v>CHEMBL52440</v>
      </c>
      <c r="D419" t="s">
        <v>9</v>
      </c>
      <c r="E419" t="s">
        <v>987</v>
      </c>
      <c r="F419" t="s">
        <v>988</v>
      </c>
      <c r="G419">
        <v>155</v>
      </c>
      <c r="H419" s="4">
        <v>10</v>
      </c>
    </row>
    <row r="420" spans="1:8" x14ac:dyDescent="0.2">
      <c r="A420" t="s">
        <v>989</v>
      </c>
      <c r="B420" s="1" t="str">
        <f>HYPERLINK("http://www.chemspider.com/Chemical-Structure.10211258.html","10211258")</f>
        <v>10211258</v>
      </c>
      <c r="C420" s="1" t="str">
        <f>HYPERLINK("https://www.ebi.ac.uk/chembl/compound/inspect/CHEMBL340807","CHEMBL340807")</f>
        <v>CHEMBL340807</v>
      </c>
      <c r="D420" t="s">
        <v>1</v>
      </c>
      <c r="E420" t="s">
        <v>990</v>
      </c>
      <c r="F420" t="s">
        <v>991</v>
      </c>
      <c r="G420">
        <v>0</v>
      </c>
      <c r="H420" s="4">
        <v>10</v>
      </c>
    </row>
    <row r="421" spans="1:8" x14ac:dyDescent="0.2">
      <c r="A421" t="s">
        <v>992</v>
      </c>
      <c r="B421" s="1" t="str">
        <f>HYPERLINK("http://www.chemspider.com/Chemical-Structure.4444445.html","4444445")</f>
        <v>4444445</v>
      </c>
      <c r="C421" s="1" t="str">
        <f>HYPERLINK("https://www.ebi.ac.uk/chembl/compound/inspect/CHEMBL269538","CHEMBL269538")</f>
        <v>CHEMBL269538</v>
      </c>
      <c r="D421" t="s">
        <v>1</v>
      </c>
      <c r="E421" t="s">
        <v>993</v>
      </c>
      <c r="F421" t="s">
        <v>994</v>
      </c>
      <c r="G421">
        <v>0</v>
      </c>
      <c r="H421" s="4">
        <v>10</v>
      </c>
    </row>
    <row r="422" spans="1:8" x14ac:dyDescent="0.2">
      <c r="A422" t="s">
        <v>995</v>
      </c>
      <c r="B422" s="1" t="str">
        <f>HYPERLINK("http://www.chemspider.com/Chemical-Structure.3040.html","3040")</f>
        <v>3040</v>
      </c>
      <c r="C422" s="1" t="str">
        <f>HYPERLINK("https://www.ebi.ac.uk/chembl/compound/inspect/CHEMBL502","CHEMBL502")</f>
        <v>CHEMBL502</v>
      </c>
      <c r="D422" t="s">
        <v>9</v>
      </c>
      <c r="E422" t="s">
        <v>996</v>
      </c>
      <c r="F422" t="s">
        <v>997</v>
      </c>
      <c r="G422">
        <v>558</v>
      </c>
      <c r="H422" s="4">
        <v>10</v>
      </c>
    </row>
    <row r="423" spans="1:8" x14ac:dyDescent="0.2">
      <c r="A423" t="s">
        <v>998</v>
      </c>
      <c r="B423" s="1" t="str">
        <f>HYPERLINK("http://www.chemspider.com/Chemical-Structure.97138.html","97138")</f>
        <v>97138</v>
      </c>
      <c r="C423" s="1" t="str">
        <f>HYPERLINK("https://www.ebi.ac.uk/chembl/compound/inspect/CHEMBL18785","CHEMBL18785")</f>
        <v>CHEMBL18785</v>
      </c>
      <c r="D423" t="s">
        <v>1</v>
      </c>
      <c r="E423" t="s">
        <v>999</v>
      </c>
      <c r="F423" t="s">
        <v>1000</v>
      </c>
      <c r="G423">
        <v>0</v>
      </c>
      <c r="H423" s="4">
        <v>10.1</v>
      </c>
    </row>
    <row r="424" spans="1:8" x14ac:dyDescent="0.2">
      <c r="A424" t="s">
        <v>1001</v>
      </c>
      <c r="B424" s="1" t="str">
        <f>HYPERLINK("http://www.chemspider.com/Chemical-Structure.10609889.html","10609889")</f>
        <v>10609889</v>
      </c>
      <c r="C424" s="1" t="str">
        <f>HYPERLINK("https://www.ebi.ac.uk/chembl/compound/inspect/CHEMBL76370","CHEMBL76370")</f>
        <v>CHEMBL76370</v>
      </c>
      <c r="D424" t="s">
        <v>9</v>
      </c>
      <c r="E424" t="s">
        <v>1002</v>
      </c>
      <c r="F424" t="s">
        <v>1003</v>
      </c>
      <c r="G424">
        <v>51</v>
      </c>
      <c r="H424" s="4">
        <v>10</v>
      </c>
    </row>
    <row r="425" spans="1:8" x14ac:dyDescent="0.2">
      <c r="A425" t="s">
        <v>1004</v>
      </c>
      <c r="B425" s="1" t="str">
        <f>HYPERLINK("http://www.chemspider.com/Chemical-Structure.1767.html","1767")</f>
        <v>1767</v>
      </c>
      <c r="C425" s="1" t="str">
        <f>HYPERLINK("https://www.ebi.ac.uk/chembl/compound/inspect/CHEMBL8165","CHEMBL8165")</f>
        <v>CHEMBL8165</v>
      </c>
      <c r="D425" t="s">
        <v>1</v>
      </c>
      <c r="E425" t="s">
        <v>1005</v>
      </c>
      <c r="F425" t="s">
        <v>1006</v>
      </c>
      <c r="G425">
        <v>8</v>
      </c>
      <c r="H425" s="4">
        <v>10</v>
      </c>
    </row>
    <row r="426" spans="1:8" x14ac:dyDescent="0.2">
      <c r="A426" t="s">
        <v>1007</v>
      </c>
      <c r="B426" s="1" t="str">
        <f>HYPERLINK("http://www.chemspider.com/Chemical-Structure.872.html","872")</f>
        <v>872</v>
      </c>
      <c r="C426" s="1" t="str">
        <f>HYPERLINK("https://www.ebi.ac.uk/chembl/compound/inspect/CHEMBL45","CHEMBL45")</f>
        <v>CHEMBL45</v>
      </c>
      <c r="D426" t="s">
        <v>1</v>
      </c>
      <c r="E426" t="s">
        <v>1008</v>
      </c>
      <c r="F426" t="s">
        <v>1009</v>
      </c>
      <c r="G426">
        <v>431</v>
      </c>
      <c r="H426" s="4">
        <v>10</v>
      </c>
    </row>
    <row r="427" spans="1:8" x14ac:dyDescent="0.2">
      <c r="A427" t="s">
        <v>1010</v>
      </c>
      <c r="B427" s="1" t="str">
        <f>HYPERLINK("http://www.chemspider.com/Chemical-Structure.4256.html","4256")</f>
        <v>4256</v>
      </c>
      <c r="C427" s="1" t="str">
        <f>HYPERLINK("https://www.ebi.ac.uk/chembl/compound/inspect/CHEMBL1070","CHEMBL1070")</f>
        <v>CHEMBL1070</v>
      </c>
      <c r="D427" t="s">
        <v>9</v>
      </c>
      <c r="E427" t="s">
        <v>1011</v>
      </c>
      <c r="F427" t="s">
        <v>1012</v>
      </c>
      <c r="G427">
        <v>17</v>
      </c>
      <c r="H427" s="4">
        <v>10</v>
      </c>
    </row>
    <row r="428" spans="1:8" x14ac:dyDescent="0.2">
      <c r="A428" t="s">
        <v>1013</v>
      </c>
      <c r="B428" s="1" t="str">
        <f>HYPERLINK("http://www.chemspider.com/Chemical-Structure.137720.html","137720")</f>
        <v>137720</v>
      </c>
      <c r="C428" s="1" t="str">
        <f>HYPERLINK("https://www.ebi.ac.uk/chembl/compound/inspect/CHEMBL154","CHEMBL154")</f>
        <v>CHEMBL154</v>
      </c>
      <c r="D428" t="s">
        <v>9</v>
      </c>
      <c r="E428" t="s">
        <v>1014</v>
      </c>
      <c r="F428" t="s">
        <v>1015</v>
      </c>
      <c r="G428">
        <v>553</v>
      </c>
      <c r="H428" s="4">
        <v>10</v>
      </c>
    </row>
    <row r="429" spans="1:8" x14ac:dyDescent="0.2">
      <c r="A429" t="s">
        <v>1016</v>
      </c>
      <c r="B429" s="1" t="str">
        <f>HYPERLINK("http://www.chemspider.com/Chemical-Structure.9826088.html","9826088")</f>
        <v>9826088</v>
      </c>
      <c r="G429">
        <v>0</v>
      </c>
      <c r="H429" s="4">
        <v>20</v>
      </c>
    </row>
    <row r="430" spans="1:8" x14ac:dyDescent="0.2">
      <c r="A430" t="s">
        <v>1017</v>
      </c>
      <c r="B430" s="1" t="str">
        <f>HYPERLINK("http://www.chemspider.com/Chemical-Structure.84806.html","84806")</f>
        <v>84806</v>
      </c>
      <c r="G430">
        <v>0</v>
      </c>
      <c r="H430" s="4">
        <v>20</v>
      </c>
    </row>
    <row r="431" spans="1:8" x14ac:dyDescent="0.2">
      <c r="A431" t="s">
        <v>1018</v>
      </c>
      <c r="B431" s="1" t="str">
        <f>HYPERLINK("http://www.chemspider.com/Chemical-Structure.21795.html","21795")</f>
        <v>21795</v>
      </c>
      <c r="C431" s="1" t="str">
        <f>HYPERLINK("https://www.ebi.ac.uk/chembl/compound/inspect/CHEMBL1184668","CHEMBL1184668")</f>
        <v>CHEMBL1184668</v>
      </c>
      <c r="D431" t="s">
        <v>1</v>
      </c>
      <c r="G431">
        <v>0</v>
      </c>
      <c r="H431" s="4">
        <v>10</v>
      </c>
    </row>
    <row r="432" spans="1:8" x14ac:dyDescent="0.2">
      <c r="A432" t="s">
        <v>1019</v>
      </c>
      <c r="B432" s="1" t="str">
        <f>HYPERLINK("http://www.chemspider.com/Chemical-Structure.8231.html","8231")</f>
        <v>8231</v>
      </c>
      <c r="C432" s="1" t="str">
        <f>HYPERLINK("https://www.ebi.ac.uk/chembl/compound/inspect/CHEMBL387326","CHEMBL387326")</f>
        <v>CHEMBL387326</v>
      </c>
      <c r="D432" t="s">
        <v>9</v>
      </c>
      <c r="E432" t="s">
        <v>1020</v>
      </c>
      <c r="F432" t="s">
        <v>1021</v>
      </c>
      <c r="G432">
        <v>95</v>
      </c>
      <c r="H432" s="4">
        <v>10</v>
      </c>
    </row>
    <row r="433" spans="1:8" x14ac:dyDescent="0.2">
      <c r="A433" t="s">
        <v>1022</v>
      </c>
      <c r="B433" s="1" t="str">
        <f>HYPERLINK("http://www.chemspider.com/Chemical-Structure.84989.html","84989")</f>
        <v>84989</v>
      </c>
      <c r="C433" s="1" t="str">
        <f>HYPERLINK("https://www.ebi.ac.uk/chembl/compound/inspect/CHEMBL170","CHEMBL170")</f>
        <v>CHEMBL170</v>
      </c>
      <c r="D433" t="s">
        <v>1</v>
      </c>
      <c r="F433" t="s">
        <v>1023</v>
      </c>
      <c r="G433">
        <v>0</v>
      </c>
      <c r="H433" s="4">
        <v>10</v>
      </c>
    </row>
    <row r="434" spans="1:8" x14ac:dyDescent="0.2">
      <c r="A434" t="s">
        <v>1024</v>
      </c>
      <c r="B434" s="1" t="str">
        <f>HYPERLINK("http://www.chemspider.com/Chemical-Structure.84989.html","84989")</f>
        <v>84989</v>
      </c>
      <c r="C434" s="1" t="str">
        <f>HYPERLINK("https://www.ebi.ac.uk/chembl/compound/inspect/CHEMBL170","CHEMBL170")</f>
        <v>CHEMBL170</v>
      </c>
      <c r="D434" t="s">
        <v>1</v>
      </c>
      <c r="F434" t="s">
        <v>1023</v>
      </c>
      <c r="G434">
        <v>0</v>
      </c>
      <c r="H434" s="4">
        <v>10</v>
      </c>
    </row>
    <row r="435" spans="1:8" x14ac:dyDescent="0.2">
      <c r="A435" t="s">
        <v>1025</v>
      </c>
      <c r="B435" s="1" t="str">
        <f>HYPERLINK("http://www.chemspider.com/Chemical-Structure.389880.html","389880")</f>
        <v>389880</v>
      </c>
      <c r="C435" s="1" t="str">
        <f>HYPERLINK("https://www.ebi.ac.uk/chembl/compound/inspect/CHEMBL1294","CHEMBL1294")</f>
        <v>CHEMBL1294</v>
      </c>
      <c r="D435" t="s">
        <v>1</v>
      </c>
      <c r="E435" t="s">
        <v>1026</v>
      </c>
      <c r="F435" t="s">
        <v>1027</v>
      </c>
      <c r="G435">
        <v>63</v>
      </c>
      <c r="H435" s="4">
        <v>10</v>
      </c>
    </row>
    <row r="436" spans="1:8" x14ac:dyDescent="0.2">
      <c r="A436" t="s">
        <v>1028</v>
      </c>
      <c r="B436" s="1" t="str">
        <f>HYPERLINK("http://www.chemspider.com/Chemical-Structure.82624.html","82624")</f>
        <v>82624</v>
      </c>
      <c r="C436" s="1" t="str">
        <f>HYPERLINK("https://www.ebi.ac.uk/chembl/compound/inspect/CHEMBL531472","CHEMBL531472")</f>
        <v>CHEMBL531472</v>
      </c>
      <c r="D436" t="s">
        <v>1</v>
      </c>
      <c r="G436">
        <v>0</v>
      </c>
      <c r="H436" s="4">
        <v>10</v>
      </c>
    </row>
    <row r="437" spans="1:8" x14ac:dyDescent="0.2">
      <c r="A437" t="s">
        <v>1029</v>
      </c>
      <c r="B437" s="1" t="str">
        <f>HYPERLINK("http://www.chemspider.com/Chemical-Structure.426608.html","426608")</f>
        <v>426608</v>
      </c>
      <c r="C437" s="1" t="str">
        <f>HYPERLINK("https://www.ebi.ac.uk/chembl/compound/inspect/CHEMBL44889","CHEMBL44889")</f>
        <v>CHEMBL44889</v>
      </c>
      <c r="D437" t="s">
        <v>1</v>
      </c>
      <c r="G437">
        <v>0</v>
      </c>
      <c r="H437" s="4">
        <v>20</v>
      </c>
    </row>
    <row r="438" spans="1:8" x14ac:dyDescent="0.2">
      <c r="A438" t="s">
        <v>1030</v>
      </c>
      <c r="B438" s="1" t="str">
        <f>HYPERLINK("http://www.chemspider.com/Chemical-Structure.4050.html","4050")</f>
        <v>4050</v>
      </c>
      <c r="C438" s="1" t="str">
        <f>HYPERLINK("https://www.ebi.ac.uk/chembl/compound/inspect/CHEMBL1201212","CHEMBL1201212")</f>
        <v>CHEMBL1201212</v>
      </c>
      <c r="D438" t="s">
        <v>9</v>
      </c>
      <c r="E438" t="s">
        <v>1031</v>
      </c>
      <c r="F438" t="s">
        <v>1032</v>
      </c>
      <c r="G438">
        <v>84</v>
      </c>
      <c r="H438" s="4">
        <v>10</v>
      </c>
    </row>
    <row r="439" spans="1:8" x14ac:dyDescent="0.2">
      <c r="A439" t="s">
        <v>1033</v>
      </c>
      <c r="G439">
        <v>0</v>
      </c>
      <c r="H439" s="4">
        <v>20</v>
      </c>
    </row>
    <row r="440" spans="1:8" x14ac:dyDescent="0.2">
      <c r="A440" t="s">
        <v>1034</v>
      </c>
      <c r="B440" s="1" t="str">
        <f>HYPERLINK("http://www.chemspider.com/Chemical-Structure.5454.html","5454")</f>
        <v>5454</v>
      </c>
      <c r="C440" s="1" t="str">
        <f>HYPERLINK("https://www.ebi.ac.uk/chembl/compound/inspect/CHEMBL637","CHEMBL637")</f>
        <v>CHEMBL637</v>
      </c>
      <c r="D440" t="s">
        <v>9</v>
      </c>
      <c r="E440" t="s">
        <v>1035</v>
      </c>
      <c r="F440" t="s">
        <v>1036</v>
      </c>
      <c r="G440">
        <v>381</v>
      </c>
      <c r="H440" s="4">
        <v>10</v>
      </c>
    </row>
    <row r="441" spans="1:8" x14ac:dyDescent="0.2">
      <c r="A441" t="s">
        <v>1037</v>
      </c>
      <c r="B441" s="1" t="str">
        <f>HYPERLINK("http://www.chemspider.com/Chemical-Structure.10181338.html","10181338")</f>
        <v>10181338</v>
      </c>
      <c r="C441" s="1" t="str">
        <f>HYPERLINK("https://www.ebi.ac.uk/chembl/compound/inspect/CHEMBL21932","CHEMBL21932")</f>
        <v>CHEMBL21932</v>
      </c>
      <c r="D441" t="s">
        <v>1</v>
      </c>
      <c r="E441" t="s">
        <v>1038</v>
      </c>
      <c r="F441" t="s">
        <v>1039</v>
      </c>
      <c r="G441">
        <v>7729</v>
      </c>
      <c r="H441" s="4">
        <v>10</v>
      </c>
    </row>
    <row r="442" spans="1:8" x14ac:dyDescent="0.2">
      <c r="A442" t="s">
        <v>1040</v>
      </c>
      <c r="B442" s="1" t="str">
        <f>HYPERLINK("http://www.chemspider.com/Chemical-Structure.13850247.html","13850247")</f>
        <v>13850247</v>
      </c>
      <c r="C442" s="1" t="str">
        <f>HYPERLINK("https://www.ebi.ac.uk/chembl/compound/inspect/CHEMBL470671","CHEMBL470671")</f>
        <v>CHEMBL470671</v>
      </c>
      <c r="D442" t="s">
        <v>1</v>
      </c>
      <c r="E442" t="s">
        <v>1041</v>
      </c>
      <c r="F442" t="s">
        <v>1042</v>
      </c>
      <c r="G442">
        <v>0</v>
      </c>
      <c r="H442" s="4">
        <v>10</v>
      </c>
    </row>
    <row r="443" spans="1:8" x14ac:dyDescent="0.2">
      <c r="A443" t="s">
        <v>1043</v>
      </c>
      <c r="B443" s="1" t="str">
        <f>HYPERLINK("http://www.chemspider.com/Chemical-Structure.86435.html","86435")</f>
        <v>86435</v>
      </c>
      <c r="C443" s="1" t="str">
        <f>HYPERLINK("https://www.ebi.ac.uk/chembl/compound/inspect/CHEMBL1738950","CHEMBL1738950")</f>
        <v>CHEMBL1738950</v>
      </c>
      <c r="D443" t="s">
        <v>1</v>
      </c>
      <c r="F443" t="s">
        <v>1044</v>
      </c>
      <c r="G443">
        <v>0</v>
      </c>
      <c r="H443" s="4">
        <v>10</v>
      </c>
    </row>
    <row r="444" spans="1:8" x14ac:dyDescent="0.2">
      <c r="A444" t="s">
        <v>1045</v>
      </c>
      <c r="B444" s="1" t="str">
        <f>HYPERLINK("http://www.chemspider.com/Chemical-Structure.2299166.html","2299166")</f>
        <v>2299166</v>
      </c>
      <c r="C444" s="1" t="str">
        <f>HYPERLINK("https://www.ebi.ac.uk/chembl/compound/inspect/CHEMBL1433762","CHEMBL1433762")</f>
        <v>CHEMBL1433762</v>
      </c>
      <c r="D444" t="s">
        <v>1</v>
      </c>
      <c r="F444" t="s">
        <v>1046</v>
      </c>
      <c r="G444">
        <v>0</v>
      </c>
      <c r="H444" s="4">
        <v>10</v>
      </c>
    </row>
    <row r="445" spans="1:8" x14ac:dyDescent="0.2">
      <c r="A445" t="s">
        <v>1047</v>
      </c>
      <c r="B445" s="1" t="str">
        <f>HYPERLINK("http://www.chemspider.com/Chemical-Structure.222267.html","222267")</f>
        <v>222267</v>
      </c>
      <c r="C445" s="1" t="str">
        <f>HYPERLINK("https://www.ebi.ac.uk/chembl/compound/inspect/CHEMBL423192","CHEMBL423192")</f>
        <v>CHEMBL423192</v>
      </c>
      <c r="D445" t="s">
        <v>1</v>
      </c>
      <c r="E445" t="s">
        <v>1048</v>
      </c>
      <c r="F445" t="s">
        <v>1049</v>
      </c>
      <c r="G445">
        <v>0</v>
      </c>
      <c r="H445" s="4">
        <v>10</v>
      </c>
    </row>
    <row r="446" spans="1:8" x14ac:dyDescent="0.2">
      <c r="A446" t="s">
        <v>1050</v>
      </c>
      <c r="B446" s="1" t="str">
        <f>HYPERLINK("http://www.chemspider.com/Chemical-Structure.553166.html","553166")</f>
        <v>553166</v>
      </c>
      <c r="C446" s="1" t="str">
        <f>HYPERLINK("https://www.ebi.ac.uk/chembl/compound/inspect/CHEMBL452630","CHEMBL452630")</f>
        <v>CHEMBL452630</v>
      </c>
      <c r="D446" t="s">
        <v>1</v>
      </c>
      <c r="E446" t="s">
        <v>1051</v>
      </c>
      <c r="F446" t="s">
        <v>1052</v>
      </c>
      <c r="G446">
        <v>0</v>
      </c>
      <c r="H446" s="4">
        <v>10</v>
      </c>
    </row>
    <row r="447" spans="1:8" x14ac:dyDescent="0.2">
      <c r="A447" t="s">
        <v>1053</v>
      </c>
      <c r="B447" s="1" t="str">
        <f>HYPERLINK("http://www.chemspider.com/Chemical-Structure.4978739.html","4978739")</f>
        <v>4978739</v>
      </c>
      <c r="C447" s="1" t="str">
        <f>HYPERLINK("https://www.ebi.ac.uk/chembl/compound/inspect/CHEMBL1992672","CHEMBL1992672")</f>
        <v>CHEMBL1992672</v>
      </c>
      <c r="D447" t="s">
        <v>1</v>
      </c>
      <c r="F447" t="s">
        <v>1054</v>
      </c>
      <c r="G447">
        <v>0</v>
      </c>
      <c r="H447" s="4">
        <v>10</v>
      </c>
    </row>
    <row r="448" spans="1:8" x14ac:dyDescent="0.2">
      <c r="A448" t="s">
        <v>1055</v>
      </c>
      <c r="B448" s="1" t="str">
        <f>HYPERLINK("http://www.chemspider.com/Chemical-Structure.643318.html","643318")</f>
        <v>643318</v>
      </c>
      <c r="C448" s="1" t="str">
        <f>HYPERLINK("https://www.ebi.ac.uk/chembl/compound/inspect/CHEMBL233295","CHEMBL233295")</f>
        <v>CHEMBL233295</v>
      </c>
      <c r="D448" t="s">
        <v>1</v>
      </c>
      <c r="E448" t="s">
        <v>1056</v>
      </c>
      <c r="F448" t="s">
        <v>1057</v>
      </c>
      <c r="G448">
        <v>7730</v>
      </c>
      <c r="H448" s="4">
        <v>10</v>
      </c>
    </row>
    <row r="449" spans="1:8" x14ac:dyDescent="0.2">
      <c r="A449" t="s">
        <v>1058</v>
      </c>
      <c r="B449" s="1" t="str">
        <f>HYPERLINK("http://www.chemspider.com/Chemical-Structure.13033.html","13033")</f>
        <v>13033</v>
      </c>
      <c r="C449" s="1" t="str">
        <f>HYPERLINK("https://www.ebi.ac.uk/chembl/compound/inspect/CHEMBL1518159","CHEMBL1518159")</f>
        <v>CHEMBL1518159</v>
      </c>
      <c r="D449" t="s">
        <v>1</v>
      </c>
      <c r="F449" t="s">
        <v>1059</v>
      </c>
      <c r="G449">
        <v>0</v>
      </c>
      <c r="H449" s="4">
        <v>10</v>
      </c>
    </row>
    <row r="450" spans="1:8" x14ac:dyDescent="0.2">
      <c r="A450" t="s">
        <v>1060</v>
      </c>
      <c r="B450" s="1" t="str">
        <f>HYPERLINK("http://www.chemspider.com/Chemical-Structure.4265.html","4265")</f>
        <v>4265</v>
      </c>
      <c r="C450" s="1" t="str">
        <f>HYPERLINK("https://www.ebi.ac.uk/chembl/compound/inspect/CHEMBL142635","CHEMBL142635")</f>
        <v>CHEMBL142635</v>
      </c>
      <c r="D450" t="s">
        <v>1</v>
      </c>
      <c r="E450" t="s">
        <v>1061</v>
      </c>
      <c r="F450" t="s">
        <v>1062</v>
      </c>
      <c r="G450">
        <v>11</v>
      </c>
      <c r="H450" s="4">
        <v>10</v>
      </c>
    </row>
    <row r="451" spans="1:8" x14ac:dyDescent="0.2">
      <c r="A451" t="s">
        <v>1063</v>
      </c>
      <c r="B451" s="1" t="str">
        <f>HYPERLINK("http://www.chemspider.com/Chemical-Structure.5437.html","5437")</f>
        <v>5437</v>
      </c>
      <c r="C451" s="1" t="str">
        <f>HYPERLINK("https://www.ebi.ac.uk/chembl/compound/inspect/CHEMBL279229","CHEMBL279229")</f>
        <v>CHEMBL279229</v>
      </c>
      <c r="D451" t="s">
        <v>1</v>
      </c>
      <c r="E451" t="s">
        <v>1064</v>
      </c>
      <c r="F451" t="s">
        <v>1065</v>
      </c>
      <c r="G451">
        <v>12</v>
      </c>
      <c r="H451" s="4">
        <v>10</v>
      </c>
    </row>
    <row r="452" spans="1:8" x14ac:dyDescent="0.2">
      <c r="A452" t="s">
        <v>1066</v>
      </c>
      <c r="B452" s="1" t="str">
        <f>HYPERLINK("http://www.chemspider.com/Chemical-Structure.3129.html","3129")</f>
        <v>3129</v>
      </c>
      <c r="C452" s="1" t="str">
        <f>HYPERLINK("https://www.ebi.ac.uk/chembl/compound/inspect/CHEMBL1411693","CHEMBL1411693")</f>
        <v>CHEMBL1411693</v>
      </c>
      <c r="D452" t="s">
        <v>1</v>
      </c>
      <c r="E452" t="s">
        <v>1067</v>
      </c>
      <c r="F452" t="s">
        <v>1068</v>
      </c>
      <c r="G452">
        <v>0</v>
      </c>
      <c r="H452" s="4">
        <v>10</v>
      </c>
    </row>
    <row r="453" spans="1:8" x14ac:dyDescent="0.2">
      <c r="A453" t="s">
        <v>1069</v>
      </c>
      <c r="B453" s="1" t="str">
        <f>HYPERLINK("http://www.chemspider.com/Chemical-Structure.159686.html","159686")</f>
        <v>159686</v>
      </c>
      <c r="G453">
        <v>0</v>
      </c>
      <c r="H453" s="4">
        <v>20</v>
      </c>
    </row>
    <row r="454" spans="1:8" x14ac:dyDescent="0.2">
      <c r="A454" t="s">
        <v>1070</v>
      </c>
      <c r="B454" s="1" t="str">
        <f>HYPERLINK("http://www.chemspider.com/Chemical-Structure.5919.html","5919")</f>
        <v>5919</v>
      </c>
      <c r="C454" s="1" t="str">
        <f>HYPERLINK("https://www.ebi.ac.uk/chembl/compound/inspect/CHEMBL1200922","CHEMBL1200922")</f>
        <v>CHEMBL1200922</v>
      </c>
      <c r="D454" t="s">
        <v>9</v>
      </c>
      <c r="E454" t="s">
        <v>1071</v>
      </c>
      <c r="F454" t="s">
        <v>1072</v>
      </c>
      <c r="G454">
        <v>0</v>
      </c>
      <c r="H454" s="4">
        <v>10</v>
      </c>
    </row>
    <row r="455" spans="1:8" x14ac:dyDescent="0.2">
      <c r="A455" t="s">
        <v>1073</v>
      </c>
      <c r="B455" s="1" t="str">
        <f>HYPERLINK("http://www.chemspider.com/Chemical-Structure.2478.html","2478")</f>
        <v>2478</v>
      </c>
      <c r="C455" s="1" t="str">
        <f>HYPERLINK("https://www.ebi.ac.uk/chembl/compound/inspect/CHEMBL1233","CHEMBL1233")</f>
        <v>CHEMBL1233</v>
      </c>
      <c r="D455" t="s">
        <v>9</v>
      </c>
      <c r="E455" t="s">
        <v>1074</v>
      </c>
      <c r="F455" t="s">
        <v>1075</v>
      </c>
      <c r="G455">
        <v>12</v>
      </c>
      <c r="H455" s="4">
        <v>10</v>
      </c>
    </row>
    <row r="456" spans="1:8" x14ac:dyDescent="0.2">
      <c r="A456" t="s">
        <v>1076</v>
      </c>
      <c r="B456" s="1" t="str">
        <f>HYPERLINK("http://www.chemspider.com/Chemical-Structure.3214.html","3214")</f>
        <v>3214</v>
      </c>
      <c r="C456" s="1" t="str">
        <f>HYPERLINK("https://www.ebi.ac.uk/chembl/compound/inspect/CHEMBL1094","CHEMBL1094")</f>
        <v>CHEMBL1094</v>
      </c>
      <c r="D456" t="s">
        <v>9</v>
      </c>
      <c r="E456" t="s">
        <v>1077</v>
      </c>
      <c r="F456" t="s">
        <v>1078</v>
      </c>
      <c r="G456">
        <v>4</v>
      </c>
      <c r="H456" s="4">
        <v>10</v>
      </c>
    </row>
    <row r="457" spans="1:8" x14ac:dyDescent="0.2">
      <c r="A457" t="s">
        <v>1079</v>
      </c>
      <c r="B457" s="1" t="str">
        <f>HYPERLINK("http://www.chemspider.com/Chemical-Structure.4034.html","4034")</f>
        <v>4034</v>
      </c>
      <c r="C457" s="1" t="str">
        <f>HYPERLINK("https://www.ebi.ac.uk/chembl/compound/inspect/CHEMBL558","CHEMBL558")</f>
        <v>CHEMBL558</v>
      </c>
      <c r="D457" t="s">
        <v>9</v>
      </c>
      <c r="E457" t="s">
        <v>1080</v>
      </c>
      <c r="F457" t="s">
        <v>1081</v>
      </c>
      <c r="G457">
        <v>29</v>
      </c>
      <c r="H457" s="4">
        <v>10</v>
      </c>
    </row>
    <row r="458" spans="1:8" x14ac:dyDescent="0.2">
      <c r="A458" t="s">
        <v>1082</v>
      </c>
      <c r="B458" s="1" t="str">
        <f>HYPERLINK("http://www.chemspider.com/Chemical-Structure.2236.html","2236")</f>
        <v>2236</v>
      </c>
      <c r="C458" s="1" t="str">
        <f>HYPERLINK("https://www.ebi.ac.uk/chembl/compound/inspect/CHEMBL2105910","CHEMBL2105910")</f>
        <v>CHEMBL2105910</v>
      </c>
      <c r="D458" t="s">
        <v>1</v>
      </c>
      <c r="E458" t="s">
        <v>1083</v>
      </c>
      <c r="F458" t="s">
        <v>1084</v>
      </c>
      <c r="G458">
        <v>0</v>
      </c>
      <c r="H458" s="4">
        <v>10</v>
      </c>
    </row>
    <row r="459" spans="1:8" x14ac:dyDescent="0.2">
      <c r="A459" t="s">
        <v>1085</v>
      </c>
      <c r="B459" s="1" t="str">
        <f>HYPERLINK("http://www.chemspider.com/Chemical-Structure.3651.html","3651")</f>
        <v>3651</v>
      </c>
      <c r="C459" s="1" t="str">
        <f>HYPERLINK("https://www.ebi.ac.uk/chembl/compound/inspect/CHEMBL1197051","CHEMBL1197051")</f>
        <v>CHEMBL1197051</v>
      </c>
      <c r="D459" t="s">
        <v>1</v>
      </c>
      <c r="E459" t="s">
        <v>1086</v>
      </c>
      <c r="F459" t="s">
        <v>1087</v>
      </c>
      <c r="G459">
        <v>0</v>
      </c>
      <c r="H459" s="4">
        <v>10</v>
      </c>
    </row>
    <row r="460" spans="1:8" x14ac:dyDescent="0.2">
      <c r="A460" t="s">
        <v>1088</v>
      </c>
      <c r="B460" s="1" t="str">
        <f>HYPERLINK("http://www.chemspider.com/Chemical-Structure.89362.html","89362")</f>
        <v>89362</v>
      </c>
      <c r="G460">
        <v>0</v>
      </c>
      <c r="H460" s="4">
        <v>10</v>
      </c>
    </row>
    <row r="461" spans="1:8" x14ac:dyDescent="0.2">
      <c r="A461" t="s">
        <v>1089</v>
      </c>
      <c r="B461" s="1" t="str">
        <f>HYPERLINK("http://www.chemspider.com/Chemical-Structure.51354.html","51354")</f>
        <v>51354</v>
      </c>
      <c r="C461" s="1" t="str">
        <f>HYPERLINK("https://www.ebi.ac.uk/chembl/compound/inspect/CHEMBL1404","CHEMBL1404")</f>
        <v>CHEMBL1404</v>
      </c>
      <c r="D461" t="s">
        <v>9</v>
      </c>
      <c r="E461" t="s">
        <v>1090</v>
      </c>
      <c r="F461" t="s">
        <v>1091</v>
      </c>
      <c r="G461">
        <v>181</v>
      </c>
      <c r="H461" s="4">
        <v>10</v>
      </c>
    </row>
    <row r="462" spans="1:8" x14ac:dyDescent="0.2">
      <c r="A462" t="s">
        <v>1092</v>
      </c>
      <c r="B462" s="1" t="str">
        <f>HYPERLINK("http://www.chemspider.com/Chemical-Structure.35815.html","35815")</f>
        <v>35815</v>
      </c>
      <c r="C462" s="1" t="str">
        <f>HYPERLINK("https://www.ebi.ac.uk/chembl/compound/inspect/CHEMBL649","CHEMBL649")</f>
        <v>CHEMBL649</v>
      </c>
      <c r="D462" t="s">
        <v>9</v>
      </c>
      <c r="E462" t="s">
        <v>1093</v>
      </c>
      <c r="F462" t="s">
        <v>1094</v>
      </c>
      <c r="G462">
        <v>37</v>
      </c>
      <c r="H462" s="4">
        <v>10</v>
      </c>
    </row>
    <row r="463" spans="1:8" x14ac:dyDescent="0.2">
      <c r="A463" t="s">
        <v>1095</v>
      </c>
      <c r="B463" s="1" t="str">
        <f>HYPERLINK("http://www.chemspider.com/Chemical-Structure.4662.html","4662")</f>
        <v>4662</v>
      </c>
      <c r="C463" s="1" t="str">
        <f>HYPERLINK("https://www.ebi.ac.uk/chembl/compound/inspect/CHEMBL500","CHEMBL500")</f>
        <v>CHEMBL500</v>
      </c>
      <c r="D463" t="s">
        <v>9</v>
      </c>
      <c r="E463" t="s">
        <v>1096</v>
      </c>
      <c r="F463" t="s">
        <v>1097</v>
      </c>
      <c r="G463">
        <v>30</v>
      </c>
      <c r="H463" s="4">
        <v>10</v>
      </c>
    </row>
    <row r="464" spans="1:8" x14ac:dyDescent="0.2">
      <c r="A464" t="s">
        <v>1098</v>
      </c>
      <c r="B464" s="1" t="str">
        <f>HYPERLINK("http://www.chemspider.com/Chemical-Structure.4777.html","4777")</f>
        <v>4777</v>
      </c>
      <c r="C464" s="1" t="str">
        <f>HYPERLINK("https://www.ebi.ac.uk/chembl/compound/inspect/CHEMBL27","CHEMBL27")</f>
        <v>CHEMBL27</v>
      </c>
      <c r="D464" t="s">
        <v>9</v>
      </c>
      <c r="E464" t="s">
        <v>1099</v>
      </c>
      <c r="F464" t="s">
        <v>1100</v>
      </c>
      <c r="G464">
        <v>415</v>
      </c>
      <c r="H464" s="4">
        <v>10</v>
      </c>
    </row>
    <row r="465" spans="1:8" x14ac:dyDescent="0.2">
      <c r="A465" t="s">
        <v>1101</v>
      </c>
      <c r="B465" s="1" t="str">
        <f>HYPERLINK("http://www.chemspider.com/Chemical-Structure.1901.html","1901")</f>
        <v>1901</v>
      </c>
      <c r="C465" s="1" t="str">
        <f>HYPERLINK("https://www.ebi.ac.uk/chembl/compound/inspect/CHEMBL642","CHEMBL642")</f>
        <v>CHEMBL642</v>
      </c>
      <c r="D465" t="s">
        <v>9</v>
      </c>
      <c r="E465" t="s">
        <v>1102</v>
      </c>
      <c r="F465" t="s">
        <v>1103</v>
      </c>
      <c r="G465">
        <v>14</v>
      </c>
      <c r="H465" s="4">
        <v>10</v>
      </c>
    </row>
    <row r="466" spans="1:8" x14ac:dyDescent="0.2">
      <c r="A466" t="s">
        <v>1104</v>
      </c>
      <c r="B466" s="1" t="str">
        <f>HYPERLINK("http://www.chemspider.com/Chemical-Structure.2162.html","2162")</f>
        <v>2162</v>
      </c>
      <c r="C466" s="1" t="str">
        <f>HYPERLINK("https://www.ebi.ac.uk/chembl/compound/inspect/CHEMBL24","CHEMBL24")</f>
        <v>CHEMBL24</v>
      </c>
      <c r="D466" t="s">
        <v>9</v>
      </c>
      <c r="E466" t="s">
        <v>1105</v>
      </c>
      <c r="F466" t="s">
        <v>1106</v>
      </c>
      <c r="G466">
        <v>226</v>
      </c>
      <c r="H466" s="4">
        <v>10</v>
      </c>
    </row>
    <row r="467" spans="1:8" x14ac:dyDescent="0.2">
      <c r="A467" t="s">
        <v>1107</v>
      </c>
      <c r="B467" s="1" t="str">
        <f>HYPERLINK("http://www.chemspider.com/Chemical-Structure.53916.html","53916")</f>
        <v>53916</v>
      </c>
      <c r="C467" s="1" t="str">
        <f>HYPERLINK("https://www.ebi.ac.uk/chembl/compound/inspect/CHEMBL768","CHEMBL768")</f>
        <v>CHEMBL768</v>
      </c>
      <c r="D467" t="s">
        <v>9</v>
      </c>
      <c r="E467" t="s">
        <v>1108</v>
      </c>
      <c r="F467" t="s">
        <v>1109</v>
      </c>
      <c r="G467">
        <v>111</v>
      </c>
      <c r="H467" s="4">
        <v>10</v>
      </c>
    </row>
    <row r="468" spans="1:8" x14ac:dyDescent="0.2">
      <c r="A468" t="s">
        <v>1110</v>
      </c>
      <c r="B468" s="1" t="str">
        <f>HYPERLINK("http://www.chemspider.com/Chemical-Structure.2279.html","2279")</f>
        <v>2279</v>
      </c>
      <c r="C468" s="1" t="str">
        <f>HYPERLINK("https://www.ebi.ac.uk/chembl/compound/inspect/CHEMBL423","CHEMBL423")</f>
        <v>CHEMBL423</v>
      </c>
      <c r="D468" t="s">
        <v>9</v>
      </c>
      <c r="E468" t="s">
        <v>1111</v>
      </c>
      <c r="F468" t="s">
        <v>1112</v>
      </c>
      <c r="G468">
        <v>11</v>
      </c>
      <c r="H468" s="4">
        <v>10</v>
      </c>
    </row>
    <row r="469" spans="1:8" x14ac:dyDescent="0.2">
      <c r="A469" t="s">
        <v>1113</v>
      </c>
      <c r="B469" s="1" t="str">
        <f>HYPERLINK("http://www.chemspider.com/Chemical-Structure.2312.html","2312")</f>
        <v>2312</v>
      </c>
      <c r="C469" s="1" t="str">
        <f>HYPERLINK("https://www.ebi.ac.uk/chembl/compound/inspect/CHEMBL645","CHEMBL645")</f>
        <v>CHEMBL645</v>
      </c>
      <c r="D469" t="s">
        <v>9</v>
      </c>
      <c r="E469" t="s">
        <v>1114</v>
      </c>
      <c r="F469" t="s">
        <v>1115</v>
      </c>
      <c r="G469">
        <v>111</v>
      </c>
      <c r="H469" s="4">
        <v>10</v>
      </c>
    </row>
    <row r="470" spans="1:8" x14ac:dyDescent="0.2">
      <c r="A470" t="s">
        <v>1116</v>
      </c>
      <c r="B470" s="1" t="str">
        <f>HYPERLINK("http://www.chemspider.com/Chemical-Structure.4763.html","4763")</f>
        <v>4763</v>
      </c>
      <c r="C470" s="1" t="str">
        <f>HYPERLINK("https://www.ebi.ac.uk/chembl/compound/inspect/CHEMBL631","CHEMBL631")</f>
        <v>CHEMBL631</v>
      </c>
      <c r="D470" t="s">
        <v>9</v>
      </c>
      <c r="E470" t="s">
        <v>1117</v>
      </c>
      <c r="F470" t="s">
        <v>1118</v>
      </c>
      <c r="G470">
        <v>31</v>
      </c>
      <c r="H470" s="4">
        <v>10</v>
      </c>
    </row>
    <row r="471" spans="1:8" x14ac:dyDescent="0.2">
      <c r="A471" t="s">
        <v>1119</v>
      </c>
      <c r="B471" s="1" t="str">
        <f>HYPERLINK("http://www.chemspider.com/Chemical-Structure.3964.html","3964")</f>
        <v>3964</v>
      </c>
      <c r="C471" s="1" t="str">
        <f>HYPERLINK("https://www.ebi.ac.uk/chembl/compound/inspect/CHEMBL1201117","CHEMBL1201117")</f>
        <v>CHEMBL1201117</v>
      </c>
      <c r="D471" t="s">
        <v>9</v>
      </c>
      <c r="E471" t="s">
        <v>1120</v>
      </c>
      <c r="F471" t="s">
        <v>1121</v>
      </c>
      <c r="G471">
        <v>7</v>
      </c>
      <c r="H471" s="4">
        <v>10</v>
      </c>
    </row>
    <row r="472" spans="1:8" x14ac:dyDescent="0.2">
      <c r="A472" t="s">
        <v>1122</v>
      </c>
      <c r="B472" s="1" t="str">
        <f>HYPERLINK("http://www.chemspider.com/Chemical-Structure.49565.html","49565")</f>
        <v>49565</v>
      </c>
      <c r="C472" s="1" t="str">
        <f>HYPERLINK("https://www.ebi.ac.uk/chembl/compound/inspect/CHEMBL1592","CHEMBL1592")</f>
        <v>CHEMBL1592</v>
      </c>
      <c r="D472" t="s">
        <v>9</v>
      </c>
      <c r="E472" t="s">
        <v>1123</v>
      </c>
      <c r="F472" t="s">
        <v>1124</v>
      </c>
      <c r="G472">
        <v>57</v>
      </c>
      <c r="H472" s="4">
        <v>10</v>
      </c>
    </row>
    <row r="473" spans="1:8" x14ac:dyDescent="0.2">
      <c r="A473" t="s">
        <v>1125</v>
      </c>
      <c r="B473" s="1" t="str">
        <f>HYPERLINK("http://www.chemspider.com/Chemical-Structure.4514937.html","4514937")</f>
        <v>4514937</v>
      </c>
      <c r="C473" s="1" t="str">
        <f>HYPERLINK("https://www.ebi.ac.uk/chembl/compound/inspect/CHEMBL1168","CHEMBL1168")</f>
        <v>CHEMBL1168</v>
      </c>
      <c r="D473" t="s">
        <v>9</v>
      </c>
      <c r="E473" t="s">
        <v>1126</v>
      </c>
      <c r="F473" t="s">
        <v>1127</v>
      </c>
      <c r="G473">
        <v>365</v>
      </c>
      <c r="H473" s="4">
        <v>10</v>
      </c>
    </row>
    <row r="474" spans="1:8" x14ac:dyDescent="0.2">
      <c r="A474" t="s">
        <v>1128</v>
      </c>
      <c r="B474" s="1" t="str">
        <f>HYPERLINK("http://www.chemspider.com/Chemical-Structure.4514913.html","4514913")</f>
        <v>4514913</v>
      </c>
      <c r="G474">
        <v>0</v>
      </c>
      <c r="H474" s="4">
        <v>10</v>
      </c>
    </row>
    <row r="475" spans="1:8" x14ac:dyDescent="0.2">
      <c r="A475" t="s">
        <v>1129</v>
      </c>
      <c r="B475" s="1" t="str">
        <f>HYPERLINK("http://www.chemspider.com/Chemical-Structure.59377.html","59377")</f>
        <v>59377</v>
      </c>
      <c r="C475" s="1" t="str">
        <f>HYPERLINK("https://www.ebi.ac.uk/chembl/compound/inspect/CHEMBL1272","CHEMBL1272")</f>
        <v>CHEMBL1272</v>
      </c>
      <c r="D475" t="s">
        <v>9</v>
      </c>
      <c r="E475" t="s">
        <v>1130</v>
      </c>
      <c r="F475" t="s">
        <v>1131</v>
      </c>
      <c r="G475">
        <v>106</v>
      </c>
      <c r="H475" s="4">
        <v>10</v>
      </c>
    </row>
    <row r="476" spans="1:8" x14ac:dyDescent="0.2">
      <c r="A476" t="s">
        <v>1132</v>
      </c>
      <c r="B476" s="1" t="str">
        <f>HYPERLINK("http://www.chemspider.com/Chemical-Structure.8154.html","8154")</f>
        <v>8154</v>
      </c>
      <c r="C476" s="1" t="str">
        <f>HYPERLINK("https://www.ebi.ac.uk/chembl/compound/inspect/CHEMBL508676","CHEMBL508676")</f>
        <v>CHEMBL508676</v>
      </c>
      <c r="D476" t="s">
        <v>1</v>
      </c>
      <c r="E476" t="s">
        <v>1133</v>
      </c>
      <c r="F476" t="s">
        <v>1134</v>
      </c>
      <c r="G476">
        <v>335</v>
      </c>
      <c r="H476" s="4">
        <v>10</v>
      </c>
    </row>
    <row r="477" spans="1:8" x14ac:dyDescent="0.2">
      <c r="A477" t="s">
        <v>1135</v>
      </c>
      <c r="B477" s="1" t="str">
        <f>HYPERLINK("http://www.chemspider.com/Chemical-Structure.2900913.html","2900913")</f>
        <v>2900913</v>
      </c>
      <c r="C477" s="1" t="str">
        <f>HYPERLINK("https://www.ebi.ac.uk/chembl/compound/inspect/CHEMBL1903103","CHEMBL1903103")</f>
        <v>CHEMBL1903103</v>
      </c>
      <c r="D477" t="s">
        <v>1</v>
      </c>
      <c r="F477" t="s">
        <v>1136</v>
      </c>
      <c r="G477">
        <v>0</v>
      </c>
      <c r="H477" s="4">
        <v>10</v>
      </c>
    </row>
    <row r="478" spans="1:8" x14ac:dyDescent="0.2">
      <c r="A478" t="s">
        <v>1137</v>
      </c>
      <c r="B478" s="1" t="str">
        <f>HYPERLINK("http://www.chemspider.com/Chemical-Structure.848066.html","848066")</f>
        <v>848066</v>
      </c>
      <c r="C478" s="1" t="str">
        <f>HYPERLINK("https://www.ebi.ac.uk/chembl/compound/inspect/CHEMBL292051","CHEMBL292051")</f>
        <v>CHEMBL292051</v>
      </c>
      <c r="D478" t="s">
        <v>1</v>
      </c>
      <c r="F478" t="s">
        <v>1138</v>
      </c>
      <c r="G478">
        <v>0</v>
      </c>
      <c r="H478" s="4">
        <v>10</v>
      </c>
    </row>
    <row r="479" spans="1:8" x14ac:dyDescent="0.2">
      <c r="A479" t="s">
        <v>1139</v>
      </c>
      <c r="B479" s="1" t="str">
        <f>HYPERLINK("http://www.chemspider.com/Chemical-Structure.4766.html","4766")</f>
        <v>4766</v>
      </c>
      <c r="C479" s="1" t="str">
        <f>HYPERLINK("https://www.ebi.ac.uk/chembl/compound/inspect/CHEMBL1196","CHEMBL1196")</f>
        <v>CHEMBL1196</v>
      </c>
      <c r="D479" t="s">
        <v>9</v>
      </c>
      <c r="E479" t="s">
        <v>1140</v>
      </c>
      <c r="F479" t="s">
        <v>1141</v>
      </c>
      <c r="G479">
        <v>30</v>
      </c>
      <c r="H479" s="4">
        <v>10</v>
      </c>
    </row>
    <row r="480" spans="1:8" x14ac:dyDescent="0.2">
      <c r="A480" t="s">
        <v>1142</v>
      </c>
      <c r="B480" s="1" t="str">
        <f>HYPERLINK("http://www.chemspider.com/Chemical-Structure.3345.html","3345")</f>
        <v>3345</v>
      </c>
      <c r="C480" s="1" t="str">
        <f>HYPERLINK("https://www.ebi.ac.uk/chembl/compound/inspect/CHEMBL457","CHEMBL457")</f>
        <v>CHEMBL457</v>
      </c>
      <c r="D480" t="s">
        <v>9</v>
      </c>
      <c r="E480" t="s">
        <v>1143</v>
      </c>
      <c r="F480" t="s">
        <v>1144</v>
      </c>
      <c r="G480">
        <v>55</v>
      </c>
      <c r="H480" s="4">
        <v>10</v>
      </c>
    </row>
    <row r="481" spans="1:8" x14ac:dyDescent="0.2">
      <c r="A481" t="s">
        <v>1145</v>
      </c>
      <c r="B481" s="1" t="str">
        <f>HYPERLINK("http://www.chemspider.com/Chemical-Structure.24650802.html","24650802")</f>
        <v>24650802</v>
      </c>
      <c r="C481" s="1" t="str">
        <f>HYPERLINK("https://www.ebi.ac.uk/chembl/compound/inspect/CHEMBL598797","CHEMBL598797")</f>
        <v>CHEMBL598797</v>
      </c>
      <c r="D481" t="s">
        <v>1</v>
      </c>
      <c r="F481" t="s">
        <v>1146</v>
      </c>
      <c r="G481">
        <v>0</v>
      </c>
      <c r="H481" s="4">
        <v>50</v>
      </c>
    </row>
    <row r="482" spans="1:8" x14ac:dyDescent="0.2">
      <c r="A482" t="s">
        <v>1147</v>
      </c>
      <c r="B482" s="1" t="str">
        <f>HYPERLINK("http://www.chemspider.com/Chemical-Structure.1731.html","1731")</f>
        <v>1731</v>
      </c>
      <c r="C482" s="1" t="str">
        <f>HYPERLINK("https://www.ebi.ac.uk/chembl/compound/inspect/CHEMBL97450","CHEMBL97450")</f>
        <v>CHEMBL97450</v>
      </c>
      <c r="D482" t="s">
        <v>1</v>
      </c>
      <c r="F482" t="s">
        <v>1148</v>
      </c>
      <c r="G482">
        <v>0</v>
      </c>
      <c r="H482" s="4">
        <v>9.9</v>
      </c>
    </row>
    <row r="483" spans="1:8" x14ac:dyDescent="0.2">
      <c r="A483" t="s">
        <v>1149</v>
      </c>
      <c r="B483" s="1" t="str">
        <f>HYPERLINK("http://www.chemspider.com/Chemical-Structure.4573.html","4573")</f>
        <v>4573</v>
      </c>
      <c r="C483" s="1" t="str">
        <f>HYPERLINK("https://www.ebi.ac.uk/chembl/compound/inspect/CHEMBL55","CHEMBL55")</f>
        <v>CHEMBL55</v>
      </c>
      <c r="D483" t="s">
        <v>9</v>
      </c>
      <c r="E483" t="s">
        <v>1150</v>
      </c>
      <c r="F483" t="s">
        <v>1151</v>
      </c>
      <c r="G483">
        <v>69</v>
      </c>
      <c r="H483" s="4">
        <v>10.00031669</v>
      </c>
    </row>
    <row r="484" spans="1:8" x14ac:dyDescent="0.2">
      <c r="A484" t="s">
        <v>1152</v>
      </c>
      <c r="B484" s="1" t="str">
        <f>HYPERLINK("http://www.chemspider.com/Chemical-Structure.2286.html","2286")</f>
        <v>2286</v>
      </c>
      <c r="C484" s="1" t="str">
        <f>HYPERLINK("https://www.ebi.ac.uk/chembl/compound/inspect/CHEMBL1192517","CHEMBL1192517")</f>
        <v>CHEMBL1192517</v>
      </c>
      <c r="D484" t="s">
        <v>1</v>
      </c>
      <c r="E484" t="s">
        <v>1153</v>
      </c>
      <c r="F484" t="s">
        <v>1154</v>
      </c>
      <c r="G484">
        <v>0</v>
      </c>
      <c r="H484" s="4">
        <v>10</v>
      </c>
    </row>
    <row r="485" spans="1:8" x14ac:dyDescent="0.2">
      <c r="A485" t="s">
        <v>1155</v>
      </c>
      <c r="B485" s="1" t="str">
        <f>HYPERLINK("http://www.chemspider.com/Chemical-Structure.3831.html","3831")</f>
        <v>3831</v>
      </c>
      <c r="C485" s="1" t="str">
        <f>HYPERLINK("https://www.ebi.ac.uk/chembl/compound/inspect/CHEMBL162358","CHEMBL162358")</f>
        <v>CHEMBL162358</v>
      </c>
      <c r="D485" t="s">
        <v>1</v>
      </c>
      <c r="E485" t="s">
        <v>1156</v>
      </c>
      <c r="F485" t="s">
        <v>1157</v>
      </c>
      <c r="G485">
        <v>0</v>
      </c>
      <c r="H485" s="4">
        <v>10</v>
      </c>
    </row>
    <row r="486" spans="1:8" x14ac:dyDescent="0.2">
      <c r="A486" t="s">
        <v>1158</v>
      </c>
      <c r="B486" s="1" t="str">
        <f>HYPERLINK("http://www.chemspider.com/Chemical-Structure.24531957.html","24531957")</f>
        <v>24531957</v>
      </c>
      <c r="C486" s="1" t="str">
        <f>HYPERLINK("https://www.ebi.ac.uk/chembl/compound/inspect/CHEMBL576781","CHEMBL576781")</f>
        <v>CHEMBL576781</v>
      </c>
      <c r="D486" t="s">
        <v>1</v>
      </c>
      <c r="F486" t="s">
        <v>1159</v>
      </c>
      <c r="G486">
        <v>0</v>
      </c>
      <c r="H486" s="4">
        <v>6</v>
      </c>
    </row>
    <row r="487" spans="1:8" x14ac:dyDescent="0.2">
      <c r="A487" t="s">
        <v>1160</v>
      </c>
      <c r="B487" s="1" t="str">
        <f>HYPERLINK("http://www.chemspider.com/Chemical-Structure.25057612.html","25057612")</f>
        <v>25057612</v>
      </c>
      <c r="C487" s="1" t="str">
        <f>HYPERLINK("https://www.ebi.ac.uk/chembl/compound/inspect/CHEMBL1231795","CHEMBL1231795")</f>
        <v>CHEMBL1231795</v>
      </c>
      <c r="D487" t="s">
        <v>1</v>
      </c>
      <c r="G487">
        <v>0</v>
      </c>
      <c r="H487" s="4" t="s">
        <v>3369</v>
      </c>
    </row>
    <row r="488" spans="1:8" x14ac:dyDescent="0.2">
      <c r="A488" t="s">
        <v>1161</v>
      </c>
      <c r="B488" s="1" t="str">
        <f>HYPERLINK("http://www.chemspider.com/Chemical-Structure.4926.html","4926")</f>
        <v>4926</v>
      </c>
      <c r="C488" s="1" t="str">
        <f>HYPERLINK("https://www.ebi.ac.uk/chembl/compound/inspect/CHEMBL46102","CHEMBL46102")</f>
        <v>CHEMBL46102</v>
      </c>
      <c r="D488" t="s">
        <v>1</v>
      </c>
      <c r="E488" t="s">
        <v>1162</v>
      </c>
      <c r="F488" t="s">
        <v>1163</v>
      </c>
      <c r="G488">
        <v>4698</v>
      </c>
      <c r="H488" s="4">
        <v>10</v>
      </c>
    </row>
    <row r="489" spans="1:8" x14ac:dyDescent="0.2">
      <c r="A489" t="s">
        <v>1164</v>
      </c>
      <c r="B489" s="1" t="str">
        <f>HYPERLINK("http://www.chemspider.com/Chemical-Structure.4591452.html","4591452")</f>
        <v>4591452</v>
      </c>
      <c r="C489" s="1" t="str">
        <f>HYPERLINK("https://www.ebi.ac.uk/chembl/compound/inspect/CHEMBL1639","CHEMBL1639")</f>
        <v>CHEMBL1639</v>
      </c>
      <c r="D489" t="s">
        <v>9</v>
      </c>
      <c r="E489" t="s">
        <v>1165</v>
      </c>
      <c r="F489" t="s">
        <v>1166</v>
      </c>
      <c r="G489">
        <v>436</v>
      </c>
      <c r="H489" s="4">
        <v>10.000299439999999</v>
      </c>
    </row>
    <row r="490" spans="1:8" x14ac:dyDescent="0.2">
      <c r="A490" t="s">
        <v>1167</v>
      </c>
      <c r="B490" s="1" t="str">
        <f>HYPERLINK("http://www.chemspider.com/Chemical-Structure.4606.html","4606")</f>
        <v>4606</v>
      </c>
      <c r="C490" s="1" t="str">
        <f>HYPERLINK("https://www.ebi.ac.uk/chembl/compound/inspect/CHEMBL1079576","CHEMBL1079576")</f>
        <v>CHEMBL1079576</v>
      </c>
      <c r="D490" t="s">
        <v>1</v>
      </c>
      <c r="E490" t="s">
        <v>1168</v>
      </c>
      <c r="F490" t="s">
        <v>1169</v>
      </c>
      <c r="G490">
        <v>0</v>
      </c>
      <c r="H490" s="4">
        <v>10.1</v>
      </c>
    </row>
    <row r="491" spans="1:8" x14ac:dyDescent="0.2">
      <c r="A491" t="s">
        <v>1170</v>
      </c>
      <c r="B491" s="1" t="str">
        <f>HYPERLINK("http://www.chemspider.com/Chemical-Structure.264653.html","264653")</f>
        <v>264653</v>
      </c>
      <c r="G491">
        <v>0</v>
      </c>
      <c r="H491" s="4">
        <v>10</v>
      </c>
    </row>
    <row r="492" spans="1:8" x14ac:dyDescent="0.2">
      <c r="A492" t="s">
        <v>1171</v>
      </c>
      <c r="B492" s="1" t="str">
        <f>HYPERLINK("http://www.chemspider.com/Chemical-Structure.2297519.html","2297519")</f>
        <v>2297519</v>
      </c>
      <c r="C492" s="1" t="str">
        <f>HYPERLINK("https://www.ebi.ac.uk/chembl/compound/inspect/CHEMBL300460","CHEMBL300460")</f>
        <v>CHEMBL300460</v>
      </c>
      <c r="D492" t="s">
        <v>1</v>
      </c>
      <c r="F492" t="s">
        <v>1172</v>
      </c>
      <c r="G492">
        <v>0</v>
      </c>
      <c r="H492" s="4">
        <v>10</v>
      </c>
    </row>
    <row r="493" spans="1:8" x14ac:dyDescent="0.2">
      <c r="A493" t="s">
        <v>1173</v>
      </c>
      <c r="B493" s="1" t="str">
        <f>HYPERLINK("http://www.chemspider.com/Chemical-Structure.2015313.html","2015313")</f>
        <v>2015313</v>
      </c>
      <c r="C493" s="1" t="str">
        <f>HYPERLINK("https://www.ebi.ac.uk/chembl/compound/inspect/CHEMBL83","CHEMBL83")</f>
        <v>CHEMBL83</v>
      </c>
      <c r="D493" t="s">
        <v>9</v>
      </c>
      <c r="E493" t="s">
        <v>1174</v>
      </c>
      <c r="F493" t="s">
        <v>1175</v>
      </c>
      <c r="G493">
        <v>684</v>
      </c>
      <c r="H493" s="4">
        <v>10.000539229999999</v>
      </c>
    </row>
    <row r="494" spans="1:8" x14ac:dyDescent="0.2">
      <c r="A494" t="s">
        <v>1176</v>
      </c>
      <c r="B494" s="1" t="str">
        <f>HYPERLINK("http://www.chemspider.com/Chemical-Structure.8266287.html","8266287")</f>
        <v>8266287</v>
      </c>
      <c r="C494" s="1" t="str">
        <f>HYPERLINK("https://www.ebi.ac.uk/chembl/compound/inspect/CHEMBL1093458","CHEMBL1093458")</f>
        <v>CHEMBL1093458</v>
      </c>
      <c r="D494" t="s">
        <v>1</v>
      </c>
      <c r="E494" t="s">
        <v>1177</v>
      </c>
      <c r="F494" t="s">
        <v>1178</v>
      </c>
      <c r="G494">
        <v>9</v>
      </c>
      <c r="H494" s="4">
        <v>10</v>
      </c>
    </row>
    <row r="495" spans="1:8" x14ac:dyDescent="0.2">
      <c r="A495" t="s">
        <v>1179</v>
      </c>
      <c r="B495" s="1" t="str">
        <f>HYPERLINK("http://www.chemspider.com/Chemical-Structure.2487.html","2487")</f>
        <v>2487</v>
      </c>
      <c r="C495" s="1" t="str">
        <f>HYPERLINK("https://www.ebi.ac.uk/chembl/compound/inspect/CHEMBL723","CHEMBL723")</f>
        <v>CHEMBL723</v>
      </c>
      <c r="D495" t="s">
        <v>9</v>
      </c>
      <c r="E495" t="s">
        <v>1180</v>
      </c>
      <c r="F495" t="s">
        <v>1181</v>
      </c>
      <c r="G495">
        <v>320</v>
      </c>
      <c r="H495" s="4">
        <v>10</v>
      </c>
    </row>
    <row r="496" spans="1:8" x14ac:dyDescent="0.2">
      <c r="A496" t="s">
        <v>1182</v>
      </c>
      <c r="B496" s="1" t="str">
        <f>HYPERLINK("http://www.chemspider.com/Chemical-Structure.26607592.html","26607592")</f>
        <v>26607592</v>
      </c>
      <c r="C496" s="1" t="str">
        <f>HYPERLINK("https://www.ebi.ac.uk/chembl/compound/inspect/CHEMBL1797705","CHEMBL1797705")</f>
        <v>CHEMBL1797705</v>
      </c>
      <c r="D496" t="s">
        <v>1</v>
      </c>
      <c r="G496">
        <v>0</v>
      </c>
      <c r="H496" s="4" t="s">
        <v>3369</v>
      </c>
    </row>
    <row r="497" spans="1:8" x14ac:dyDescent="0.2">
      <c r="A497" t="s">
        <v>1183</v>
      </c>
      <c r="B497" s="1" t="str">
        <f>HYPERLINK("http://www.chemspider.com/Chemical-Structure.2454.html","2454")</f>
        <v>2454</v>
      </c>
      <c r="C497" s="1" t="str">
        <f>HYPERLINK("https://www.ebi.ac.uk/chembl/compound/inspect/CHEMBL965","CHEMBL965")</f>
        <v>CHEMBL965</v>
      </c>
      <c r="D497" t="s">
        <v>9</v>
      </c>
      <c r="E497" t="s">
        <v>1184</v>
      </c>
      <c r="F497" t="s">
        <v>1185</v>
      </c>
      <c r="G497">
        <v>5</v>
      </c>
      <c r="H497" s="4">
        <v>9.9997672780000002</v>
      </c>
    </row>
    <row r="498" spans="1:8" x14ac:dyDescent="0.2">
      <c r="A498" t="s">
        <v>1186</v>
      </c>
      <c r="B498" s="1" t="str">
        <f>HYPERLINK("http://www.chemspider.com/Chemical-Structure.189902.html","189902")</f>
        <v>189902</v>
      </c>
      <c r="C498" s="1" t="str">
        <f>HYPERLINK("https://www.ebi.ac.uk/chembl/compound/inspect/CHEMBL58323","CHEMBL58323")</f>
        <v>CHEMBL58323</v>
      </c>
      <c r="D498" t="s">
        <v>9</v>
      </c>
      <c r="E498" t="s">
        <v>1187</v>
      </c>
      <c r="F498" t="s">
        <v>1188</v>
      </c>
      <c r="G498">
        <v>0</v>
      </c>
      <c r="H498" s="4">
        <v>10</v>
      </c>
    </row>
    <row r="499" spans="1:8" x14ac:dyDescent="0.2">
      <c r="A499" t="s">
        <v>1189</v>
      </c>
      <c r="B499" s="1" t="str">
        <f>HYPERLINK("http://www.chemspider.com/Chemical-Structure.7980752.html","7980752")</f>
        <v>7980752</v>
      </c>
      <c r="C499" s="1" t="str">
        <f>HYPERLINK("https://www.ebi.ac.uk/chembl/compound/inspect/CHEMBL1213492","CHEMBL1213492")</f>
        <v>CHEMBL1213492</v>
      </c>
      <c r="D499" t="s">
        <v>1</v>
      </c>
      <c r="G499">
        <v>0</v>
      </c>
      <c r="H499" s="4">
        <v>50</v>
      </c>
    </row>
    <row r="500" spans="1:8" x14ac:dyDescent="0.2">
      <c r="A500" t="s">
        <v>1190</v>
      </c>
      <c r="G500">
        <v>0</v>
      </c>
      <c r="H500" s="4" t="s">
        <v>3369</v>
      </c>
    </row>
    <row r="501" spans="1:8" x14ac:dyDescent="0.2">
      <c r="A501" t="s">
        <v>1191</v>
      </c>
      <c r="B501" s="1" t="str">
        <f>HYPERLINK("http://www.chemspider.com/Chemical-Structure.297105.html","297105")</f>
        <v>297105</v>
      </c>
      <c r="G501">
        <v>0</v>
      </c>
      <c r="H501" s="4">
        <v>10</v>
      </c>
    </row>
    <row r="502" spans="1:8" x14ac:dyDescent="0.2">
      <c r="A502" t="s">
        <v>1192</v>
      </c>
      <c r="B502" s="1" t="str">
        <f>HYPERLINK("http://www.chemspider.com/Chemical-Structure.263011.html","263011")</f>
        <v>263011</v>
      </c>
      <c r="G502">
        <v>0</v>
      </c>
      <c r="H502" s="4">
        <v>10</v>
      </c>
    </row>
    <row r="503" spans="1:8" x14ac:dyDescent="0.2">
      <c r="A503" t="s">
        <v>1193</v>
      </c>
      <c r="B503" s="1" t="str">
        <f>HYPERLINK("http://www.chemspider.com/Chemical-Structure.26687.html","26687")</f>
        <v>26687</v>
      </c>
      <c r="C503" s="1" t="str">
        <f>HYPERLINK("https://www.ebi.ac.uk/chembl/compound/inspect/CHEMBL19215","CHEMBL19215")</f>
        <v>CHEMBL19215</v>
      </c>
      <c r="D503" t="s">
        <v>1</v>
      </c>
      <c r="E503" t="s">
        <v>1194</v>
      </c>
      <c r="F503" t="s">
        <v>1195</v>
      </c>
      <c r="G503">
        <v>0</v>
      </c>
      <c r="H503" s="4">
        <v>10</v>
      </c>
    </row>
    <row r="504" spans="1:8" x14ac:dyDescent="0.2">
      <c r="A504" t="s">
        <v>1196</v>
      </c>
      <c r="B504" s="1" t="str">
        <f>HYPERLINK("http://www.chemspider.com/Chemical-Structure.4111.html","4111")</f>
        <v>4111</v>
      </c>
      <c r="C504" s="1" t="str">
        <f>HYPERLINK("https://www.ebi.ac.uk/chembl/compound/inspect/CHEMBL27759","CHEMBL27759")</f>
        <v>CHEMBL27759</v>
      </c>
      <c r="D504" t="s">
        <v>1</v>
      </c>
      <c r="E504" t="s">
        <v>1197</v>
      </c>
      <c r="F504" t="s">
        <v>1198</v>
      </c>
      <c r="G504">
        <v>103</v>
      </c>
      <c r="H504" s="4">
        <v>50</v>
      </c>
    </row>
    <row r="505" spans="1:8" x14ac:dyDescent="0.2">
      <c r="A505" t="s">
        <v>1199</v>
      </c>
      <c r="B505" s="1" t="str">
        <f>HYPERLINK("http://www.chemspider.com/Chemical-Structure.49516.html","49516")</f>
        <v>49516</v>
      </c>
      <c r="C505" s="1" t="str">
        <f>HYPERLINK("https://www.ebi.ac.uk/chembl/compound/inspect/CHEMBL641","CHEMBL641")</f>
        <v>CHEMBL641</v>
      </c>
      <c r="D505" t="s">
        <v>9</v>
      </c>
      <c r="E505" t="s">
        <v>1200</v>
      </c>
      <c r="F505" t="s">
        <v>1201</v>
      </c>
      <c r="G505">
        <v>371</v>
      </c>
      <c r="H505" s="4">
        <v>10</v>
      </c>
    </row>
    <row r="506" spans="1:8" x14ac:dyDescent="0.2">
      <c r="A506" t="s">
        <v>1202</v>
      </c>
      <c r="B506" s="1" t="str">
        <f>HYPERLINK("http://www.chemspider.com/Chemical-Structure.43240.html","43240")</f>
        <v>43240</v>
      </c>
      <c r="C506" s="1" t="str">
        <f>HYPERLINK("https://www.ebi.ac.uk/chembl/compound/inspect/CHEMBL284906","CHEMBL284906")</f>
        <v>CHEMBL284906</v>
      </c>
      <c r="D506" t="s">
        <v>1</v>
      </c>
      <c r="E506" t="s">
        <v>1203</v>
      </c>
      <c r="F506" t="s">
        <v>1204</v>
      </c>
      <c r="G506">
        <v>28</v>
      </c>
      <c r="H506" s="4">
        <v>10</v>
      </c>
    </row>
    <row r="507" spans="1:8" x14ac:dyDescent="0.2">
      <c r="A507" t="s">
        <v>1205</v>
      </c>
      <c r="G507">
        <v>0</v>
      </c>
      <c r="H507" s="4">
        <v>20</v>
      </c>
    </row>
    <row r="508" spans="1:8" x14ac:dyDescent="0.2">
      <c r="A508" t="s">
        <v>1206</v>
      </c>
      <c r="B508" s="1" t="str">
        <f>HYPERLINK("http://www.chemspider.com/Chemical-Structure.3225.html","3225")</f>
        <v>3225</v>
      </c>
      <c r="C508" s="1" t="str">
        <f>HYPERLINK("https://www.ebi.ac.uk/chembl/compound/inspect/CHEMBL1297","CHEMBL1297")</f>
        <v>CHEMBL1297</v>
      </c>
      <c r="D508" t="s">
        <v>9</v>
      </c>
      <c r="E508" t="s">
        <v>1207</v>
      </c>
      <c r="F508" t="s">
        <v>1208</v>
      </c>
      <c r="G508">
        <v>0</v>
      </c>
      <c r="H508" s="4">
        <v>10.1</v>
      </c>
    </row>
    <row r="509" spans="1:8" x14ac:dyDescent="0.2">
      <c r="A509" t="s">
        <v>1209</v>
      </c>
      <c r="B509" s="1" t="str">
        <f>HYPERLINK("http://www.chemspider.com/Chemical-Structure.4913.html","4913")</f>
        <v>4913</v>
      </c>
      <c r="C509" s="1" t="str">
        <f>HYPERLINK("https://www.ebi.ac.uk/chembl/compound/inspect/CHEMBL63","CHEMBL63")</f>
        <v>CHEMBL63</v>
      </c>
      <c r="D509" t="s">
        <v>1</v>
      </c>
      <c r="E509" t="s">
        <v>1210</v>
      </c>
      <c r="F509" t="s">
        <v>1211</v>
      </c>
      <c r="G509">
        <v>9</v>
      </c>
      <c r="H509" s="4">
        <v>10</v>
      </c>
    </row>
    <row r="510" spans="1:8" x14ac:dyDescent="0.2">
      <c r="A510" t="s">
        <v>1212</v>
      </c>
      <c r="B510" s="1" t="str">
        <f>HYPERLINK("http://www.chemspider.com/Chemical-Structure.7153.html","7153")</f>
        <v>7153</v>
      </c>
      <c r="G510">
        <v>0</v>
      </c>
      <c r="H510" s="4">
        <v>10</v>
      </c>
    </row>
    <row r="511" spans="1:8" x14ac:dyDescent="0.2">
      <c r="A511" t="s">
        <v>1213</v>
      </c>
      <c r="B511" s="1" t="str">
        <f>HYPERLINK("http://www.chemspider.com/Chemical-Structure.68478.html","68478")</f>
        <v>68478</v>
      </c>
      <c r="G511">
        <v>0</v>
      </c>
      <c r="H511" s="4">
        <v>10</v>
      </c>
    </row>
    <row r="512" spans="1:8" x14ac:dyDescent="0.2">
      <c r="A512" t="s">
        <v>1214</v>
      </c>
      <c r="B512" s="1" t="str">
        <f>HYPERLINK("http://www.chemspider.com/Chemical-Structure.2342071.html","2342071")</f>
        <v>2342071</v>
      </c>
      <c r="C512" s="1" t="str">
        <f>HYPERLINK("https://www.ebi.ac.uk/chembl/compound/inspect/CHEMBL9659","CHEMBL9659")</f>
        <v>CHEMBL9659</v>
      </c>
      <c r="D512" t="s">
        <v>1</v>
      </c>
      <c r="G512">
        <v>0</v>
      </c>
      <c r="H512" s="4" t="s">
        <v>3369</v>
      </c>
    </row>
    <row r="513" spans="1:8" x14ac:dyDescent="0.2">
      <c r="A513" t="s">
        <v>1215</v>
      </c>
      <c r="B513" s="1" t="str">
        <f>HYPERLINK("http://www.chemspider.com/Chemical-Structure.3280577.html","3280577")</f>
        <v>3280577</v>
      </c>
      <c r="G513">
        <v>0</v>
      </c>
      <c r="H513" s="4">
        <v>50</v>
      </c>
    </row>
    <row r="514" spans="1:8" x14ac:dyDescent="0.2">
      <c r="A514" t="s">
        <v>1216</v>
      </c>
      <c r="B514" s="1" t="str">
        <f>HYPERLINK("http://www.chemspider.com/Chemical-Structure.4520267.html","4520267")</f>
        <v>4520267</v>
      </c>
      <c r="C514" s="1" t="str">
        <f>HYPERLINK("https://www.ebi.ac.uk/chembl/compound/inspect/CHEMBL1482039","CHEMBL1482039")</f>
        <v>CHEMBL1482039</v>
      </c>
      <c r="D514" t="s">
        <v>1</v>
      </c>
      <c r="F514" t="s">
        <v>1217</v>
      </c>
      <c r="G514">
        <v>0</v>
      </c>
      <c r="H514" s="4">
        <v>10</v>
      </c>
    </row>
    <row r="515" spans="1:8" x14ac:dyDescent="0.2">
      <c r="A515" t="s">
        <v>1218</v>
      </c>
      <c r="B515" s="1" t="str">
        <f>HYPERLINK("http://www.chemspider.com/Chemical-Structure.3141.html","3141")</f>
        <v>3141</v>
      </c>
      <c r="G515">
        <v>0</v>
      </c>
      <c r="H515" s="4">
        <v>10</v>
      </c>
    </row>
    <row r="516" spans="1:8" x14ac:dyDescent="0.2">
      <c r="A516" t="s">
        <v>1219</v>
      </c>
      <c r="B516" s="1" t="str">
        <f>HYPERLINK("http://www.chemspider.com/Chemical-Structure.187478.html","187478")</f>
        <v>187478</v>
      </c>
      <c r="C516" s="1" t="str">
        <f>HYPERLINK("https://www.ebi.ac.uk/chembl/compound/inspect/CHEMBL1399925","CHEMBL1399925")</f>
        <v>CHEMBL1399925</v>
      </c>
      <c r="D516" t="s">
        <v>1</v>
      </c>
      <c r="F516" t="s">
        <v>1220</v>
      </c>
      <c r="G516">
        <v>0</v>
      </c>
      <c r="H516" s="4">
        <v>10</v>
      </c>
    </row>
    <row r="517" spans="1:8" x14ac:dyDescent="0.2">
      <c r="A517" t="s">
        <v>1221</v>
      </c>
      <c r="B517" s="1" t="str">
        <f>HYPERLINK("http://www.chemspider.com/Chemical-Structure.14709.html","14709")</f>
        <v>14709</v>
      </c>
      <c r="C517" s="1" t="str">
        <f>HYPERLINK("https://www.ebi.ac.uk/chembl/compound/inspect/CHEMBL1079604","CHEMBL1079604")</f>
        <v>CHEMBL1079604</v>
      </c>
      <c r="D517" t="s">
        <v>9</v>
      </c>
      <c r="E517" t="s">
        <v>1222</v>
      </c>
      <c r="F517" t="s">
        <v>1223</v>
      </c>
      <c r="G517">
        <v>0</v>
      </c>
      <c r="H517" s="4">
        <v>10</v>
      </c>
    </row>
    <row r="518" spans="1:8" x14ac:dyDescent="0.2">
      <c r="A518" t="s">
        <v>1224</v>
      </c>
      <c r="B518" s="1" t="str">
        <f>HYPERLINK("http://www.chemspider.com/Chemical-Structure.4580440.html","4580440")</f>
        <v>4580440</v>
      </c>
      <c r="G518">
        <v>0</v>
      </c>
      <c r="H518" s="4">
        <v>10</v>
      </c>
    </row>
    <row r="519" spans="1:8" x14ac:dyDescent="0.2">
      <c r="A519" t="s">
        <v>1225</v>
      </c>
      <c r="B519" s="1" t="str">
        <f>HYPERLINK("http://www.chemspider.com/Chemical-Structure.4888.html","4888")</f>
        <v>4888</v>
      </c>
      <c r="C519" s="1" t="str">
        <f>HYPERLINK("https://www.ebi.ac.uk/chembl/compound/inspect/CHEMBL34","CHEMBL34")</f>
        <v>CHEMBL34</v>
      </c>
      <c r="D519" t="s">
        <v>1</v>
      </c>
      <c r="F519" t="s">
        <v>1226</v>
      </c>
      <c r="G519">
        <v>0</v>
      </c>
      <c r="H519" s="4">
        <v>10</v>
      </c>
    </row>
    <row r="520" spans="1:8" x14ac:dyDescent="0.2">
      <c r="A520" t="s">
        <v>1227</v>
      </c>
      <c r="B520" s="1" t="str">
        <f>HYPERLINK("http://www.chemspider.com/Chemical-Structure.115748.html","115748")</f>
        <v>115748</v>
      </c>
      <c r="C520" s="1" t="str">
        <f>HYPERLINK("https://www.ebi.ac.uk/chembl/compound/inspect/CHEMBL1200692","CHEMBL1200692")</f>
        <v>CHEMBL1200692</v>
      </c>
      <c r="D520" t="s">
        <v>9</v>
      </c>
      <c r="E520" t="s">
        <v>1228</v>
      </c>
      <c r="F520" t="s">
        <v>1229</v>
      </c>
      <c r="G520">
        <v>536</v>
      </c>
      <c r="H520" s="4">
        <v>9.9992440929999997</v>
      </c>
    </row>
    <row r="521" spans="1:8" x14ac:dyDescent="0.2">
      <c r="A521" t="s">
        <v>1230</v>
      </c>
      <c r="B521" s="1" t="str">
        <f>HYPERLINK("http://www.chemspider.com/Chemical-Structure.4561.html","4561")</f>
        <v>4561</v>
      </c>
      <c r="C521" s="1" t="str">
        <f>HYPERLINK("https://www.ebi.ac.uk/chembl/compound/inspect/CHEMBL1177","CHEMBL1177")</f>
        <v>CHEMBL1177</v>
      </c>
      <c r="D521" t="s">
        <v>9</v>
      </c>
      <c r="E521" t="s">
        <v>1231</v>
      </c>
      <c r="F521" t="s">
        <v>1232</v>
      </c>
      <c r="G521">
        <v>4</v>
      </c>
      <c r="H521" s="4">
        <v>10</v>
      </c>
    </row>
    <row r="522" spans="1:8" x14ac:dyDescent="0.2">
      <c r="A522" t="s">
        <v>1233</v>
      </c>
      <c r="B522" s="1" t="str">
        <f>HYPERLINK("http://www.chemspider.com/Chemical-Structure.282625.html","282625")</f>
        <v>282625</v>
      </c>
      <c r="C522" s="1" t="str">
        <f>HYPERLINK("https://www.ebi.ac.uk/chembl/compound/inspect/CHEMBL519","CHEMBL519")</f>
        <v>CHEMBL519</v>
      </c>
      <c r="D522" t="s">
        <v>1</v>
      </c>
      <c r="E522" t="s">
        <v>1234</v>
      </c>
      <c r="F522" t="s">
        <v>1235</v>
      </c>
      <c r="G522">
        <v>2</v>
      </c>
      <c r="H522" s="4">
        <v>9.9994355059999993</v>
      </c>
    </row>
    <row r="523" spans="1:8" x14ac:dyDescent="0.2">
      <c r="A523" t="s">
        <v>1236</v>
      </c>
      <c r="B523" s="1" t="str">
        <f>HYPERLINK("http://www.chemspider.com/Chemical-Structure.2797480.html","2797480")</f>
        <v>2797480</v>
      </c>
      <c r="G523">
        <v>0</v>
      </c>
      <c r="H523" s="4">
        <v>10</v>
      </c>
    </row>
    <row r="524" spans="1:8" x14ac:dyDescent="0.2">
      <c r="A524" t="s">
        <v>1237</v>
      </c>
      <c r="B524" s="1" t="str">
        <f>HYPERLINK("http://www.chemspider.com/Chemical-Structure.20572588.html","20572588")</f>
        <v>20572588</v>
      </c>
      <c r="G524">
        <v>0</v>
      </c>
      <c r="H524" s="4">
        <v>10</v>
      </c>
    </row>
    <row r="525" spans="1:8" x14ac:dyDescent="0.2">
      <c r="A525" t="s">
        <v>1238</v>
      </c>
      <c r="B525" s="1" t="str">
        <f>HYPERLINK("http://www.chemspider.com/Chemical-Structure.4444070.html","4444070")</f>
        <v>4444070</v>
      </c>
      <c r="C525" s="1" t="str">
        <f>HYPERLINK("https://www.ebi.ac.uk/chembl/compound/inspect/CHEMBL242341","CHEMBL242341")</f>
        <v>CHEMBL242341</v>
      </c>
      <c r="D525" t="s">
        <v>1</v>
      </c>
      <c r="E525" t="s">
        <v>1239</v>
      </c>
      <c r="F525" t="s">
        <v>1240</v>
      </c>
      <c r="G525">
        <v>1</v>
      </c>
      <c r="H525" s="4">
        <v>10</v>
      </c>
    </row>
    <row r="526" spans="1:8" x14ac:dyDescent="0.2">
      <c r="A526" t="s">
        <v>1241</v>
      </c>
      <c r="B526" s="1" t="str">
        <f>HYPERLINK("http://www.chemspider.com/Chemical-Structure.4444068.html","4444068")</f>
        <v>4444068</v>
      </c>
      <c r="C526" s="1" t="str">
        <f>HYPERLINK("https://www.ebi.ac.uk/chembl/compound/inspect/CHEMBL131921","CHEMBL131921")</f>
        <v>CHEMBL131921</v>
      </c>
      <c r="D526" t="s">
        <v>1</v>
      </c>
      <c r="E526" t="s">
        <v>1242</v>
      </c>
      <c r="F526" t="s">
        <v>1243</v>
      </c>
      <c r="G526">
        <v>0</v>
      </c>
      <c r="H526" s="4">
        <v>10</v>
      </c>
    </row>
    <row r="527" spans="1:8" x14ac:dyDescent="0.2">
      <c r="A527" t="s">
        <v>1244</v>
      </c>
      <c r="B527" s="1" t="str">
        <f>HYPERLINK("http://www.chemspider.com/Chemical-Structure.3616.html","3616")</f>
        <v>3616</v>
      </c>
      <c r="C527" s="1" t="str">
        <f>HYPERLINK("https://www.ebi.ac.uk/chembl/compound/inspect/CHEMBL165790","CHEMBL165790")</f>
        <v>CHEMBL165790</v>
      </c>
      <c r="D527" t="s">
        <v>1</v>
      </c>
      <c r="E527" t="s">
        <v>1245</v>
      </c>
      <c r="F527" t="s">
        <v>1246</v>
      </c>
      <c r="G527">
        <v>0</v>
      </c>
      <c r="H527" s="4">
        <v>10</v>
      </c>
    </row>
    <row r="528" spans="1:8" x14ac:dyDescent="0.2">
      <c r="A528" t="s">
        <v>1247</v>
      </c>
      <c r="B528" s="1" t="str">
        <f>HYPERLINK("http://www.chemspider.com/Chemical-Structure.3708.html","3708")</f>
        <v>3708</v>
      </c>
      <c r="C528" s="1" t="str">
        <f>HYPERLINK("https://www.ebi.ac.uk/chembl/compound/inspect/CHEMBL287556","CHEMBL287556")</f>
        <v>CHEMBL287556</v>
      </c>
      <c r="D528" t="s">
        <v>1</v>
      </c>
      <c r="E528" t="s">
        <v>1248</v>
      </c>
      <c r="F528" t="s">
        <v>1249</v>
      </c>
      <c r="G528">
        <v>7731</v>
      </c>
      <c r="H528" s="4">
        <v>10</v>
      </c>
    </row>
    <row r="529" spans="1:8" x14ac:dyDescent="0.2">
      <c r="A529" t="s">
        <v>1250</v>
      </c>
      <c r="B529" s="1" t="str">
        <f>HYPERLINK("http://www.chemspider.com/Chemical-Structure.8066.html","8066")</f>
        <v>8066</v>
      </c>
      <c r="C529" s="1" t="str">
        <f>HYPERLINK("https://www.ebi.ac.uk/chembl/compound/inspect/CHEMBL31422","CHEMBL31422")</f>
        <v>CHEMBL31422</v>
      </c>
      <c r="D529" t="s">
        <v>1</v>
      </c>
      <c r="E529" t="s">
        <v>1251</v>
      </c>
      <c r="F529" t="s">
        <v>1252</v>
      </c>
      <c r="G529">
        <v>0</v>
      </c>
      <c r="H529" s="4">
        <v>10</v>
      </c>
    </row>
    <row r="530" spans="1:8" x14ac:dyDescent="0.2">
      <c r="A530" t="s">
        <v>1253</v>
      </c>
      <c r="B530" s="1" t="str">
        <f>HYPERLINK("http://www.chemspider.com/Chemical-Structure.28162.html","28162")</f>
        <v>28162</v>
      </c>
      <c r="G530">
        <v>0</v>
      </c>
      <c r="H530" s="4" t="s">
        <v>3369</v>
      </c>
    </row>
    <row r="531" spans="1:8" x14ac:dyDescent="0.2">
      <c r="A531" t="s">
        <v>1254</v>
      </c>
      <c r="B531" s="1" t="str">
        <f>HYPERLINK("http://www.chemspider.com/Chemical-Structure.389987.html","389987")</f>
        <v>389987</v>
      </c>
      <c r="C531" s="1" t="str">
        <f>HYPERLINK("https://www.ebi.ac.uk/chembl/compound/inspect/CHEMBL254219","CHEMBL254219")</f>
        <v>CHEMBL254219</v>
      </c>
      <c r="D531" t="s">
        <v>9</v>
      </c>
      <c r="E531" t="s">
        <v>1255</v>
      </c>
      <c r="F531" t="s">
        <v>1256</v>
      </c>
      <c r="G531">
        <v>4</v>
      </c>
      <c r="H531" s="4">
        <v>10.000191129999999</v>
      </c>
    </row>
    <row r="532" spans="1:8" x14ac:dyDescent="0.2">
      <c r="A532" t="s">
        <v>1257</v>
      </c>
      <c r="B532" s="1" t="str">
        <f>HYPERLINK("http://www.chemspider.com/Chemical-Structure.3646543.html","3646543")</f>
        <v>3646543</v>
      </c>
      <c r="G532">
        <v>0</v>
      </c>
      <c r="H532" s="4">
        <v>10</v>
      </c>
    </row>
    <row r="533" spans="1:8" x14ac:dyDescent="0.2">
      <c r="A533" t="s">
        <v>1258</v>
      </c>
      <c r="B533" s="1" t="str">
        <f>HYPERLINK("http://www.chemspider.com/Chemical-Structure.2571892.html","2571892")</f>
        <v>2571892</v>
      </c>
      <c r="G533">
        <v>0</v>
      </c>
      <c r="H533" s="4">
        <v>10</v>
      </c>
    </row>
    <row r="534" spans="1:8" x14ac:dyDescent="0.2">
      <c r="A534" t="s">
        <v>1259</v>
      </c>
      <c r="B534" s="1" t="str">
        <f>HYPERLINK("http://www.chemspider.com/Chemical-Structure.21170687.html","21170687")</f>
        <v>21170687</v>
      </c>
      <c r="C534" s="1" t="str">
        <f>HYPERLINK("https://www.ebi.ac.uk/chembl/compound/inspect/CHEMBL1705045","CHEMBL1705045")</f>
        <v>CHEMBL1705045</v>
      </c>
      <c r="D534" t="s">
        <v>1</v>
      </c>
      <c r="F534" t="s">
        <v>1260</v>
      </c>
      <c r="G534">
        <v>0</v>
      </c>
      <c r="H534" s="4">
        <v>10</v>
      </c>
    </row>
    <row r="535" spans="1:8" x14ac:dyDescent="0.2">
      <c r="A535" t="s">
        <v>1261</v>
      </c>
      <c r="B535" s="1" t="str">
        <f>HYPERLINK("http://www.chemspider.com/Chemical-Structure.54705.html","54705")</f>
        <v>54705</v>
      </c>
      <c r="C535" s="1" t="str">
        <f>HYPERLINK("https://www.ebi.ac.uk/chembl/compound/inspect/CHEMBL84","CHEMBL84")</f>
        <v>CHEMBL84</v>
      </c>
      <c r="D535" t="s">
        <v>9</v>
      </c>
      <c r="E535" t="s">
        <v>1262</v>
      </c>
      <c r="F535" t="s">
        <v>1263</v>
      </c>
      <c r="G535">
        <v>771</v>
      </c>
      <c r="H535" s="4">
        <v>10</v>
      </c>
    </row>
    <row r="536" spans="1:8" x14ac:dyDescent="0.2">
      <c r="A536" t="s">
        <v>1264</v>
      </c>
      <c r="B536" s="1" t="str">
        <f>HYPERLINK("http://www.chemspider.com/Chemical-Structure.22775.html","22775")</f>
        <v>22775</v>
      </c>
      <c r="C536" s="1" t="str">
        <f>HYPERLINK("https://www.ebi.ac.uk/chembl/compound/inspect/CHEMBL65","CHEMBL65")</f>
        <v>CHEMBL65</v>
      </c>
      <c r="D536" t="s">
        <v>1</v>
      </c>
      <c r="E536" t="s">
        <v>1265</v>
      </c>
      <c r="F536" t="s">
        <v>1266</v>
      </c>
      <c r="G536">
        <v>384</v>
      </c>
      <c r="H536" s="4">
        <v>10</v>
      </c>
    </row>
    <row r="537" spans="1:8" x14ac:dyDescent="0.2">
      <c r="A537" t="s">
        <v>1267</v>
      </c>
      <c r="B537" s="1" t="str">
        <f>HYPERLINK("http://www.chemspider.com/Chemical-Structure.94634.html","94634")</f>
        <v>94634</v>
      </c>
      <c r="C537" s="1" t="str">
        <f>HYPERLINK("https://www.ebi.ac.uk/chembl/compound/inspect/CHEMBL837","CHEMBL837")</f>
        <v>CHEMBL837</v>
      </c>
      <c r="D537" t="s">
        <v>1</v>
      </c>
      <c r="E537" t="s">
        <v>1268</v>
      </c>
      <c r="F537" t="s">
        <v>1269</v>
      </c>
      <c r="G537">
        <v>0</v>
      </c>
      <c r="H537" s="4">
        <v>10</v>
      </c>
    </row>
    <row r="538" spans="1:8" x14ac:dyDescent="0.2">
      <c r="A538" t="s">
        <v>1270</v>
      </c>
      <c r="B538" s="1" t="str">
        <f>HYPERLINK("http://www.chemspider.com/Chemical-Structure.54825.html","54825")</f>
        <v>54825</v>
      </c>
      <c r="C538" s="1" t="str">
        <f>HYPERLINK("https://www.ebi.ac.uk/chembl/compound/inspect/CHEMBL481","CHEMBL481")</f>
        <v>CHEMBL481</v>
      </c>
      <c r="D538" t="s">
        <v>9</v>
      </c>
      <c r="E538" t="s">
        <v>1271</v>
      </c>
      <c r="F538" t="s">
        <v>1272</v>
      </c>
      <c r="G538">
        <v>2118</v>
      </c>
      <c r="H538" s="4">
        <v>10</v>
      </c>
    </row>
    <row r="539" spans="1:8" x14ac:dyDescent="0.2">
      <c r="A539" t="s">
        <v>1273</v>
      </c>
      <c r="B539" s="1" t="str">
        <f>HYPERLINK("http://www.chemspider.com/Chemical-Structure.5015.html","5015")</f>
        <v>5015</v>
      </c>
      <c r="C539" s="1" t="str">
        <f>HYPERLINK("https://www.ebi.ac.uk/chembl/compound/inspect/CHEMBL1904496","CHEMBL1904496")</f>
        <v>CHEMBL1904496</v>
      </c>
      <c r="D539" t="s">
        <v>1</v>
      </c>
      <c r="F539" t="s">
        <v>1274</v>
      </c>
      <c r="G539">
        <v>0</v>
      </c>
      <c r="H539" s="4">
        <v>10</v>
      </c>
    </row>
    <row r="540" spans="1:8" x14ac:dyDescent="0.2">
      <c r="A540" t="s">
        <v>1275</v>
      </c>
      <c r="B540" s="1" t="str">
        <f>HYPERLINK("http://www.chemspider.com/Chemical-Structure.97099.html","97099")</f>
        <v>97099</v>
      </c>
      <c r="C540" s="1" t="str">
        <f>HYPERLINK("https://www.ebi.ac.uk/chembl/compound/inspect/CHEMBL463763","CHEMBL463763")</f>
        <v>CHEMBL463763</v>
      </c>
      <c r="D540" t="s">
        <v>1</v>
      </c>
      <c r="E540" t="s">
        <v>1276</v>
      </c>
      <c r="F540" t="s">
        <v>1277</v>
      </c>
      <c r="G540">
        <v>7</v>
      </c>
      <c r="H540" s="4" t="s">
        <v>3369</v>
      </c>
    </row>
    <row r="541" spans="1:8" x14ac:dyDescent="0.2">
      <c r="A541" t="s">
        <v>1278</v>
      </c>
      <c r="B541" s="1" t="str">
        <f>HYPERLINK("http://www.chemspider.com/Chemical-Structure.5208.html","5208")</f>
        <v>5208</v>
      </c>
      <c r="C541" s="1" t="str">
        <f>HYPERLINK("https://www.ebi.ac.uk/chembl/compound/inspect/CHEMBL611","CHEMBL611")</f>
        <v>CHEMBL611</v>
      </c>
      <c r="D541" t="s">
        <v>9</v>
      </c>
      <c r="E541" t="s">
        <v>1279</v>
      </c>
      <c r="F541" t="s">
        <v>1280</v>
      </c>
      <c r="G541">
        <v>41</v>
      </c>
      <c r="H541" s="4">
        <v>10</v>
      </c>
    </row>
    <row r="542" spans="1:8" x14ac:dyDescent="0.2">
      <c r="A542" t="s">
        <v>1281</v>
      </c>
      <c r="B542" s="1" t="str">
        <f>HYPERLINK("http://www.chemspider.com/Chemical-Structure.2008.html","2008")</f>
        <v>2008</v>
      </c>
      <c r="C542" s="1" t="str">
        <f>HYPERLINK("https://www.ebi.ac.uk/chembl/compound/inspect/CHEMBL709","CHEMBL709")</f>
        <v>CHEMBL709</v>
      </c>
      <c r="D542" t="s">
        <v>9</v>
      </c>
      <c r="E542" t="s">
        <v>1282</v>
      </c>
      <c r="F542" t="s">
        <v>1283</v>
      </c>
      <c r="G542">
        <v>108</v>
      </c>
      <c r="H542" s="4">
        <v>10</v>
      </c>
    </row>
    <row r="543" spans="1:8" x14ac:dyDescent="0.2">
      <c r="A543" t="s">
        <v>1284</v>
      </c>
      <c r="B543" s="1" t="str">
        <f>HYPERLINK("http://www.chemspider.com/Chemical-Structure.22342.html","22342")</f>
        <v>22342</v>
      </c>
      <c r="C543" s="1" t="str">
        <f>HYPERLINK("https://www.ebi.ac.uk/chembl/compound/inspect/CHEMBL460","CHEMBL460")</f>
        <v>CHEMBL460</v>
      </c>
      <c r="D543" t="s">
        <v>9</v>
      </c>
      <c r="E543" t="s">
        <v>1285</v>
      </c>
      <c r="F543" t="s">
        <v>1286</v>
      </c>
      <c r="G543">
        <v>7</v>
      </c>
      <c r="H543" s="4">
        <v>10</v>
      </c>
    </row>
    <row r="544" spans="1:8" x14ac:dyDescent="0.2">
      <c r="A544" t="s">
        <v>1287</v>
      </c>
      <c r="B544" s="1" t="str">
        <f>HYPERLINK("http://www.chemspider.com/Chemical-Structure.3044.html","3044")</f>
        <v>3044</v>
      </c>
      <c r="C544" s="1" t="str">
        <f>HYPERLINK("https://www.ebi.ac.uk/chembl/compound/inspect/CHEMBL1754","CHEMBL1754")</f>
        <v>CHEMBL1754</v>
      </c>
      <c r="D544" t="s">
        <v>9</v>
      </c>
      <c r="E544" t="s">
        <v>1288</v>
      </c>
      <c r="F544" t="s">
        <v>1289</v>
      </c>
      <c r="G544">
        <v>5</v>
      </c>
      <c r="H544" s="4">
        <v>10</v>
      </c>
    </row>
    <row r="545" spans="1:8" x14ac:dyDescent="0.2">
      <c r="A545" t="s">
        <v>1290</v>
      </c>
      <c r="B545" s="1" t="str">
        <f>HYPERLINK("http://www.chemspider.com/Chemical-Structure.59148.html","59148")</f>
        <v>59148</v>
      </c>
      <c r="G545">
        <v>0</v>
      </c>
      <c r="H545" s="4">
        <v>5.429755364</v>
      </c>
    </row>
    <row r="546" spans="1:8" x14ac:dyDescent="0.2">
      <c r="A546" t="s">
        <v>1291</v>
      </c>
      <c r="B546" s="1" t="str">
        <f>HYPERLINK("http://www.chemspider.com/Chemical-Structure.4481255.html","4481255")</f>
        <v>4481255</v>
      </c>
      <c r="C546" s="1" t="str">
        <f>HYPERLINK("https://www.ebi.ac.uk/chembl/compound/inspect/CHEMBL1103","CHEMBL1103")</f>
        <v>CHEMBL1103</v>
      </c>
      <c r="D546" t="s">
        <v>9</v>
      </c>
      <c r="E546" t="s">
        <v>1292</v>
      </c>
      <c r="F546" t="s">
        <v>1293</v>
      </c>
      <c r="G546">
        <v>16</v>
      </c>
      <c r="H546" s="4">
        <v>10</v>
      </c>
    </row>
    <row r="547" spans="1:8" x14ac:dyDescent="0.2">
      <c r="A547" t="s">
        <v>1294</v>
      </c>
      <c r="B547" s="1" t="str">
        <f>HYPERLINK("http://www.chemspider.com/Chemical-Structure.214162.html","214162")</f>
        <v>214162</v>
      </c>
      <c r="G547">
        <v>0</v>
      </c>
      <c r="H547" s="4">
        <v>10</v>
      </c>
    </row>
    <row r="548" spans="1:8" x14ac:dyDescent="0.2">
      <c r="A548" t="s">
        <v>1295</v>
      </c>
      <c r="G548">
        <v>0</v>
      </c>
      <c r="H548" s="4">
        <v>20</v>
      </c>
    </row>
    <row r="549" spans="1:8" x14ac:dyDescent="0.2">
      <c r="A549" t="s">
        <v>1296</v>
      </c>
      <c r="G549">
        <v>0</v>
      </c>
      <c r="H549" s="4">
        <v>10</v>
      </c>
    </row>
    <row r="550" spans="1:8" x14ac:dyDescent="0.2">
      <c r="A550" t="s">
        <v>1297</v>
      </c>
      <c r="G550">
        <v>0</v>
      </c>
      <c r="H550" s="4">
        <v>10</v>
      </c>
    </row>
    <row r="551" spans="1:8" x14ac:dyDescent="0.2">
      <c r="A551" t="s">
        <v>1298</v>
      </c>
      <c r="G551">
        <v>0</v>
      </c>
      <c r="H551" s="4">
        <v>10</v>
      </c>
    </row>
    <row r="552" spans="1:8" x14ac:dyDescent="0.2">
      <c r="A552" t="s">
        <v>1299</v>
      </c>
      <c r="G552">
        <v>0</v>
      </c>
      <c r="H552" s="4">
        <v>10</v>
      </c>
    </row>
    <row r="553" spans="1:8" x14ac:dyDescent="0.2">
      <c r="A553" t="s">
        <v>1300</v>
      </c>
      <c r="B553" s="1" t="str">
        <f>HYPERLINK("http://www.chemspider.com/Chemical-Structure.3192.html","3192")</f>
        <v>3192</v>
      </c>
      <c r="C553" s="1" t="str">
        <f>HYPERLINK("https://www.ebi.ac.uk/chembl/compound/inspect/CHEMBL622","CHEMBL622")</f>
        <v>CHEMBL622</v>
      </c>
      <c r="D553" t="s">
        <v>9</v>
      </c>
      <c r="E553" t="s">
        <v>1301</v>
      </c>
      <c r="F553" t="s">
        <v>1302</v>
      </c>
      <c r="G553">
        <v>57</v>
      </c>
      <c r="H553" s="4">
        <v>10</v>
      </c>
    </row>
    <row r="554" spans="1:8" x14ac:dyDescent="0.2">
      <c r="A554" t="s">
        <v>1303</v>
      </c>
      <c r="B554" s="1" t="str">
        <f>HYPERLINK("http://www.chemspider.com/Chemical-Structure.181000.html","181000")</f>
        <v>181000</v>
      </c>
      <c r="C554" s="1" t="str">
        <f>HYPERLINK("https://www.ebi.ac.uk/chembl/compound/inspect/CHEMBL1218","CHEMBL1218")</f>
        <v>CHEMBL1218</v>
      </c>
      <c r="D554" t="s">
        <v>9</v>
      </c>
      <c r="E554" t="s">
        <v>1304</v>
      </c>
      <c r="F554" t="s">
        <v>1305</v>
      </c>
      <c r="G554">
        <v>215</v>
      </c>
      <c r="H554" s="4">
        <v>10</v>
      </c>
    </row>
    <row r="555" spans="1:8" x14ac:dyDescent="0.2">
      <c r="A555" t="s">
        <v>1306</v>
      </c>
      <c r="B555" s="1" t="str">
        <f>HYPERLINK("http://www.chemspider.com/Chemical-Structure.140851.html","140851")</f>
        <v>140851</v>
      </c>
      <c r="C555" s="1" t="str">
        <f>HYPERLINK("https://www.ebi.ac.uk/chembl/compound/inspect/CHEMBL187460","CHEMBL187460")</f>
        <v>CHEMBL187460</v>
      </c>
      <c r="D555" t="s">
        <v>1</v>
      </c>
      <c r="E555" t="s">
        <v>1307</v>
      </c>
      <c r="F555" t="s">
        <v>1308</v>
      </c>
      <c r="G555">
        <v>0</v>
      </c>
      <c r="H555" s="4">
        <v>10</v>
      </c>
    </row>
    <row r="556" spans="1:8" x14ac:dyDescent="0.2">
      <c r="A556" t="s">
        <v>1309</v>
      </c>
      <c r="B556" s="1" t="str">
        <f>HYPERLINK("http://www.chemspider.com/Chemical-Structure.89870.html","89870")</f>
        <v>89870</v>
      </c>
      <c r="C556" s="1" t="str">
        <f>HYPERLINK("https://www.ebi.ac.uk/chembl/compound/inspect/CHEMBL412437","CHEMBL412437")</f>
        <v>CHEMBL412437</v>
      </c>
      <c r="D556" t="s">
        <v>1</v>
      </c>
      <c r="E556" t="s">
        <v>1310</v>
      </c>
      <c r="F556" t="s">
        <v>1311</v>
      </c>
      <c r="G556">
        <v>0</v>
      </c>
      <c r="H556" s="4">
        <v>10</v>
      </c>
    </row>
    <row r="557" spans="1:8" x14ac:dyDescent="0.2">
      <c r="A557" t="s">
        <v>1312</v>
      </c>
      <c r="B557" s="1" t="str">
        <f>HYPERLINK("http://www.chemspider.com/Chemical-Structure.25027418.html","25027418")</f>
        <v>25027418</v>
      </c>
      <c r="G557">
        <v>0</v>
      </c>
      <c r="H557" s="4">
        <v>10</v>
      </c>
    </row>
    <row r="558" spans="1:8" x14ac:dyDescent="0.2">
      <c r="A558" t="s">
        <v>1313</v>
      </c>
      <c r="B558" s="1" t="str">
        <f>HYPERLINK("http://www.chemspider.com/Chemical-Structure.5699.html","5699")</f>
        <v>5699</v>
      </c>
      <c r="C558" s="1" t="str">
        <f>HYPERLINK("https://www.ebi.ac.uk/chembl/compound/inspect/CHEMBL550","CHEMBL550")</f>
        <v>CHEMBL550</v>
      </c>
      <c r="D558" t="s">
        <v>9</v>
      </c>
      <c r="E558" t="s">
        <v>1314</v>
      </c>
      <c r="F558" t="s">
        <v>1315</v>
      </c>
      <c r="G558">
        <v>46</v>
      </c>
      <c r="H558" s="4">
        <v>10</v>
      </c>
    </row>
    <row r="559" spans="1:8" x14ac:dyDescent="0.2">
      <c r="A559" t="s">
        <v>1316</v>
      </c>
      <c r="B559" s="1" t="str">
        <f>HYPERLINK("http://www.chemspider.com/Chemical-Structure.10162.html","10162")</f>
        <v>10162</v>
      </c>
      <c r="C559" s="1" t="str">
        <f>HYPERLINK("https://www.ebi.ac.uk/chembl/compound/inspect/CHEMBL61","CHEMBL61")</f>
        <v>CHEMBL61</v>
      </c>
      <c r="D559" t="s">
        <v>9</v>
      </c>
      <c r="E559" t="s">
        <v>1317</v>
      </c>
      <c r="F559" t="s">
        <v>1318</v>
      </c>
      <c r="G559">
        <v>0</v>
      </c>
      <c r="H559" s="4" t="s">
        <v>3369</v>
      </c>
    </row>
    <row r="560" spans="1:8" x14ac:dyDescent="0.2">
      <c r="A560" t="s">
        <v>1319</v>
      </c>
      <c r="B560" s="1" t="str">
        <f>HYPERLINK("http://www.chemspider.com/Chemical-Structure.33510.html","33510")</f>
        <v>33510</v>
      </c>
      <c r="C560" s="1" t="str">
        <f>HYPERLINK("https://www.ebi.ac.uk/chembl/compound/inspect/CHEMBL44657","CHEMBL44657")</f>
        <v>CHEMBL44657</v>
      </c>
      <c r="D560" t="s">
        <v>9</v>
      </c>
      <c r="E560" t="s">
        <v>1320</v>
      </c>
      <c r="F560" t="s">
        <v>1321</v>
      </c>
      <c r="G560">
        <v>2693</v>
      </c>
      <c r="H560" s="4">
        <v>10</v>
      </c>
    </row>
    <row r="561" spans="1:8" x14ac:dyDescent="0.2">
      <c r="A561" t="s">
        <v>1322</v>
      </c>
      <c r="B561" s="1" t="str">
        <f>HYPERLINK("http://www.chemspider.com/Chemical-Structure.393865.html","393865")</f>
        <v>393865</v>
      </c>
      <c r="C561" s="1" t="str">
        <f>HYPERLINK("https://www.ebi.ac.uk/chembl/compound/inspect/CHEMBL866","CHEMBL866")</f>
        <v>CHEMBL866</v>
      </c>
      <c r="D561" t="s">
        <v>9</v>
      </c>
      <c r="E561" t="s">
        <v>1323</v>
      </c>
      <c r="F561" t="s">
        <v>1324</v>
      </c>
      <c r="G561">
        <v>7737</v>
      </c>
      <c r="H561" s="4">
        <v>10</v>
      </c>
    </row>
    <row r="562" spans="1:8" x14ac:dyDescent="0.2">
      <c r="A562" t="s">
        <v>1325</v>
      </c>
      <c r="B562" s="1" t="str">
        <f>HYPERLINK("http://www.chemspider.com/Chemical-Structure.580858.html","580858")</f>
        <v>580858</v>
      </c>
      <c r="C562" s="1" t="str">
        <f>HYPERLINK("https://www.ebi.ac.uk/chembl/compound/inspect/CHEMBL860","CHEMBL860")</f>
        <v>CHEMBL860</v>
      </c>
      <c r="D562" t="s">
        <v>1</v>
      </c>
      <c r="E562" t="s">
        <v>1326</v>
      </c>
      <c r="F562" t="s">
        <v>1327</v>
      </c>
      <c r="G562">
        <v>0</v>
      </c>
      <c r="H562" s="4">
        <v>10</v>
      </c>
    </row>
    <row r="563" spans="1:8" x14ac:dyDescent="0.2">
      <c r="A563" t="s">
        <v>1328</v>
      </c>
      <c r="B563" s="1" t="str">
        <f>HYPERLINK("http://www.chemspider.com/Chemical-Structure.580850.html","580850")</f>
        <v>580850</v>
      </c>
      <c r="C563" s="1" t="str">
        <f>HYPERLINK("https://www.ebi.ac.uk/chembl/compound/inspect/CHEMBL101740","CHEMBL101740")</f>
        <v>CHEMBL101740</v>
      </c>
      <c r="D563" t="s">
        <v>1</v>
      </c>
      <c r="E563" t="s">
        <v>1329</v>
      </c>
      <c r="F563" t="s">
        <v>1330</v>
      </c>
      <c r="G563">
        <v>0</v>
      </c>
      <c r="H563" s="4">
        <v>10</v>
      </c>
    </row>
    <row r="564" spans="1:8" x14ac:dyDescent="0.2">
      <c r="A564" t="s">
        <v>1331</v>
      </c>
      <c r="B564" s="1" t="str">
        <f>HYPERLINK("http://www.chemspider.com/Chemical-Structure.5998.html","5998")</f>
        <v>5998</v>
      </c>
      <c r="C564" s="1" t="str">
        <f>HYPERLINK("https://www.ebi.ac.uk/chembl/compound/inspect/CHEMBL771","CHEMBL771")</f>
        <v>CHEMBL771</v>
      </c>
      <c r="D564" t="s">
        <v>9</v>
      </c>
      <c r="E564" t="s">
        <v>1332</v>
      </c>
      <c r="F564" t="s">
        <v>1333</v>
      </c>
      <c r="G564">
        <v>242</v>
      </c>
      <c r="H564" s="4">
        <v>10</v>
      </c>
    </row>
    <row r="565" spans="1:8" x14ac:dyDescent="0.2">
      <c r="A565" t="s">
        <v>1334</v>
      </c>
      <c r="B565" s="1" t="str">
        <f>HYPERLINK("http://www.chemspider.com/Chemical-Structure.39117.html","39117")</f>
        <v>39117</v>
      </c>
      <c r="C565" s="1" t="str">
        <f>HYPERLINK("https://www.ebi.ac.uk/chembl/compound/inspect/CHEMBL1117","CHEMBL1117")</f>
        <v>CHEMBL1117</v>
      </c>
      <c r="D565" t="s">
        <v>9</v>
      </c>
      <c r="E565" t="s">
        <v>1335</v>
      </c>
      <c r="F565" t="s">
        <v>1336</v>
      </c>
      <c r="G565">
        <v>402</v>
      </c>
      <c r="H565" s="4" t="s">
        <v>3369</v>
      </c>
    </row>
    <row r="566" spans="1:8" x14ac:dyDescent="0.2">
      <c r="A566" t="s">
        <v>1337</v>
      </c>
      <c r="B566" s="1" t="str">
        <f>HYPERLINK("http://www.chemspider.com/Chemical-Structure.29400.html","29400")</f>
        <v>29400</v>
      </c>
      <c r="C566" s="1" t="str">
        <f>HYPERLINK("https://www.ebi.ac.uk/chembl/compound/inspect/CHEMBL53463","CHEMBL53463")</f>
        <v>CHEMBL53463</v>
      </c>
      <c r="D566" t="s">
        <v>9</v>
      </c>
      <c r="E566" t="s">
        <v>1338</v>
      </c>
      <c r="F566" t="s">
        <v>1339</v>
      </c>
      <c r="G566">
        <v>3015</v>
      </c>
      <c r="H566" s="4">
        <v>9.9992320590000006</v>
      </c>
    </row>
    <row r="567" spans="1:8" x14ac:dyDescent="0.2">
      <c r="A567" t="s">
        <v>1340</v>
      </c>
      <c r="B567" s="1" t="str">
        <f>HYPERLINK("http://www.chemspider.com/Chemical-Structure.38201.html","38201")</f>
        <v>38201</v>
      </c>
      <c r="G567">
        <v>0</v>
      </c>
      <c r="H567" s="4" t="s">
        <v>3369</v>
      </c>
    </row>
    <row r="568" spans="1:8" x14ac:dyDescent="0.2">
      <c r="A568" t="s">
        <v>1341</v>
      </c>
      <c r="B568" s="1" t="str">
        <f>HYPERLINK("http://www.chemspider.com/Chemical-Structure.23642.html","23642")</f>
        <v>23642</v>
      </c>
      <c r="G568">
        <v>0</v>
      </c>
      <c r="H568" s="4">
        <v>10</v>
      </c>
    </row>
    <row r="569" spans="1:8" x14ac:dyDescent="0.2">
      <c r="A569" t="s">
        <v>1342</v>
      </c>
      <c r="B569" s="1" t="str">
        <f>HYPERLINK("http://www.chemspider.com/Chemical-Structure.17270.html","17270")</f>
        <v>17270</v>
      </c>
      <c r="C569" s="1" t="str">
        <f>HYPERLINK("https://www.ebi.ac.uk/chembl/compound/inspect/CHEMBL991","CHEMBL991")</f>
        <v>CHEMBL991</v>
      </c>
      <c r="D569" t="s">
        <v>9</v>
      </c>
      <c r="E569" t="s">
        <v>1343</v>
      </c>
      <c r="F569" t="s">
        <v>1344</v>
      </c>
      <c r="G569">
        <v>290</v>
      </c>
      <c r="H569" s="4">
        <v>10</v>
      </c>
    </row>
    <row r="570" spans="1:8" x14ac:dyDescent="0.2">
      <c r="A570" t="s">
        <v>1345</v>
      </c>
      <c r="B570" s="1" t="str">
        <f>HYPERLINK("http://www.chemspider.com/Chemical-Structure.21106307.html","21106307")</f>
        <v>21106307</v>
      </c>
      <c r="C570" s="1" t="str">
        <f>HYPERLINK("https://www.ebi.ac.uk/chembl/compound/inspect/CHEMBL1908360","CHEMBL1908360")</f>
        <v>CHEMBL1908360</v>
      </c>
      <c r="D570" t="s">
        <v>9</v>
      </c>
      <c r="E570" t="s">
        <v>1346</v>
      </c>
      <c r="F570" t="s">
        <v>1347</v>
      </c>
      <c r="G570">
        <v>2327</v>
      </c>
      <c r="H570" s="4">
        <v>10</v>
      </c>
    </row>
    <row r="571" spans="1:8" x14ac:dyDescent="0.2">
      <c r="A571" t="s">
        <v>1348</v>
      </c>
      <c r="B571" s="1" t="str">
        <f>HYPERLINK("http://www.chemspider.com/Chemical-Structure.24534097.html","24534097")</f>
        <v>24534097</v>
      </c>
      <c r="G571">
        <v>0</v>
      </c>
      <c r="H571" s="4">
        <v>10</v>
      </c>
    </row>
    <row r="572" spans="1:8" x14ac:dyDescent="0.2">
      <c r="A572" t="s">
        <v>1349</v>
      </c>
      <c r="B572" s="1" t="str">
        <f>HYPERLINK("http://www.chemspider.com/Chemical-Structure.22498.html","22498")</f>
        <v>22498</v>
      </c>
      <c r="C572" s="1" t="str">
        <f>HYPERLINK("https://www.ebi.ac.uk/chembl/compound/inspect/CHEMBL853","CHEMBL853")</f>
        <v>CHEMBL853</v>
      </c>
      <c r="D572" t="s">
        <v>9</v>
      </c>
      <c r="E572" t="s">
        <v>1350</v>
      </c>
      <c r="F572" t="s">
        <v>1351</v>
      </c>
      <c r="G572">
        <v>79</v>
      </c>
      <c r="H572" s="4">
        <v>9.9996931</v>
      </c>
    </row>
    <row r="573" spans="1:8" x14ac:dyDescent="0.2">
      <c r="A573" t="s">
        <v>1352</v>
      </c>
      <c r="B573" s="1" t="str">
        <f>HYPERLINK("http://www.chemspider.com/Chemical-Structure.45864.html","45864")</f>
        <v>45864</v>
      </c>
      <c r="C573" s="1" t="str">
        <f>HYPERLINK("https://www.ebi.ac.uk/chembl/compound/inspect/CHEMBL1460","CHEMBL1460")</f>
        <v>CHEMBL1460</v>
      </c>
      <c r="D573" t="s">
        <v>9</v>
      </c>
      <c r="E573" t="s">
        <v>1353</v>
      </c>
      <c r="F573" t="s">
        <v>1354</v>
      </c>
      <c r="G573">
        <v>282</v>
      </c>
      <c r="H573" s="4">
        <v>10.1</v>
      </c>
    </row>
    <row r="574" spans="1:8" x14ac:dyDescent="0.2">
      <c r="A574" t="s">
        <v>1355</v>
      </c>
      <c r="B574" s="1" t="str">
        <f>HYPERLINK("http://www.chemspider.com/Chemical-Structure.145115.html","145115")</f>
        <v>145115</v>
      </c>
      <c r="C574" s="1" t="str">
        <f>HYPERLINK("https://www.ebi.ac.uk/chembl/compound/inspect/CHEMBL370143","CHEMBL370143")</f>
        <v>CHEMBL370143</v>
      </c>
      <c r="D574" t="s">
        <v>1</v>
      </c>
      <c r="E574" t="s">
        <v>1356</v>
      </c>
      <c r="F574" t="s">
        <v>1357</v>
      </c>
      <c r="G574">
        <v>83</v>
      </c>
      <c r="H574" s="4">
        <v>9.98</v>
      </c>
    </row>
    <row r="575" spans="1:8" x14ac:dyDescent="0.2">
      <c r="A575" t="s">
        <v>1358</v>
      </c>
      <c r="B575" s="1" t="str">
        <f>HYPERLINK("http://www.chemspider.com/Chemical-Structure.49179.html","49179")</f>
        <v>49179</v>
      </c>
      <c r="C575" s="1" t="str">
        <f>HYPERLINK("https://www.ebi.ac.uk/chembl/compound/inspect/CHEMBL1064","CHEMBL1064")</f>
        <v>CHEMBL1064</v>
      </c>
      <c r="D575" t="s">
        <v>9</v>
      </c>
      <c r="E575" t="s">
        <v>1359</v>
      </c>
      <c r="F575" t="s">
        <v>1360</v>
      </c>
      <c r="G575">
        <v>1102</v>
      </c>
      <c r="H575" s="4">
        <v>10</v>
      </c>
    </row>
    <row r="576" spans="1:8" x14ac:dyDescent="0.2">
      <c r="A576" t="s">
        <v>1361</v>
      </c>
      <c r="B576" s="1" t="str">
        <f>HYPERLINK("http://www.chemspider.com/Chemical-Structure.48085.html","48085")</f>
        <v>48085</v>
      </c>
      <c r="C576" s="1" t="str">
        <f>HYPERLINK("https://www.ebi.ac.uk/chembl/compound/inspect/CHEMBL503","CHEMBL503")</f>
        <v>CHEMBL503</v>
      </c>
      <c r="D576" t="s">
        <v>9</v>
      </c>
      <c r="E576" t="s">
        <v>1362</v>
      </c>
      <c r="F576" t="s">
        <v>1363</v>
      </c>
      <c r="G576">
        <v>103</v>
      </c>
      <c r="H576" s="4">
        <v>10</v>
      </c>
    </row>
    <row r="577" spans="1:8" x14ac:dyDescent="0.2">
      <c r="A577" t="s">
        <v>1364</v>
      </c>
      <c r="B577" s="1" t="str">
        <f>HYPERLINK("http://www.chemspider.com/Chemical-Structure.58262.html","58262")</f>
        <v>58262</v>
      </c>
      <c r="C577" s="1" t="str">
        <f>HYPERLINK("https://www.ebi.ac.uk/chembl/compound/inspect/CHEMBL54440","CHEMBL54440")</f>
        <v>CHEMBL54440</v>
      </c>
      <c r="D577" t="s">
        <v>1</v>
      </c>
      <c r="E577" t="s">
        <v>1365</v>
      </c>
      <c r="F577" t="s">
        <v>1366</v>
      </c>
      <c r="G577">
        <v>0</v>
      </c>
      <c r="H577" s="4">
        <v>10</v>
      </c>
    </row>
    <row r="578" spans="1:8" x14ac:dyDescent="0.2">
      <c r="A578" t="s">
        <v>1367</v>
      </c>
      <c r="B578" s="1" t="str">
        <f>HYPERLINK("http://www.chemspider.com/Chemical-Structure.2298564.html","2298564")</f>
        <v>2298564</v>
      </c>
      <c r="C578" s="1" t="str">
        <f>HYPERLINK("https://www.ebi.ac.uk/chembl/compound/inspect/CHEMBL175247","CHEMBL175247")</f>
        <v>CHEMBL175247</v>
      </c>
      <c r="D578" t="s">
        <v>9</v>
      </c>
      <c r="E578" t="s">
        <v>1368</v>
      </c>
      <c r="F578" t="s">
        <v>1369</v>
      </c>
      <c r="G578">
        <v>137</v>
      </c>
      <c r="H578" s="4">
        <v>10</v>
      </c>
    </row>
    <row r="579" spans="1:8" x14ac:dyDescent="0.2">
      <c r="A579" t="s">
        <v>1370</v>
      </c>
      <c r="B579" s="1" t="str">
        <f>HYPERLINK("http://www.chemspider.com/Chemical-Structure.393914.html","393914")</f>
        <v>393914</v>
      </c>
      <c r="C579" s="1" t="str">
        <f>HYPERLINK("https://www.ebi.ac.uk/chembl/compound/inspect/CHEMBL719","CHEMBL719")</f>
        <v>CHEMBL719</v>
      </c>
      <c r="D579" t="s">
        <v>9</v>
      </c>
      <c r="E579" t="s">
        <v>1371</v>
      </c>
      <c r="F579" t="s">
        <v>1372</v>
      </c>
      <c r="G579">
        <v>106</v>
      </c>
      <c r="H579" s="4">
        <v>10</v>
      </c>
    </row>
    <row r="580" spans="1:8" x14ac:dyDescent="0.2">
      <c r="A580" t="s">
        <v>1373</v>
      </c>
      <c r="B580" s="1" t="str">
        <f>HYPERLINK("http://www.chemspider.com/Chemical-Structure.8981.html","8981")</f>
        <v>8981</v>
      </c>
      <c r="G580">
        <v>0</v>
      </c>
      <c r="H580" s="4">
        <v>10</v>
      </c>
    </row>
    <row r="581" spans="1:8" x14ac:dyDescent="0.2">
      <c r="A581" t="s">
        <v>1374</v>
      </c>
      <c r="B581" s="1" t="str">
        <f>HYPERLINK("http://www.chemspider.com/Chemical-Structure.389937.html","389937")</f>
        <v>389937</v>
      </c>
      <c r="C581" s="1" t="str">
        <f>HYPERLINK("https://www.ebi.ac.uk/chembl/compound/inspect/CHEMBL256105","CHEMBL256105")</f>
        <v>CHEMBL256105</v>
      </c>
      <c r="D581" t="s">
        <v>1</v>
      </c>
      <c r="E581" t="s">
        <v>1375</v>
      </c>
      <c r="F581" t="s">
        <v>1376</v>
      </c>
      <c r="G581">
        <v>6</v>
      </c>
      <c r="H581" s="4">
        <v>10</v>
      </c>
    </row>
    <row r="582" spans="1:8" x14ac:dyDescent="0.2">
      <c r="A582" t="s">
        <v>1377</v>
      </c>
      <c r="B582" s="1" t="str">
        <f>HYPERLINK("http://www.chemspider.com/Chemical-Structure.398010.html","398010")</f>
        <v>398010</v>
      </c>
      <c r="C582" s="1" t="str">
        <f>HYPERLINK("https://www.ebi.ac.uk/chembl/compound/inspect/CHEMBL1563465","CHEMBL1563465")</f>
        <v>CHEMBL1563465</v>
      </c>
      <c r="D582" t="s">
        <v>1</v>
      </c>
      <c r="F582" t="s">
        <v>1378</v>
      </c>
      <c r="G582">
        <v>0</v>
      </c>
      <c r="H582" s="4">
        <v>10</v>
      </c>
    </row>
    <row r="583" spans="1:8" x14ac:dyDescent="0.2">
      <c r="A583" t="s">
        <v>1379</v>
      </c>
      <c r="B583" s="1" t="str">
        <f>HYPERLINK("http://www.chemspider.com/Chemical-Structure.10599047.html","10599047")</f>
        <v>10599047</v>
      </c>
      <c r="C583" s="1" t="str">
        <f>HYPERLINK("https://www.ebi.ac.uk/chembl/compound/inspect/CHEMBL1510899","CHEMBL1510899")</f>
        <v>CHEMBL1510899</v>
      </c>
      <c r="D583" t="s">
        <v>1</v>
      </c>
      <c r="F583" t="s">
        <v>1380</v>
      </c>
      <c r="G583">
        <v>0</v>
      </c>
      <c r="H583" s="4">
        <v>10</v>
      </c>
    </row>
    <row r="584" spans="1:8" x14ac:dyDescent="0.2">
      <c r="A584" t="s">
        <v>1381</v>
      </c>
      <c r="B584" s="1" t="str">
        <f>HYPERLINK("http://www.chemspider.com/Chemical-Structure.130581.html","130581")</f>
        <v>130581</v>
      </c>
      <c r="C584" s="1" t="str">
        <f>HYPERLINK("https://www.ebi.ac.uk/chembl/compound/inspect/CHEMBL92","CHEMBL92")</f>
        <v>CHEMBL92</v>
      </c>
      <c r="D584" t="s">
        <v>9</v>
      </c>
      <c r="E584" t="s">
        <v>1382</v>
      </c>
      <c r="F584" t="s">
        <v>1383</v>
      </c>
      <c r="G584">
        <v>4203</v>
      </c>
      <c r="H584" s="4">
        <v>10</v>
      </c>
    </row>
    <row r="585" spans="1:8" x14ac:dyDescent="0.2">
      <c r="A585" t="s">
        <v>1384</v>
      </c>
      <c r="B585" s="1" t="str">
        <f>HYPERLINK("http://www.chemspider.com/Chemical-Structure.9533004.html","9533004")</f>
        <v>9533004</v>
      </c>
      <c r="G585">
        <v>0</v>
      </c>
      <c r="H585" s="4">
        <v>10</v>
      </c>
    </row>
    <row r="586" spans="1:8" x14ac:dyDescent="0.2">
      <c r="A586" t="s">
        <v>1385</v>
      </c>
      <c r="B586" s="1" t="str">
        <f>HYPERLINK("http://www.chemspider.com/Chemical-Structure.59099.html","59099")</f>
        <v>59099</v>
      </c>
      <c r="C586" s="1" t="str">
        <f>HYPERLINK("https://www.ebi.ac.uk/chembl/compound/inspect/CHEMBL353548","CHEMBL353548")</f>
        <v>CHEMBL353548</v>
      </c>
      <c r="D586" t="s">
        <v>1</v>
      </c>
      <c r="F586" t="s">
        <v>1386</v>
      </c>
      <c r="G586">
        <v>0</v>
      </c>
      <c r="H586" s="4">
        <v>10</v>
      </c>
    </row>
    <row r="587" spans="1:8" x14ac:dyDescent="0.2">
      <c r="A587" t="s">
        <v>1387</v>
      </c>
      <c r="B587" s="1" t="str">
        <f>HYPERLINK("http://www.chemspider.com/Chemical-Structure.62138.html","62138")</f>
        <v>62138</v>
      </c>
      <c r="C587" s="1" t="str">
        <f>HYPERLINK("https://www.ebi.ac.uk/chembl/compound/inspect/CHEMBL566534","CHEMBL566534")</f>
        <v>CHEMBL566534</v>
      </c>
      <c r="D587" t="s">
        <v>9</v>
      </c>
      <c r="E587" t="s">
        <v>1388</v>
      </c>
      <c r="F587" t="s">
        <v>1389</v>
      </c>
      <c r="G587">
        <v>337</v>
      </c>
      <c r="H587" s="4">
        <v>10</v>
      </c>
    </row>
    <row r="588" spans="1:8" x14ac:dyDescent="0.2">
      <c r="A588" t="s">
        <v>1390</v>
      </c>
      <c r="B588" s="1" t="str">
        <f>HYPERLINK("http://www.chemspider.com/Chemical-Structure.5293084.html","5293084")</f>
        <v>5293084</v>
      </c>
      <c r="C588" s="1" t="str">
        <f>HYPERLINK("https://www.ebi.ac.uk/chembl/compound/inspect/CHEMBL361497","CHEMBL361497")</f>
        <v>CHEMBL361497</v>
      </c>
      <c r="D588" t="s">
        <v>1</v>
      </c>
      <c r="G588">
        <v>0</v>
      </c>
      <c r="H588" s="4">
        <v>10</v>
      </c>
    </row>
    <row r="589" spans="1:8" x14ac:dyDescent="0.2">
      <c r="A589" t="s">
        <v>1391</v>
      </c>
      <c r="B589" s="1" t="str">
        <f>HYPERLINK("http://www.chemspider.com/Chemical-Structure.30988528.html","30988528")</f>
        <v>30988528</v>
      </c>
      <c r="G589">
        <v>0</v>
      </c>
      <c r="H589" s="4">
        <v>10</v>
      </c>
    </row>
    <row r="590" spans="1:8" x14ac:dyDescent="0.2">
      <c r="A590" t="s">
        <v>1392</v>
      </c>
      <c r="B590" s="1" t="str">
        <f>HYPERLINK("http://www.chemspider.com/Chemical-Structure.9272.html","9272")</f>
        <v>9272</v>
      </c>
      <c r="C590" s="1" t="str">
        <f>HYPERLINK("https://www.ebi.ac.uk/chembl/compound/inspect/CHEMBL659","CHEMBL659")</f>
        <v>CHEMBL659</v>
      </c>
      <c r="D590" t="s">
        <v>9</v>
      </c>
      <c r="E590" t="s">
        <v>1393</v>
      </c>
      <c r="F590" t="s">
        <v>1394</v>
      </c>
      <c r="G590">
        <v>221</v>
      </c>
      <c r="H590" s="4">
        <v>10</v>
      </c>
    </row>
    <row r="591" spans="1:8" x14ac:dyDescent="0.2">
      <c r="A591" t="s">
        <v>1395</v>
      </c>
      <c r="B591" s="1" t="str">
        <f>HYPERLINK("http://www.chemspider.com/Chemical-Structure.2006592.html","2006592")</f>
        <v>2006592</v>
      </c>
      <c r="G591">
        <v>0</v>
      </c>
      <c r="H591" s="4">
        <v>10</v>
      </c>
    </row>
    <row r="592" spans="1:8" x14ac:dyDescent="0.2">
      <c r="A592" t="s">
        <v>1396</v>
      </c>
      <c r="B592" s="1" t="str">
        <f>HYPERLINK("http://www.chemspider.com/Chemical-Structure.20572589.html","20572589")</f>
        <v>20572589</v>
      </c>
      <c r="C592" s="1" t="str">
        <f>HYPERLINK("https://www.ebi.ac.uk/chembl/compound/inspect/CHEMBL1616521","CHEMBL1616521")</f>
        <v>CHEMBL1616521</v>
      </c>
      <c r="D592" t="s">
        <v>1</v>
      </c>
      <c r="G592">
        <v>0</v>
      </c>
      <c r="H592" s="4">
        <v>10.1</v>
      </c>
    </row>
    <row r="593" spans="1:8" x14ac:dyDescent="0.2">
      <c r="A593" t="s">
        <v>1397</v>
      </c>
      <c r="B593" s="1" t="str">
        <f>HYPERLINK("http://www.chemspider.com/Chemical-Structure.8129202.html","8129202")</f>
        <v>8129202</v>
      </c>
      <c r="C593" s="1" t="str">
        <f>HYPERLINK("https://www.ebi.ac.uk/chembl/compound/inspect/CHEMBL149","CHEMBL149")</f>
        <v>CHEMBL149</v>
      </c>
      <c r="D593" t="s">
        <v>1</v>
      </c>
      <c r="G593">
        <v>0</v>
      </c>
      <c r="H593" s="4">
        <v>10</v>
      </c>
    </row>
    <row r="594" spans="1:8" x14ac:dyDescent="0.2">
      <c r="A594" t="s">
        <v>1398</v>
      </c>
      <c r="B594" s="1" t="str">
        <f>HYPERLINK("http://www.chemspider.com/Chemical-Structure.4514524.html","4514524")</f>
        <v>4514524</v>
      </c>
      <c r="C594" s="1" t="str">
        <f>HYPERLINK("https://www.ebi.ac.uk/chembl/compound/inspect/CHEMBL19019","CHEMBL19019")</f>
        <v>CHEMBL19019</v>
      </c>
      <c r="D594" t="s">
        <v>9</v>
      </c>
      <c r="E594" t="s">
        <v>1399</v>
      </c>
      <c r="F594" t="s">
        <v>1400</v>
      </c>
      <c r="G594">
        <v>749</v>
      </c>
      <c r="H594" s="4">
        <v>10.0001011</v>
      </c>
    </row>
    <row r="595" spans="1:8" x14ac:dyDescent="0.2">
      <c r="A595" t="s">
        <v>1401</v>
      </c>
      <c r="B595" s="1" t="str">
        <f>HYPERLINK("http://www.chemspider.com/Chemical-Structure.4447644.html","4447644")</f>
        <v>4447644</v>
      </c>
      <c r="C595" s="1" t="str">
        <f>HYPERLINK("https://www.ebi.ac.uk/chembl/compound/inspect/CHEMBL80","CHEMBL80")</f>
        <v>CHEMBL80</v>
      </c>
      <c r="D595" t="s">
        <v>9</v>
      </c>
      <c r="E595" t="s">
        <v>1402</v>
      </c>
      <c r="F595" t="s">
        <v>1403</v>
      </c>
      <c r="G595">
        <v>375</v>
      </c>
      <c r="H595" s="4">
        <v>10</v>
      </c>
    </row>
    <row r="596" spans="1:8" x14ac:dyDescent="0.2">
      <c r="A596" t="s">
        <v>1404</v>
      </c>
      <c r="B596" s="1" t="str">
        <f>HYPERLINK("http://www.chemspider.com/Chemical-Structure.4444479.html","4444479")</f>
        <v>4444479</v>
      </c>
      <c r="C596" s="1" t="str">
        <f>HYPERLINK("https://www.ebi.ac.uk/chembl/compound/inspect/CHEMBL1370","CHEMBL1370")</f>
        <v>CHEMBL1370</v>
      </c>
      <c r="D596" t="s">
        <v>9</v>
      </c>
      <c r="E596" t="s">
        <v>1405</v>
      </c>
      <c r="F596" t="s">
        <v>1406</v>
      </c>
      <c r="G596">
        <v>776</v>
      </c>
      <c r="H596" s="4">
        <v>10</v>
      </c>
    </row>
    <row r="597" spans="1:8" x14ac:dyDescent="0.2">
      <c r="A597" t="s">
        <v>1407</v>
      </c>
      <c r="B597" s="1" t="str">
        <f>HYPERLINK("http://www.chemspider.com/Chemical-Structure.4976056.html","4976056")</f>
        <v>4976056</v>
      </c>
      <c r="G597">
        <v>0</v>
      </c>
      <c r="H597" s="4">
        <v>10</v>
      </c>
    </row>
    <row r="598" spans="1:8" x14ac:dyDescent="0.2">
      <c r="A598" t="s">
        <v>1408</v>
      </c>
      <c r="B598" s="1" t="str">
        <f>HYPERLINK("http://www.chemspider.com/Chemical-Structure.4976056.html","4976056")</f>
        <v>4976056</v>
      </c>
      <c r="G598">
        <v>0</v>
      </c>
      <c r="H598" s="4">
        <v>9.1999999999999993</v>
      </c>
    </row>
    <row r="599" spans="1:8" x14ac:dyDescent="0.2">
      <c r="A599" t="s">
        <v>1409</v>
      </c>
      <c r="B599" s="1" t="str">
        <f>HYPERLINK("http://www.chemspider.com/Chemical-Structure.14263.html","14263")</f>
        <v>14263</v>
      </c>
      <c r="C599" s="1" t="str">
        <f>HYPERLINK("https://www.ebi.ac.uk/chembl/compound/inspect/CHEMBL441687","CHEMBL441687")</f>
        <v>CHEMBL441687</v>
      </c>
      <c r="D599" t="s">
        <v>1</v>
      </c>
      <c r="E599" t="s">
        <v>1410</v>
      </c>
      <c r="F599" t="s">
        <v>1411</v>
      </c>
      <c r="G599">
        <v>2</v>
      </c>
      <c r="H599" s="4">
        <v>10</v>
      </c>
    </row>
    <row r="600" spans="1:8" x14ac:dyDescent="0.2">
      <c r="A600" t="s">
        <v>1412</v>
      </c>
      <c r="B600" s="1" t="str">
        <f>HYPERLINK("http://www.chemspider.com/Chemical-Structure.12041.html","12041")</f>
        <v>12041</v>
      </c>
      <c r="C600" s="1" t="str">
        <f>HYPERLINK("https://www.ebi.ac.uk/chembl/compound/inspect/CHEMBL532","CHEMBL532")</f>
        <v>CHEMBL532</v>
      </c>
      <c r="D600" t="s">
        <v>9</v>
      </c>
      <c r="E600" t="s">
        <v>1413</v>
      </c>
      <c r="F600" t="s">
        <v>1414</v>
      </c>
      <c r="G600">
        <v>233</v>
      </c>
      <c r="H600" s="4">
        <v>10</v>
      </c>
    </row>
    <row r="601" spans="1:8" x14ac:dyDescent="0.2">
      <c r="A601" t="s">
        <v>1415</v>
      </c>
      <c r="B601" s="1" t="str">
        <f>HYPERLINK("http://www.chemspider.com/Chemical-Structure.10342604.html","10342604")</f>
        <v>10342604</v>
      </c>
      <c r="C601" s="1" t="str">
        <f>HYPERLINK("https://www.ebi.ac.uk/chembl/compound/inspect/CHEMBL1741","CHEMBL1741")</f>
        <v>CHEMBL1741</v>
      </c>
      <c r="D601" t="s">
        <v>9</v>
      </c>
      <c r="E601" t="s">
        <v>1416</v>
      </c>
      <c r="F601" t="s">
        <v>1417</v>
      </c>
      <c r="G601">
        <v>426</v>
      </c>
      <c r="H601" s="4">
        <v>10</v>
      </c>
    </row>
    <row r="602" spans="1:8" x14ac:dyDescent="0.2">
      <c r="A602" t="s">
        <v>1418</v>
      </c>
      <c r="B602" s="1" t="str">
        <f>HYPERLINK("http://www.chemspider.com/Chemical-Structure.10482163.html","10482163")</f>
        <v>10482163</v>
      </c>
      <c r="C602" s="1" t="str">
        <f>HYPERLINK("https://www.ebi.ac.uk/chembl/compound/inspect/CHEMBL529","CHEMBL529")</f>
        <v>CHEMBL529</v>
      </c>
      <c r="D602" t="s">
        <v>9</v>
      </c>
      <c r="E602" t="s">
        <v>1419</v>
      </c>
      <c r="F602" t="s">
        <v>1420</v>
      </c>
      <c r="G602">
        <v>661</v>
      </c>
      <c r="H602" s="4">
        <v>9.9998897450000008</v>
      </c>
    </row>
    <row r="603" spans="1:8" x14ac:dyDescent="0.2">
      <c r="A603" t="s">
        <v>1421</v>
      </c>
      <c r="B603" s="1" t="str">
        <f>HYPERLINK("http://www.chemspider.com/Chemical-Structure.9868248.html","9868248")</f>
        <v>9868248</v>
      </c>
      <c r="G603">
        <v>0</v>
      </c>
      <c r="H603" s="4">
        <v>10</v>
      </c>
    </row>
    <row r="604" spans="1:8" x14ac:dyDescent="0.2">
      <c r="A604" t="s">
        <v>1422</v>
      </c>
      <c r="B604" s="1" t="str">
        <f>HYPERLINK("http://www.chemspider.com/Chemical-Structure.21475078.html","21475078")</f>
        <v>21475078</v>
      </c>
      <c r="G604">
        <v>0</v>
      </c>
      <c r="H604" s="4">
        <v>10</v>
      </c>
    </row>
    <row r="605" spans="1:8" x14ac:dyDescent="0.2">
      <c r="A605" t="s">
        <v>1423</v>
      </c>
      <c r="B605" s="1" t="str">
        <f>HYPERLINK("http://www.chemspider.com/Chemical-Structure.32555.html","32555")</f>
        <v>32555</v>
      </c>
      <c r="C605" s="1" t="str">
        <f>HYPERLINK("https://www.ebi.ac.uk/chembl/compound/inspect/CHEMBL129","CHEMBL129")</f>
        <v>CHEMBL129</v>
      </c>
      <c r="D605" t="s">
        <v>9</v>
      </c>
      <c r="E605" t="s">
        <v>1424</v>
      </c>
      <c r="F605" t="s">
        <v>1425</v>
      </c>
      <c r="G605">
        <v>946</v>
      </c>
      <c r="H605" s="4">
        <v>10</v>
      </c>
    </row>
    <row r="606" spans="1:8" x14ac:dyDescent="0.2">
      <c r="A606" t="s">
        <v>1426</v>
      </c>
      <c r="B606" s="1" t="str">
        <f>HYPERLINK("http://www.chemspider.com/Chemical-Structure.5585.html","5585")</f>
        <v>5585</v>
      </c>
      <c r="C606" s="1" t="str">
        <f>HYPERLINK("https://www.ebi.ac.uk/chembl/compound/inspect/CHEMBL52609","CHEMBL52609")</f>
        <v>CHEMBL52609</v>
      </c>
      <c r="D606" t="s">
        <v>1</v>
      </c>
      <c r="E606" t="s">
        <v>1427</v>
      </c>
      <c r="F606" t="s">
        <v>1428</v>
      </c>
      <c r="G606">
        <v>87</v>
      </c>
      <c r="H606" s="4">
        <v>10</v>
      </c>
    </row>
    <row r="607" spans="1:8" x14ac:dyDescent="0.2">
      <c r="A607" t="s">
        <v>1429</v>
      </c>
      <c r="B607" s="1" t="str">
        <f>HYPERLINK("http://www.chemspider.com/Chemical-Structure.13118.html","13118")</f>
        <v>13118</v>
      </c>
      <c r="C607" s="1" t="str">
        <f>HYPERLINK("https://www.ebi.ac.uk/chembl/compound/inspect/CHEMBL353955","CHEMBL353955")</f>
        <v>CHEMBL353955</v>
      </c>
      <c r="D607" t="s">
        <v>1</v>
      </c>
      <c r="E607" t="s">
        <v>1430</v>
      </c>
      <c r="F607" t="s">
        <v>1431</v>
      </c>
      <c r="G607">
        <v>3</v>
      </c>
      <c r="H607" s="4">
        <v>10</v>
      </c>
    </row>
    <row r="608" spans="1:8" x14ac:dyDescent="0.2">
      <c r="A608" t="s">
        <v>1432</v>
      </c>
      <c r="B608" s="1" t="str">
        <f>HYPERLINK("http://www.chemspider.com/Chemical-Structure.397844.html","397844")</f>
        <v>397844</v>
      </c>
      <c r="C608" s="1" t="str">
        <f>HYPERLINK("https://www.ebi.ac.uk/chembl/compound/inspect/CHEMBL1201129","CHEMBL1201129")</f>
        <v>CHEMBL1201129</v>
      </c>
      <c r="D608" t="s">
        <v>9</v>
      </c>
      <c r="E608" t="s">
        <v>1433</v>
      </c>
      <c r="F608" t="s">
        <v>1434</v>
      </c>
      <c r="G608">
        <v>500</v>
      </c>
      <c r="H608" s="4">
        <v>50</v>
      </c>
    </row>
    <row r="609" spans="1:8" x14ac:dyDescent="0.2">
      <c r="A609" t="s">
        <v>1435</v>
      </c>
      <c r="B609" s="1" t="str">
        <f>HYPERLINK("http://www.chemspider.com/Chemical-Structure.388759.html","388759")</f>
        <v>388759</v>
      </c>
      <c r="C609" s="1" t="str">
        <f>HYPERLINK("https://www.ebi.ac.uk/chembl/compound/inspect/CHEMBL1580","CHEMBL1580")</f>
        <v>CHEMBL1580</v>
      </c>
      <c r="D609" t="s">
        <v>9</v>
      </c>
      <c r="E609" t="s">
        <v>1436</v>
      </c>
      <c r="F609" t="s">
        <v>1437</v>
      </c>
      <c r="G609">
        <v>128</v>
      </c>
      <c r="H609" s="4">
        <v>10</v>
      </c>
    </row>
    <row r="610" spans="1:8" x14ac:dyDescent="0.2">
      <c r="A610" t="s">
        <v>1438</v>
      </c>
      <c r="B610" s="1" t="str">
        <f>HYPERLINK("http://www.chemspider.com/Chemical-Structure.13135.html","13135")</f>
        <v>13135</v>
      </c>
      <c r="C610" s="1" t="str">
        <f>HYPERLINK("https://www.ebi.ac.uk/chembl/compound/inspect/CHEMBL449329","CHEMBL449329")</f>
        <v>CHEMBL449329</v>
      </c>
      <c r="D610" t="s">
        <v>1</v>
      </c>
      <c r="G610">
        <v>0</v>
      </c>
      <c r="H610" s="4">
        <v>10</v>
      </c>
    </row>
    <row r="611" spans="1:8" x14ac:dyDescent="0.2">
      <c r="A611" t="s">
        <v>1439</v>
      </c>
      <c r="B611" s="1" t="str">
        <f>HYPERLINK("http://www.chemspider.com/Chemical-Structure.5807.html","5807")</f>
        <v>5807</v>
      </c>
      <c r="C611" s="1" t="str">
        <f>HYPERLINK("https://www.ebi.ac.uk/chembl/compound/inspect/CHEMBL100259","CHEMBL100259")</f>
        <v>CHEMBL100259</v>
      </c>
      <c r="D611" t="s">
        <v>1</v>
      </c>
      <c r="E611" t="s">
        <v>1440</v>
      </c>
      <c r="F611" t="s">
        <v>1441</v>
      </c>
      <c r="G611">
        <v>13</v>
      </c>
      <c r="H611" s="4">
        <v>10</v>
      </c>
    </row>
    <row r="612" spans="1:8" x14ac:dyDescent="0.2">
      <c r="A612" t="s">
        <v>1442</v>
      </c>
      <c r="B612" s="1" t="str">
        <f>HYPERLINK("http://www.chemspider.com/Chemical-Structure.9072.html","9072")</f>
        <v>9072</v>
      </c>
      <c r="C612" s="1" t="str">
        <f>HYPERLINK("https://www.ebi.ac.uk/chembl/compound/inspect/CHEMBL1489","CHEMBL1489")</f>
        <v>CHEMBL1489</v>
      </c>
      <c r="D612" t="s">
        <v>9</v>
      </c>
      <c r="E612" t="s">
        <v>1443</v>
      </c>
      <c r="F612" t="s">
        <v>1444</v>
      </c>
      <c r="G612">
        <v>605</v>
      </c>
      <c r="H612" s="4">
        <v>10</v>
      </c>
    </row>
    <row r="613" spans="1:8" x14ac:dyDescent="0.2">
      <c r="A613" t="s">
        <v>1445</v>
      </c>
      <c r="B613" s="1" t="str">
        <f>HYPERLINK("http://www.chemspider.com/Chemical-Structure.5690.html","5690")</f>
        <v>5690</v>
      </c>
      <c r="C613" s="1" t="str">
        <f>HYPERLINK("https://www.ebi.ac.uk/chembl/compound/inspect/CHEMBL564201","CHEMBL564201")</f>
        <v>CHEMBL564201</v>
      </c>
      <c r="D613" t="s">
        <v>1</v>
      </c>
      <c r="E613" t="s">
        <v>1446</v>
      </c>
      <c r="F613" t="s">
        <v>1447</v>
      </c>
      <c r="G613">
        <v>0</v>
      </c>
      <c r="H613" s="4">
        <v>10</v>
      </c>
    </row>
    <row r="614" spans="1:8" x14ac:dyDescent="0.2">
      <c r="A614" t="s">
        <v>1448</v>
      </c>
      <c r="B614" s="1" t="str">
        <f>HYPERLINK("http://www.chemspider.com/Chemical-Structure.6544.html","6544")</f>
        <v>6544</v>
      </c>
      <c r="C614" s="1" t="str">
        <f>HYPERLINK("https://www.ebi.ac.uk/chembl/compound/inspect/CHEMBL375655","CHEMBL375655")</f>
        <v>CHEMBL375655</v>
      </c>
      <c r="D614" t="s">
        <v>1</v>
      </c>
      <c r="E614" t="s">
        <v>1449</v>
      </c>
      <c r="F614" t="s">
        <v>1450</v>
      </c>
      <c r="G614">
        <v>1</v>
      </c>
      <c r="H614" s="4">
        <v>10</v>
      </c>
    </row>
    <row r="615" spans="1:8" x14ac:dyDescent="0.2">
      <c r="A615" t="s">
        <v>1451</v>
      </c>
      <c r="B615" s="1" t="str">
        <f>HYPERLINK("http://www.chemspider.com/Chemical-Structure.34439.html","34439")</f>
        <v>34439</v>
      </c>
      <c r="C615" s="1" t="str">
        <f>HYPERLINK("https://www.ebi.ac.uk/chembl/compound/inspect/CHEMBL1643","CHEMBL1643")</f>
        <v>CHEMBL1643</v>
      </c>
      <c r="D615" t="s">
        <v>9</v>
      </c>
      <c r="E615" t="s">
        <v>1452</v>
      </c>
      <c r="F615" t="s">
        <v>1453</v>
      </c>
      <c r="G615">
        <v>1981</v>
      </c>
      <c r="H615" s="4">
        <v>10</v>
      </c>
    </row>
    <row r="616" spans="1:8" x14ac:dyDescent="0.2">
      <c r="A616" t="s">
        <v>1454</v>
      </c>
      <c r="B616" s="1" t="str">
        <f>HYPERLINK("http://www.chemspider.com/Chemical-Structure.23089591.html","23089591")</f>
        <v>23089591</v>
      </c>
      <c r="G616">
        <v>0</v>
      </c>
      <c r="H616" s="4">
        <v>10</v>
      </c>
    </row>
    <row r="617" spans="1:8" x14ac:dyDescent="0.2">
      <c r="A617" t="s">
        <v>1455</v>
      </c>
      <c r="B617" s="1" t="str">
        <f>HYPERLINK("http://www.chemspider.com/Chemical-Structure.140088.html","140088")</f>
        <v>140088</v>
      </c>
      <c r="C617" s="1" t="str">
        <f>HYPERLINK("https://www.ebi.ac.uk/chembl/compound/inspect/CHEMBL465208","CHEMBL465208")</f>
        <v>CHEMBL465208</v>
      </c>
      <c r="D617" t="s">
        <v>1</v>
      </c>
      <c r="E617" t="s">
        <v>1456</v>
      </c>
      <c r="F617" t="s">
        <v>1457</v>
      </c>
      <c r="G617">
        <v>0</v>
      </c>
      <c r="H617" s="4">
        <v>10</v>
      </c>
    </row>
    <row r="618" spans="1:8" x14ac:dyDescent="0.2">
      <c r="A618" t="s">
        <v>1458</v>
      </c>
      <c r="B618" s="1" t="str">
        <f>HYPERLINK("http://www.chemspider.com/Chemical-Structure.82585.html","82585")</f>
        <v>82585</v>
      </c>
      <c r="C618" s="1" t="str">
        <f>HYPERLINK("https://www.ebi.ac.uk/chembl/compound/inspect/CHEMBL514882","CHEMBL514882")</f>
        <v>CHEMBL514882</v>
      </c>
      <c r="D618" t="s">
        <v>1</v>
      </c>
      <c r="E618" t="s">
        <v>1459</v>
      </c>
      <c r="F618" t="s">
        <v>1460</v>
      </c>
      <c r="G618">
        <v>0</v>
      </c>
      <c r="H618" s="4">
        <v>10</v>
      </c>
    </row>
    <row r="619" spans="1:8" x14ac:dyDescent="0.2">
      <c r="A619" t="s">
        <v>1461</v>
      </c>
      <c r="B619" s="1" t="str">
        <f>HYPERLINK("http://www.chemspider.com/Chemical-Structure.24667697.html","24667697")</f>
        <v>24667697</v>
      </c>
      <c r="C619" s="1" t="str">
        <f>HYPERLINK("https://www.ebi.ac.uk/chembl/compound/inspect/CHEMBL1095009","CHEMBL1095009")</f>
        <v>CHEMBL1095009</v>
      </c>
      <c r="D619" t="s">
        <v>1</v>
      </c>
      <c r="E619" t="s">
        <v>1462</v>
      </c>
      <c r="F619" t="s">
        <v>1463</v>
      </c>
      <c r="G619">
        <v>238419</v>
      </c>
      <c r="H619" s="4">
        <v>10</v>
      </c>
    </row>
    <row r="620" spans="1:8" x14ac:dyDescent="0.2">
      <c r="A620" t="s">
        <v>1464</v>
      </c>
      <c r="B620" s="1" t="str">
        <f>HYPERLINK("http://www.chemspider.com/Chemical-Structure.16736534.html","16736534")</f>
        <v>16736534</v>
      </c>
      <c r="G620">
        <v>0</v>
      </c>
      <c r="H620" s="4">
        <v>10</v>
      </c>
    </row>
    <row r="621" spans="1:8" x14ac:dyDescent="0.2">
      <c r="A621" t="s">
        <v>1465</v>
      </c>
      <c r="B621" s="1" t="str">
        <f>HYPERLINK("http://www.chemspider.com/Chemical-Structure.16498836.html","16498836")</f>
        <v>16498836</v>
      </c>
      <c r="C621" s="1" t="str">
        <f>HYPERLINK("https://www.ebi.ac.uk/chembl/compound/inspect/CHEMBL245067","CHEMBL245067")</f>
        <v>CHEMBL245067</v>
      </c>
      <c r="D621" t="s">
        <v>1</v>
      </c>
      <c r="E621" t="s">
        <v>1466</v>
      </c>
      <c r="F621" t="s">
        <v>1467</v>
      </c>
      <c r="G621">
        <v>0</v>
      </c>
      <c r="H621" s="4">
        <v>10</v>
      </c>
    </row>
    <row r="622" spans="1:8" x14ac:dyDescent="0.2">
      <c r="A622" t="s">
        <v>1468</v>
      </c>
      <c r="B622" s="1" t="str">
        <f>HYPERLINK("http://www.chemspider.com/Chemical-Structure.4445034.html","4445034")</f>
        <v>4445034</v>
      </c>
      <c r="C622" s="1" t="str">
        <f>HYPERLINK("https://www.ebi.ac.uk/chembl/compound/inspect/CHEMBL142652","CHEMBL142652")</f>
        <v>CHEMBL142652</v>
      </c>
      <c r="D622" t="s">
        <v>1</v>
      </c>
      <c r="E622" t="s">
        <v>1469</v>
      </c>
      <c r="F622" t="s">
        <v>1470</v>
      </c>
      <c r="G622">
        <v>0</v>
      </c>
      <c r="H622" s="4">
        <v>10</v>
      </c>
    </row>
    <row r="623" spans="1:8" x14ac:dyDescent="0.2">
      <c r="A623" t="s">
        <v>1471</v>
      </c>
      <c r="B623" s="1" t="str">
        <f>HYPERLINK("http://www.chemspider.com/Chemical-Structure.389765.html","389765")</f>
        <v>389765</v>
      </c>
      <c r="C623" s="1" t="str">
        <f>HYPERLINK("https://www.ebi.ac.uk/chembl/compound/inspect/CHEMBL232202","CHEMBL232202")</f>
        <v>CHEMBL232202</v>
      </c>
      <c r="D623" t="s">
        <v>1</v>
      </c>
      <c r="E623" t="s">
        <v>1472</v>
      </c>
      <c r="F623" t="s">
        <v>1473</v>
      </c>
      <c r="G623">
        <v>1</v>
      </c>
      <c r="H623" s="4">
        <v>10</v>
      </c>
    </row>
    <row r="624" spans="1:8" x14ac:dyDescent="0.2">
      <c r="A624" t="s">
        <v>1474</v>
      </c>
      <c r="B624" s="1" t="str">
        <f>HYPERLINK("http://www.chemspider.com/Chemical-Structure.102977.html","102977")</f>
        <v>102977</v>
      </c>
      <c r="C624" s="1" t="str">
        <f>HYPERLINK("https://www.ebi.ac.uk/chembl/compound/inspect/CHEMBL274739","CHEMBL274739")</f>
        <v>CHEMBL274739</v>
      </c>
      <c r="D624" t="s">
        <v>1</v>
      </c>
      <c r="E624" t="s">
        <v>1475</v>
      </c>
      <c r="G624">
        <v>0</v>
      </c>
      <c r="H624" s="4">
        <v>10</v>
      </c>
    </row>
    <row r="625" spans="1:8" x14ac:dyDescent="0.2">
      <c r="A625" t="s">
        <v>1476</v>
      </c>
      <c r="B625" s="1" t="str">
        <f>HYPERLINK("http://www.chemspider.com/Chemical-Structure.388601.html","388601")</f>
        <v>388601</v>
      </c>
      <c r="C625" s="1" t="str">
        <f>HYPERLINK("https://www.ebi.ac.uk/chembl/compound/inspect/CHEMBL462997","CHEMBL462997")</f>
        <v>CHEMBL462997</v>
      </c>
      <c r="D625" t="s">
        <v>1</v>
      </c>
      <c r="E625" t="s">
        <v>1477</v>
      </c>
      <c r="F625" t="s">
        <v>1478</v>
      </c>
      <c r="G625">
        <v>0</v>
      </c>
      <c r="H625" s="4">
        <v>10</v>
      </c>
    </row>
    <row r="626" spans="1:8" x14ac:dyDescent="0.2">
      <c r="A626" t="s">
        <v>1479</v>
      </c>
      <c r="B626" s="1" t="str">
        <f>HYPERLINK("http://www.chemspider.com/Chemical-Structure.390966.html","390966")</f>
        <v>390966</v>
      </c>
      <c r="C626" s="1" t="str">
        <f>HYPERLINK("https://www.ebi.ac.uk/chembl/compound/inspect/CHEMBL462996","CHEMBL462996")</f>
        <v>CHEMBL462996</v>
      </c>
      <c r="D626" t="s">
        <v>1</v>
      </c>
      <c r="E626" t="s">
        <v>1480</v>
      </c>
      <c r="F626" t="s">
        <v>1481</v>
      </c>
      <c r="G626">
        <v>0</v>
      </c>
      <c r="H626" s="4">
        <v>10</v>
      </c>
    </row>
    <row r="627" spans="1:8" x14ac:dyDescent="0.2">
      <c r="A627" t="s">
        <v>1482</v>
      </c>
      <c r="B627" s="1" t="str">
        <f>HYPERLINK("http://www.chemspider.com/Chemical-Structure.28072.html","28072")</f>
        <v>28072</v>
      </c>
      <c r="C627" s="1" t="str">
        <f>HYPERLINK("https://www.ebi.ac.uk/chembl/compound/inspect/CHEMBL1159645","CHEMBL1159645")</f>
        <v>CHEMBL1159645</v>
      </c>
      <c r="D627" t="s">
        <v>1</v>
      </c>
      <c r="F627" t="s">
        <v>1483</v>
      </c>
      <c r="G627">
        <v>0</v>
      </c>
      <c r="H627" s="4">
        <v>10</v>
      </c>
    </row>
    <row r="628" spans="1:8" x14ac:dyDescent="0.2">
      <c r="A628" t="s">
        <v>1484</v>
      </c>
      <c r="B628" s="1" t="str">
        <f>HYPERLINK("http://www.chemspider.com/Chemical-Structure.8070254.html","8070254")</f>
        <v>8070254</v>
      </c>
      <c r="G628">
        <v>0</v>
      </c>
      <c r="H628" s="4">
        <v>10</v>
      </c>
    </row>
    <row r="629" spans="1:8" x14ac:dyDescent="0.2">
      <c r="A629" t="s">
        <v>1485</v>
      </c>
      <c r="B629" s="1" t="str">
        <f>HYPERLINK("http://www.chemspider.com/Chemical-Structure.21468824.html","21468824")</f>
        <v>21468824</v>
      </c>
      <c r="G629">
        <v>0</v>
      </c>
      <c r="H629" s="4">
        <v>10</v>
      </c>
    </row>
    <row r="630" spans="1:8" x14ac:dyDescent="0.2">
      <c r="A630" t="s">
        <v>1486</v>
      </c>
      <c r="B630" s="1" t="str">
        <f>HYPERLINK("http://www.chemspider.com/Chemical-Structure.390868.html","390868")</f>
        <v>390868</v>
      </c>
      <c r="C630" s="1" t="str">
        <f>HYPERLINK("https://www.ebi.ac.uk/chembl/compound/inspect/CHEMBL451532","CHEMBL451532")</f>
        <v>CHEMBL451532</v>
      </c>
      <c r="D630" t="s">
        <v>1</v>
      </c>
      <c r="F630" t="s">
        <v>1487</v>
      </c>
      <c r="G630">
        <v>0</v>
      </c>
      <c r="H630" s="4">
        <v>10</v>
      </c>
    </row>
    <row r="631" spans="1:8" x14ac:dyDescent="0.2">
      <c r="A631" t="s">
        <v>1488</v>
      </c>
      <c r="B631" s="1" t="str">
        <f>HYPERLINK("http://www.chemspider.com/Chemical-Structure.6017.html","6017")</f>
        <v>6017</v>
      </c>
      <c r="C631" s="1" t="str">
        <f>HYPERLINK("https://www.ebi.ac.uk/chembl/compound/inspect/CHEMBL803","CHEMBL803")</f>
        <v>CHEMBL803</v>
      </c>
      <c r="D631" t="s">
        <v>9</v>
      </c>
      <c r="E631" t="s">
        <v>1489</v>
      </c>
      <c r="F631" t="s">
        <v>1490</v>
      </c>
      <c r="G631">
        <v>1824</v>
      </c>
      <c r="H631" s="4">
        <v>10</v>
      </c>
    </row>
    <row r="632" spans="1:8" x14ac:dyDescent="0.2">
      <c r="A632" t="s">
        <v>1491</v>
      </c>
      <c r="B632" s="1" t="str">
        <f>HYPERLINK("http://www.chemspider.com/Chemical-Structure.20400.html","20400")</f>
        <v>20400</v>
      </c>
      <c r="C632" s="1" t="str">
        <f>HYPERLINK("https://www.ebi.ac.uk/chembl/compound/inspect/CHEMBL1090","CHEMBL1090")</f>
        <v>CHEMBL1090</v>
      </c>
      <c r="D632" t="s">
        <v>9</v>
      </c>
      <c r="E632" t="s">
        <v>1492</v>
      </c>
      <c r="F632" t="s">
        <v>1493</v>
      </c>
      <c r="G632">
        <v>409</v>
      </c>
      <c r="H632" s="4">
        <v>10</v>
      </c>
    </row>
    <row r="633" spans="1:8" x14ac:dyDescent="0.2">
      <c r="A633" t="s">
        <v>1494</v>
      </c>
      <c r="B633" s="1" t="str">
        <f>HYPERLINK("http://www.chemspider.com/Chemical-Structure.140549.html","140549")</f>
        <v>140549</v>
      </c>
      <c r="G633">
        <v>0</v>
      </c>
      <c r="H633" s="4">
        <v>10</v>
      </c>
    </row>
    <row r="634" spans="1:8" x14ac:dyDescent="0.2">
      <c r="A634" t="s">
        <v>1495</v>
      </c>
      <c r="B634" s="1" t="str">
        <f>HYPERLINK("http://www.chemspider.com/Chemical-Structure.38116.html","38116")</f>
        <v>38116</v>
      </c>
      <c r="C634" s="1" t="str">
        <f>HYPERLINK("https://www.ebi.ac.uk/chembl/compound/inspect/CHEMBL404271","CHEMBL404271")</f>
        <v>CHEMBL404271</v>
      </c>
      <c r="D634" t="s">
        <v>1</v>
      </c>
      <c r="F634" t="s">
        <v>1496</v>
      </c>
      <c r="G634">
        <v>0</v>
      </c>
      <c r="H634" s="4">
        <v>10.000640450000001</v>
      </c>
    </row>
    <row r="635" spans="1:8" x14ac:dyDescent="0.2">
      <c r="A635" t="s">
        <v>1497</v>
      </c>
      <c r="B635" s="1" t="str">
        <f>HYPERLINK("http://www.chemspider.com/Chemical-Structure.10176.html","10176")</f>
        <v>10176</v>
      </c>
      <c r="C635" s="1" t="str">
        <f>HYPERLINK("https://www.ebi.ac.uk/chembl/compound/inspect/CHEMBL449317","CHEMBL449317")</f>
        <v>CHEMBL449317</v>
      </c>
      <c r="D635" t="s">
        <v>1</v>
      </c>
      <c r="E635" t="s">
        <v>1498</v>
      </c>
      <c r="F635" t="s">
        <v>1499</v>
      </c>
      <c r="G635">
        <v>15</v>
      </c>
      <c r="H635" s="4">
        <v>10</v>
      </c>
    </row>
    <row r="636" spans="1:8" x14ac:dyDescent="0.2">
      <c r="A636" t="s">
        <v>1500</v>
      </c>
      <c r="B636" s="1" t="str">
        <f>HYPERLINK("http://www.chemspider.com/Chemical-Structure.25027416.html","25027416")</f>
        <v>25027416</v>
      </c>
      <c r="G636">
        <v>0</v>
      </c>
      <c r="H636" s="4">
        <v>10</v>
      </c>
    </row>
    <row r="637" spans="1:8" x14ac:dyDescent="0.2">
      <c r="A637" t="s">
        <v>1501</v>
      </c>
      <c r="B637" s="1" t="str">
        <f>HYPERLINK("http://www.chemspider.com/Chemical-Structure.31979.html","31979")</f>
        <v>31979</v>
      </c>
      <c r="C637" s="1" t="str">
        <f>HYPERLINK("https://www.ebi.ac.uk/chembl/compound/inspect/CHEMBL515712","CHEMBL515712")</f>
        <v>CHEMBL515712</v>
      </c>
      <c r="D637" t="s">
        <v>1</v>
      </c>
      <c r="E637" t="s">
        <v>1502</v>
      </c>
      <c r="F637" t="s">
        <v>1503</v>
      </c>
      <c r="G637">
        <v>6272</v>
      </c>
      <c r="H637" s="4">
        <v>10</v>
      </c>
    </row>
    <row r="638" spans="1:8" x14ac:dyDescent="0.2">
      <c r="A638" t="s">
        <v>1504</v>
      </c>
      <c r="B638" s="1" t="str">
        <f>HYPERLINK("http://www.chemspider.com/Chemical-Structure.24534069.html","24534069")</f>
        <v>24534069</v>
      </c>
      <c r="C638" s="1" t="str">
        <f>HYPERLINK("https://www.ebi.ac.uk/chembl/compound/inspect/CHEMBL2103763","CHEMBL2103763")</f>
        <v>CHEMBL2103763</v>
      </c>
      <c r="D638" t="s">
        <v>1</v>
      </c>
      <c r="G638">
        <v>0</v>
      </c>
      <c r="H638" s="4">
        <v>10</v>
      </c>
    </row>
    <row r="639" spans="1:8" x14ac:dyDescent="0.2">
      <c r="A639" t="s">
        <v>1505</v>
      </c>
      <c r="B639" s="1" t="str">
        <f>HYPERLINK("http://www.chemspider.com/Chemical-Structure.156367.html","156367")</f>
        <v>156367</v>
      </c>
      <c r="G639">
        <v>0</v>
      </c>
      <c r="H639" s="4">
        <v>10</v>
      </c>
    </row>
    <row r="640" spans="1:8" x14ac:dyDescent="0.2">
      <c r="A640" t="s">
        <v>1506</v>
      </c>
      <c r="B640" s="1" t="str">
        <f>HYPERLINK("http://www.chemspider.com/Chemical-Structure.21106418.html","21106418")</f>
        <v>21106418</v>
      </c>
      <c r="G640">
        <v>0</v>
      </c>
      <c r="H640" s="4">
        <v>10</v>
      </c>
    </row>
    <row r="641" spans="1:8" x14ac:dyDescent="0.2">
      <c r="A641" t="s">
        <v>1507</v>
      </c>
      <c r="B641" s="1" t="str">
        <f>HYPERLINK("http://www.chemspider.com/Chemical-Structure.96929.html","96929")</f>
        <v>96929</v>
      </c>
      <c r="G641">
        <v>0</v>
      </c>
      <c r="H641" s="4">
        <v>10</v>
      </c>
    </row>
    <row r="642" spans="1:8" x14ac:dyDescent="0.2">
      <c r="A642" t="s">
        <v>1508</v>
      </c>
      <c r="B642" s="1" t="str">
        <f>HYPERLINK("http://www.chemspider.com/Chemical-Structure.4554343.html","4554343")</f>
        <v>4554343</v>
      </c>
      <c r="C642" s="1" t="str">
        <f>HYPERLINK("https://www.ebi.ac.uk/chembl/compound/inspect/CHEMBL477923","CHEMBL477923")</f>
        <v>CHEMBL477923</v>
      </c>
      <c r="D642" t="s">
        <v>1</v>
      </c>
      <c r="F642" t="s">
        <v>1509</v>
      </c>
      <c r="G642">
        <v>0</v>
      </c>
      <c r="H642" s="4">
        <v>10</v>
      </c>
    </row>
    <row r="643" spans="1:8" x14ac:dyDescent="0.2">
      <c r="A643" t="s">
        <v>1510</v>
      </c>
      <c r="B643" s="1" t="str">
        <f>HYPERLINK("http://www.chemspider.com/Chemical-Structure.59455.html","59455")</f>
        <v>59455</v>
      </c>
      <c r="C643" s="1" t="str">
        <f>HYPERLINK("https://www.ebi.ac.uk/chembl/compound/inspect/CHEMBL273019","CHEMBL273019")</f>
        <v>CHEMBL273019</v>
      </c>
      <c r="D643" t="s">
        <v>1</v>
      </c>
      <c r="E643" t="s">
        <v>1511</v>
      </c>
      <c r="F643" t="s">
        <v>1512</v>
      </c>
      <c r="G643">
        <v>0</v>
      </c>
      <c r="H643" s="4">
        <v>10</v>
      </c>
    </row>
    <row r="644" spans="1:8" x14ac:dyDescent="0.2">
      <c r="A644" t="s">
        <v>1513</v>
      </c>
      <c r="B644" s="1" t="str">
        <f>HYPERLINK("http://www.chemspider.com/Chemical-Structure.570949.html","570949")</f>
        <v>570949</v>
      </c>
      <c r="C644" s="1" t="str">
        <f>HYPERLINK("https://www.ebi.ac.uk/chembl/compound/inspect/CHEMBL1200907","CHEMBL1200907")</f>
        <v>CHEMBL1200907</v>
      </c>
      <c r="D644" t="s">
        <v>9</v>
      </c>
      <c r="E644" t="s">
        <v>1514</v>
      </c>
      <c r="F644" t="s">
        <v>1515</v>
      </c>
      <c r="G644">
        <v>6</v>
      </c>
      <c r="H644" s="4">
        <v>10</v>
      </c>
    </row>
    <row r="645" spans="1:8" x14ac:dyDescent="0.2">
      <c r="A645" t="s">
        <v>1516</v>
      </c>
      <c r="B645" s="1" t="str">
        <f>HYPERLINK("http://www.chemspider.com/Chemical-Structure.6619.html","6619")</f>
        <v>6619</v>
      </c>
      <c r="C645" s="1" t="str">
        <f>HYPERLINK("https://www.ebi.ac.uk/chembl/compound/inspect/CHEMBL6622","CHEMBL6622")</f>
        <v>CHEMBL6622</v>
      </c>
      <c r="D645" t="s">
        <v>1</v>
      </c>
      <c r="F645" t="s">
        <v>1517</v>
      </c>
      <c r="G645">
        <v>0</v>
      </c>
      <c r="H645" s="4">
        <v>9.9994710280000003</v>
      </c>
    </row>
    <row r="646" spans="1:8" x14ac:dyDescent="0.2">
      <c r="A646" t="s">
        <v>1518</v>
      </c>
      <c r="B646" s="1" t="str">
        <f>HYPERLINK("http://www.chemspider.com/Chemical-Structure.14785.html","14785")</f>
        <v>14785</v>
      </c>
      <c r="C646" s="1" t="str">
        <f>HYPERLINK("https://www.ebi.ac.uk/chembl/compound/inspect/CHEMBL1167","CHEMBL1167")</f>
        <v>CHEMBL1167</v>
      </c>
      <c r="D646" t="s">
        <v>9</v>
      </c>
      <c r="E646" t="s">
        <v>1519</v>
      </c>
      <c r="F646" t="s">
        <v>1520</v>
      </c>
      <c r="G646">
        <v>0</v>
      </c>
      <c r="H646" s="4">
        <v>10</v>
      </c>
    </row>
    <row r="647" spans="1:8" x14ac:dyDescent="0.2">
      <c r="A647" t="s">
        <v>1521</v>
      </c>
      <c r="B647" s="1" t="str">
        <f>HYPERLINK("http://www.chemspider.com/Chemical-Structure.2271976.html","2271976")</f>
        <v>2271976</v>
      </c>
      <c r="C647" s="1" t="str">
        <f>HYPERLINK("https://www.ebi.ac.uk/chembl/compound/inspect/CHEMBL1906925","CHEMBL1906925")</f>
        <v>CHEMBL1906925</v>
      </c>
      <c r="D647" t="s">
        <v>1</v>
      </c>
      <c r="G647">
        <v>0</v>
      </c>
      <c r="H647" s="4" t="s">
        <v>3369</v>
      </c>
    </row>
    <row r="648" spans="1:8" x14ac:dyDescent="0.2">
      <c r="A648" t="s">
        <v>1522</v>
      </c>
      <c r="B648" s="1" t="str">
        <f>HYPERLINK("http://www.chemspider.com/Chemical-Structure.390759.html","390759")</f>
        <v>390759</v>
      </c>
      <c r="C648" s="1" t="str">
        <f>HYPERLINK("https://www.ebi.ac.uk/chembl/compound/inspect/CHEMBL478523","CHEMBL478523")</f>
        <v>CHEMBL478523</v>
      </c>
      <c r="D648" t="s">
        <v>1</v>
      </c>
      <c r="E648" t="s">
        <v>1523</v>
      </c>
      <c r="F648" t="s">
        <v>1524</v>
      </c>
      <c r="G648">
        <v>0</v>
      </c>
      <c r="H648" s="4">
        <v>10</v>
      </c>
    </row>
    <row r="649" spans="1:8" x14ac:dyDescent="0.2">
      <c r="A649" t="s">
        <v>1525</v>
      </c>
      <c r="B649" s="1" t="str">
        <f>HYPERLINK("http://www.chemspider.com/Chemical-Structure.141341.html","141341")</f>
        <v>141341</v>
      </c>
      <c r="G649">
        <v>0</v>
      </c>
      <c r="H649" s="4">
        <v>10</v>
      </c>
    </row>
    <row r="650" spans="1:8" x14ac:dyDescent="0.2">
      <c r="A650" t="s">
        <v>1526</v>
      </c>
      <c r="B650" s="1" t="str">
        <f>HYPERLINK("http://www.chemspider.com/Chemical-Structure.809894.html","809894")</f>
        <v>809894</v>
      </c>
      <c r="C650" s="1" t="str">
        <f>HYPERLINK("https://www.ebi.ac.uk/chembl/compound/inspect/CHEMBL304461","CHEMBL304461")</f>
        <v>CHEMBL304461</v>
      </c>
      <c r="D650" t="s">
        <v>1</v>
      </c>
      <c r="F650" t="s">
        <v>1527</v>
      </c>
      <c r="G650">
        <v>0</v>
      </c>
      <c r="H650" s="4">
        <v>10</v>
      </c>
    </row>
    <row r="651" spans="1:8" x14ac:dyDescent="0.2">
      <c r="A651" t="s">
        <v>1528</v>
      </c>
      <c r="B651" s="1" t="str">
        <f>HYPERLINK("http://www.chemspider.com/Chemical-Structure.6223.html","6223")</f>
        <v>6223</v>
      </c>
      <c r="C651" s="1" t="str">
        <f>HYPERLINK("https://www.ebi.ac.uk/chembl/compound/inspect/CHEMBL1232952","CHEMBL1232952")</f>
        <v>CHEMBL1232952</v>
      </c>
      <c r="D651" t="s">
        <v>1</v>
      </c>
      <c r="E651" t="s">
        <v>1529</v>
      </c>
      <c r="F651" t="s">
        <v>1530</v>
      </c>
      <c r="G651">
        <v>178</v>
      </c>
      <c r="H651" s="4">
        <v>10</v>
      </c>
    </row>
    <row r="652" spans="1:8" x14ac:dyDescent="0.2">
      <c r="A652" t="s">
        <v>1531</v>
      </c>
      <c r="B652" s="1" t="str">
        <f>HYPERLINK("http://www.chemspider.com/Chemical-Structure.4444991.html","4444991")</f>
        <v>4444991</v>
      </c>
      <c r="C652" s="1" t="str">
        <f>HYPERLINK("https://www.ebi.ac.uk/chembl/compound/inspect/CHEMBL164","CHEMBL164")</f>
        <v>CHEMBL164</v>
      </c>
      <c r="D652" t="s">
        <v>1</v>
      </c>
      <c r="E652" t="s">
        <v>1532</v>
      </c>
      <c r="F652" t="s">
        <v>1533</v>
      </c>
      <c r="G652">
        <v>0</v>
      </c>
      <c r="H652" s="4" t="s">
        <v>3369</v>
      </c>
    </row>
    <row r="653" spans="1:8" x14ac:dyDescent="0.2">
      <c r="A653" t="s">
        <v>1534</v>
      </c>
      <c r="B653" s="1" t="str">
        <f>HYPERLINK("http://www.chemspider.com/Chemical-Structure.4444051.html","4444051")</f>
        <v>4444051</v>
      </c>
      <c r="C653" s="1" t="str">
        <f>HYPERLINK("https://www.ebi.ac.uk/chembl/compound/inspect/CHEMBL50","CHEMBL50")</f>
        <v>CHEMBL50</v>
      </c>
      <c r="D653" t="s">
        <v>1</v>
      </c>
      <c r="E653" t="s">
        <v>1535</v>
      </c>
      <c r="F653" t="s">
        <v>1536</v>
      </c>
      <c r="G653">
        <v>69</v>
      </c>
      <c r="H653" s="4">
        <v>3.9E-2</v>
      </c>
    </row>
    <row r="654" spans="1:8" x14ac:dyDescent="0.2">
      <c r="A654" t="s">
        <v>1537</v>
      </c>
      <c r="B654" s="1" t="str">
        <f>HYPERLINK("http://www.chemspider.com/Chemical-Structure.4444395.html","4444395")</f>
        <v>4444395</v>
      </c>
      <c r="C654" s="1" t="str">
        <f>HYPERLINK("https://www.ebi.ac.uk/chembl/compound/inspect/CHEMBL150","CHEMBL150")</f>
        <v>CHEMBL150</v>
      </c>
      <c r="D654" t="s">
        <v>1</v>
      </c>
      <c r="E654" t="s">
        <v>1538</v>
      </c>
      <c r="F654" t="s">
        <v>1539</v>
      </c>
      <c r="G654">
        <v>0</v>
      </c>
      <c r="H654" s="4">
        <v>10</v>
      </c>
    </row>
    <row r="655" spans="1:8" x14ac:dyDescent="0.2">
      <c r="A655" t="s">
        <v>1540</v>
      </c>
      <c r="B655" s="1" t="str">
        <f>HYPERLINK("http://www.chemspider.com/Chemical-Structure.4444989.html","4444989")</f>
        <v>4444989</v>
      </c>
      <c r="C655" s="1" t="str">
        <f>HYPERLINK("https://www.ebi.ac.uk/chembl/compound/inspect/CHEMBL28626","CHEMBL28626")</f>
        <v>CHEMBL28626</v>
      </c>
      <c r="D655" t="s">
        <v>1</v>
      </c>
      <c r="E655" t="s">
        <v>1541</v>
      </c>
      <c r="F655" t="s">
        <v>1542</v>
      </c>
      <c r="G655">
        <v>1</v>
      </c>
      <c r="H655" s="4">
        <v>10</v>
      </c>
    </row>
    <row r="656" spans="1:8" x14ac:dyDescent="0.2">
      <c r="A656" t="s">
        <v>1543</v>
      </c>
      <c r="B656" s="1" t="str">
        <f>HYPERLINK("http://www.chemspider.com/Chemical-Structure.458.html","458")</f>
        <v>458</v>
      </c>
      <c r="C656" s="1" t="str">
        <f>HYPERLINK("https://www.ebi.ac.uk/chembl/compound/inspect/CHEMBL337309","CHEMBL337309")</f>
        <v>CHEMBL337309</v>
      </c>
      <c r="D656" t="s">
        <v>1</v>
      </c>
      <c r="E656" t="s">
        <v>1544</v>
      </c>
      <c r="F656" t="s">
        <v>1545</v>
      </c>
      <c r="G656">
        <v>0</v>
      </c>
      <c r="H656" s="4">
        <v>10</v>
      </c>
    </row>
    <row r="657" spans="1:8" x14ac:dyDescent="0.2">
      <c r="A657" t="s">
        <v>1546</v>
      </c>
      <c r="B657" s="1" t="str">
        <f>HYPERLINK("http://www.chemspider.com/Chemical-Structure.2342610.html","2342610")</f>
        <v>2342610</v>
      </c>
      <c r="G657">
        <v>0</v>
      </c>
      <c r="H657" s="4" t="s">
        <v>3369</v>
      </c>
    </row>
    <row r="658" spans="1:8" x14ac:dyDescent="0.2">
      <c r="A658" t="s">
        <v>1547</v>
      </c>
      <c r="B658" s="1" t="str">
        <f>HYPERLINK("http://www.chemspider.com/Chemical-Structure.4444992.html","4444992")</f>
        <v>4444992</v>
      </c>
      <c r="C658" s="1" t="str">
        <f>HYPERLINK("https://www.ebi.ac.uk/chembl/compound/inspect/CHEMBL522983","CHEMBL522983")</f>
        <v>CHEMBL522983</v>
      </c>
      <c r="D658" t="s">
        <v>1</v>
      </c>
      <c r="F658" t="s">
        <v>1548</v>
      </c>
      <c r="G658">
        <v>0</v>
      </c>
      <c r="H658" s="4">
        <v>10</v>
      </c>
    </row>
    <row r="659" spans="1:8" x14ac:dyDescent="0.2">
      <c r="A659" t="s">
        <v>1549</v>
      </c>
      <c r="B659" s="1" t="str">
        <f>HYPERLINK("http://www.chemspider.com/Chemical-Structure.4477421.html","4477421")</f>
        <v>4477421</v>
      </c>
      <c r="C659" s="1" t="str">
        <f>HYPERLINK("https://www.ebi.ac.uk/chembl/compound/inspect/CHEMBL553204","CHEMBL553204")</f>
        <v>CHEMBL553204</v>
      </c>
      <c r="D659" t="s">
        <v>1</v>
      </c>
      <c r="E659" t="s">
        <v>1550</v>
      </c>
      <c r="F659" t="s">
        <v>1551</v>
      </c>
      <c r="G659">
        <v>0</v>
      </c>
      <c r="H659" s="4">
        <v>10</v>
      </c>
    </row>
    <row r="660" spans="1:8" x14ac:dyDescent="0.2">
      <c r="A660" t="s">
        <v>1552</v>
      </c>
      <c r="B660" s="1" t="str">
        <f>HYPERLINK("http://www.chemspider.com/Chemical-Structure.4444361.html","4444361")</f>
        <v>4444361</v>
      </c>
      <c r="C660" s="1" t="str">
        <f>HYPERLINK("https://www.ebi.ac.uk/chembl/compound/inspect/CHEMBL250450","CHEMBL250450")</f>
        <v>CHEMBL250450</v>
      </c>
      <c r="D660" t="s">
        <v>1</v>
      </c>
      <c r="E660" t="s">
        <v>1553</v>
      </c>
      <c r="F660" t="s">
        <v>1554</v>
      </c>
      <c r="G660">
        <v>59532</v>
      </c>
      <c r="H660" s="4">
        <v>10</v>
      </c>
    </row>
    <row r="661" spans="1:8" x14ac:dyDescent="0.2">
      <c r="A661" t="s">
        <v>1555</v>
      </c>
      <c r="B661" s="1" t="str">
        <f>HYPERLINK("http://www.chemspider.com/Chemical-Structure.4444962.html","4444962")</f>
        <v>4444962</v>
      </c>
      <c r="C661" s="1" t="str">
        <f>HYPERLINK("https://www.ebi.ac.uk/chembl/compound/inspect/CHEMBL251254","CHEMBL251254")</f>
        <v>CHEMBL251254</v>
      </c>
      <c r="D661" t="s">
        <v>1</v>
      </c>
      <c r="E661" t="s">
        <v>1556</v>
      </c>
      <c r="F661" t="s">
        <v>1557</v>
      </c>
      <c r="G661">
        <v>0</v>
      </c>
      <c r="H661" s="4">
        <v>8.8000000000000007</v>
      </c>
    </row>
    <row r="662" spans="1:8" x14ac:dyDescent="0.2">
      <c r="A662" t="s">
        <v>1558</v>
      </c>
      <c r="B662" s="1" t="str">
        <f>HYPERLINK("http://www.chemspider.com/Chemical-Structure.4444362.html","4444362")</f>
        <v>4444362</v>
      </c>
      <c r="C662" s="1" t="str">
        <f>HYPERLINK("https://www.ebi.ac.uk/chembl/compound/inspect/CHEMBL226335","CHEMBL226335")</f>
        <v>CHEMBL226335</v>
      </c>
      <c r="D662" t="s">
        <v>1</v>
      </c>
      <c r="E662" t="s">
        <v>1559</v>
      </c>
      <c r="F662" t="s">
        <v>1560</v>
      </c>
      <c r="G662">
        <v>4</v>
      </c>
      <c r="H662" s="4">
        <v>10</v>
      </c>
    </row>
    <row r="663" spans="1:8" x14ac:dyDescent="0.2">
      <c r="A663" t="s">
        <v>1561</v>
      </c>
      <c r="B663" s="1" t="str">
        <f>HYPERLINK("http://www.chemspider.com/Chemical-Structure.4589027.html","4589027")</f>
        <v>4589027</v>
      </c>
      <c r="G663">
        <v>0</v>
      </c>
      <c r="H663" s="4">
        <v>10</v>
      </c>
    </row>
    <row r="664" spans="1:8" x14ac:dyDescent="0.2">
      <c r="A664" t="s">
        <v>1562</v>
      </c>
      <c r="B664" s="1" t="str">
        <f>HYPERLINK("http://www.chemspider.com/Chemical-Structure.2779.html","2779")</f>
        <v>2779</v>
      </c>
      <c r="C664" s="1" t="str">
        <f>HYPERLINK("https://www.ebi.ac.uk/chembl/compound/inspect/CHEMBL428880","CHEMBL428880")</f>
        <v>CHEMBL428880</v>
      </c>
      <c r="D664" t="s">
        <v>9</v>
      </c>
      <c r="E664" t="s">
        <v>1563</v>
      </c>
      <c r="F664" t="s">
        <v>1564</v>
      </c>
      <c r="G664">
        <v>15</v>
      </c>
      <c r="H664" s="4">
        <v>10</v>
      </c>
    </row>
    <row r="665" spans="1:8" x14ac:dyDescent="0.2">
      <c r="A665" t="s">
        <v>1565</v>
      </c>
      <c r="B665" s="1" t="str">
        <f>HYPERLINK("http://www.chemspider.com/Chemical-Structure.3696.html","3696")</f>
        <v>3696</v>
      </c>
      <c r="C665" s="1" t="str">
        <f>HYPERLINK("https://www.ebi.ac.uk/chembl/compound/inspect/CHEMBL44746","CHEMBL44746")</f>
        <v>CHEMBL44746</v>
      </c>
      <c r="D665" t="s">
        <v>1</v>
      </c>
      <c r="E665" t="s">
        <v>1566</v>
      </c>
      <c r="F665" t="s">
        <v>1567</v>
      </c>
      <c r="G665">
        <v>0</v>
      </c>
      <c r="H665" s="4">
        <v>10</v>
      </c>
    </row>
    <row r="666" spans="1:8" x14ac:dyDescent="0.2">
      <c r="A666" t="s">
        <v>1568</v>
      </c>
      <c r="B666" s="1" t="str">
        <f>HYPERLINK("http://www.chemspider.com/Chemical-Structure.4444102.html","4444102")</f>
        <v>4444102</v>
      </c>
      <c r="C666" s="1" t="str">
        <f>HYPERLINK("https://www.ebi.ac.uk/chembl/compound/inspect/CHEMBL151","CHEMBL151")</f>
        <v>CHEMBL151</v>
      </c>
      <c r="D666" t="s">
        <v>1</v>
      </c>
      <c r="E666" t="s">
        <v>1569</v>
      </c>
      <c r="F666" t="s">
        <v>1570</v>
      </c>
      <c r="G666">
        <v>2</v>
      </c>
      <c r="H666" s="4">
        <v>10</v>
      </c>
    </row>
    <row r="667" spans="1:8" x14ac:dyDescent="0.2">
      <c r="A667" t="s">
        <v>1571</v>
      </c>
      <c r="B667" s="1" t="str">
        <f>HYPERLINK("http://www.chemspider.com/Chemical-Structure.4444931.html","4444931")</f>
        <v>4444931</v>
      </c>
      <c r="C667" s="1" t="str">
        <f>HYPERLINK("https://www.ebi.ac.uk/chembl/compound/inspect/CHEMBL90568","CHEMBL90568")</f>
        <v>CHEMBL90568</v>
      </c>
      <c r="D667" t="s">
        <v>1</v>
      </c>
      <c r="E667" t="s">
        <v>1572</v>
      </c>
      <c r="F667" t="s">
        <v>1573</v>
      </c>
      <c r="G667">
        <v>0</v>
      </c>
      <c r="H667" s="4">
        <v>10</v>
      </c>
    </row>
    <row r="668" spans="1:8" x14ac:dyDescent="0.2">
      <c r="A668" t="s">
        <v>1574</v>
      </c>
      <c r="B668" s="1" t="str">
        <f>HYPERLINK("http://www.chemspider.com/Chemical-Structure.4444932.html","4444932")</f>
        <v>4444932</v>
      </c>
      <c r="C668" s="1" t="str">
        <f>HYPERLINK("https://www.ebi.ac.uk/chembl/compound/inspect/CHEMBL231884","CHEMBL231884")</f>
        <v>CHEMBL231884</v>
      </c>
      <c r="D668" t="s">
        <v>1</v>
      </c>
      <c r="E668" t="s">
        <v>1575</v>
      </c>
      <c r="F668" t="s">
        <v>1576</v>
      </c>
      <c r="G668">
        <v>7</v>
      </c>
      <c r="H668" s="4">
        <v>10</v>
      </c>
    </row>
    <row r="669" spans="1:8" x14ac:dyDescent="0.2">
      <c r="A669" t="s">
        <v>1577</v>
      </c>
      <c r="B669" s="1" t="str">
        <f>HYPERLINK("http://www.chemspider.com/Chemical-Structure.4444100.html","4444100")</f>
        <v>4444100</v>
      </c>
      <c r="C669" s="1" t="str">
        <f>HYPERLINK("https://www.ebi.ac.uk/chembl/compound/inspect/CHEMBL28","CHEMBL28")</f>
        <v>CHEMBL28</v>
      </c>
      <c r="D669" t="s">
        <v>1</v>
      </c>
      <c r="E669" t="s">
        <v>1578</v>
      </c>
      <c r="F669" t="s">
        <v>1579</v>
      </c>
      <c r="G669">
        <v>1</v>
      </c>
      <c r="H669" s="4">
        <v>10</v>
      </c>
    </row>
    <row r="670" spans="1:8" x14ac:dyDescent="0.2">
      <c r="A670" t="s">
        <v>1580</v>
      </c>
      <c r="B670" s="1" t="str">
        <f>HYPERLINK("http://www.chemspider.com/Chemical-Structure.4444926.html","4444926")</f>
        <v>4444926</v>
      </c>
      <c r="C670" s="1" t="str">
        <f>HYPERLINK("https://www.ebi.ac.uk/chembl/compound/inspect/CHEMBL117","CHEMBL117")</f>
        <v>CHEMBL117</v>
      </c>
      <c r="D670" t="s">
        <v>1</v>
      </c>
      <c r="E670" t="s">
        <v>1581</v>
      </c>
      <c r="F670" t="s">
        <v>1582</v>
      </c>
      <c r="G670">
        <v>0</v>
      </c>
      <c r="H670" s="4">
        <v>10</v>
      </c>
    </row>
    <row r="671" spans="1:8" x14ac:dyDescent="0.2">
      <c r="A671" t="s">
        <v>1583</v>
      </c>
      <c r="B671" s="1" t="str">
        <f>HYPERLINK("http://www.chemspider.com/Chemical-Structure.65234.html","65234")</f>
        <v>65234</v>
      </c>
      <c r="C671" s="1" t="str">
        <f>HYPERLINK("https://www.ebi.ac.uk/chembl/compound/inspect/CHEMBL399121","CHEMBL399121")</f>
        <v>CHEMBL399121</v>
      </c>
      <c r="D671" t="s">
        <v>1</v>
      </c>
      <c r="E671" t="s">
        <v>1584</v>
      </c>
      <c r="F671" t="s">
        <v>1585</v>
      </c>
      <c r="G671">
        <v>0</v>
      </c>
      <c r="H671" s="4">
        <v>10</v>
      </c>
    </row>
    <row r="672" spans="1:8" x14ac:dyDescent="0.2">
      <c r="A672" t="s">
        <v>1586</v>
      </c>
      <c r="B672" s="1" t="str">
        <f>HYPERLINK("http://www.chemspider.com/Chemical-Structure.621334.html","621334")</f>
        <v>621334</v>
      </c>
      <c r="G672">
        <v>0</v>
      </c>
      <c r="H672" s="4">
        <v>10.1</v>
      </c>
    </row>
    <row r="673" spans="1:8" x14ac:dyDescent="0.2">
      <c r="A673" t="s">
        <v>1587</v>
      </c>
      <c r="B673" s="1" t="str">
        <f>HYPERLINK("http://www.chemspider.com/Chemical-Structure.141906.html","141906")</f>
        <v>141906</v>
      </c>
      <c r="G673">
        <v>0</v>
      </c>
      <c r="H673" s="4">
        <v>10</v>
      </c>
    </row>
    <row r="674" spans="1:8" x14ac:dyDescent="0.2">
      <c r="A674" t="s">
        <v>1588</v>
      </c>
      <c r="B674" s="1" t="str">
        <f>HYPERLINK("http://www.chemspider.com/Chemical-Structure.388626.html","388626")</f>
        <v>388626</v>
      </c>
      <c r="C674" s="1" t="str">
        <f>HYPERLINK("https://www.ebi.ac.uk/chembl/compound/inspect/CHEMBL66","CHEMBL66")</f>
        <v>CHEMBL66</v>
      </c>
      <c r="D674" t="s">
        <v>1</v>
      </c>
      <c r="E674" t="s">
        <v>1589</v>
      </c>
      <c r="F674" t="s">
        <v>1590</v>
      </c>
      <c r="G674">
        <v>0</v>
      </c>
      <c r="H674" s="4">
        <v>10</v>
      </c>
    </row>
    <row r="675" spans="1:8" x14ac:dyDescent="0.2">
      <c r="A675" t="s">
        <v>1591</v>
      </c>
      <c r="B675" s="1" t="str">
        <f>HYPERLINK("http://www.chemspider.com/Chemical-Structure.29263.html","29263")</f>
        <v>29263</v>
      </c>
      <c r="C675" s="1" t="str">
        <f>HYPERLINK("https://www.ebi.ac.uk/chembl/compound/inspect/CHEMBL431701","CHEMBL431701")</f>
        <v>CHEMBL431701</v>
      </c>
      <c r="D675" t="s">
        <v>1</v>
      </c>
      <c r="E675" t="s">
        <v>1592</v>
      </c>
      <c r="F675" t="s">
        <v>1593</v>
      </c>
      <c r="G675">
        <v>114951</v>
      </c>
      <c r="H675" s="4">
        <v>10</v>
      </c>
    </row>
    <row r="676" spans="1:8" x14ac:dyDescent="0.2">
      <c r="A676" t="s">
        <v>1594</v>
      </c>
      <c r="B676" s="1" t="str">
        <f>HYPERLINK("http://www.chemspider.com/Chemical-Structure.21106443.html","21106443")</f>
        <v>21106443</v>
      </c>
      <c r="G676">
        <v>0</v>
      </c>
      <c r="H676" s="4">
        <v>10</v>
      </c>
    </row>
    <row r="677" spans="1:8" x14ac:dyDescent="0.2">
      <c r="A677" t="s">
        <v>1595</v>
      </c>
      <c r="B677" s="1" t="str">
        <f>HYPERLINK("http://www.chemspider.com/Chemical-Structure.69959.html","69959")</f>
        <v>69959</v>
      </c>
      <c r="C677" s="1" t="str">
        <f>HYPERLINK("https://www.ebi.ac.uk/chembl/compound/inspect/CHEMBL149463","CHEMBL149463")</f>
        <v>CHEMBL149463</v>
      </c>
      <c r="D677" t="s">
        <v>1</v>
      </c>
      <c r="F677" t="s">
        <v>1596</v>
      </c>
      <c r="G677">
        <v>0</v>
      </c>
      <c r="H677" s="4">
        <v>10</v>
      </c>
    </row>
    <row r="678" spans="1:8" x14ac:dyDescent="0.2">
      <c r="A678" t="s">
        <v>1597</v>
      </c>
      <c r="B678" s="1" t="str">
        <f>HYPERLINK("http://www.chemspider.com/Chemical-Structure.13061.html","13061")</f>
        <v>13061</v>
      </c>
      <c r="C678" s="1" t="str">
        <f>HYPERLINK("https://www.ebi.ac.uk/chembl/compound/inspect/CHEMBL150372","CHEMBL150372")</f>
        <v>CHEMBL150372</v>
      </c>
      <c r="D678" t="s">
        <v>1</v>
      </c>
      <c r="F678" t="s">
        <v>1598</v>
      </c>
      <c r="G678">
        <v>0</v>
      </c>
      <c r="H678" s="4">
        <v>10</v>
      </c>
    </row>
    <row r="679" spans="1:8" x14ac:dyDescent="0.2">
      <c r="A679" t="s">
        <v>1599</v>
      </c>
      <c r="B679" s="1" t="str">
        <f>HYPERLINK("http://www.chemspider.com/Chemical-Structure.2673.html","2673")</f>
        <v>2673</v>
      </c>
      <c r="C679" s="1" t="str">
        <f>HYPERLINK("https://www.ebi.ac.uk/chembl/compound/inspect/CHEMBL481049","CHEMBL481049")</f>
        <v>CHEMBL481049</v>
      </c>
      <c r="D679" t="s">
        <v>1</v>
      </c>
      <c r="F679" t="s">
        <v>1600</v>
      </c>
      <c r="G679">
        <v>0</v>
      </c>
      <c r="H679" s="4">
        <v>10</v>
      </c>
    </row>
    <row r="680" spans="1:8" x14ac:dyDescent="0.2">
      <c r="A680" t="s">
        <v>1601</v>
      </c>
      <c r="B680" s="1" t="str">
        <f>HYPERLINK("http://www.chemspider.com/Chemical-Structure.3971.html","3971")</f>
        <v>3971</v>
      </c>
      <c r="C680" s="1" t="str">
        <f>HYPERLINK("https://www.ebi.ac.uk/chembl/compound/inspect/CHEMBL416","CHEMBL416")</f>
        <v>CHEMBL416</v>
      </c>
      <c r="D680" t="s">
        <v>9</v>
      </c>
      <c r="E680" t="s">
        <v>1602</v>
      </c>
      <c r="F680" t="s">
        <v>1603</v>
      </c>
      <c r="G680">
        <v>38</v>
      </c>
      <c r="H680" s="4">
        <v>10</v>
      </c>
    </row>
    <row r="681" spans="1:8" x14ac:dyDescent="0.2">
      <c r="A681" t="s">
        <v>1604</v>
      </c>
      <c r="B681" s="1" t="str">
        <f>HYPERLINK("http://www.chemspider.com/Chemical-Structure.9811.html","9811")</f>
        <v>9811</v>
      </c>
      <c r="C681" s="1" t="str">
        <f>HYPERLINK("https://www.ebi.ac.uk/chembl/compound/inspect/CHEMBL52229","CHEMBL52229")</f>
        <v>CHEMBL52229</v>
      </c>
      <c r="D681" t="s">
        <v>1</v>
      </c>
      <c r="E681" t="s">
        <v>1605</v>
      </c>
      <c r="F681" t="s">
        <v>1606</v>
      </c>
      <c r="G681">
        <v>0</v>
      </c>
      <c r="H681" s="4">
        <v>10</v>
      </c>
    </row>
    <row r="682" spans="1:8" x14ac:dyDescent="0.2">
      <c r="A682" t="s">
        <v>1607</v>
      </c>
      <c r="B682" s="1" t="str">
        <f>HYPERLINK("http://www.chemspider.com/Chemical-Structure.13848793.html","13848793")</f>
        <v>13848793</v>
      </c>
      <c r="C682" s="1" t="str">
        <f>HYPERLINK("https://www.ebi.ac.uk/chembl/compound/inspect/CHEMBL6466","CHEMBL6466")</f>
        <v>CHEMBL6466</v>
      </c>
      <c r="D682" t="s">
        <v>1</v>
      </c>
      <c r="E682" t="s">
        <v>1608</v>
      </c>
      <c r="F682" t="s">
        <v>1609</v>
      </c>
      <c r="G682">
        <v>8</v>
      </c>
      <c r="H682" s="4">
        <v>10</v>
      </c>
    </row>
    <row r="683" spans="1:8" x14ac:dyDescent="0.2">
      <c r="A683" t="s">
        <v>1610</v>
      </c>
      <c r="B683" s="1" t="str">
        <f>HYPERLINK("http://www.chemspider.com/Chemical-Structure.2032.html","2032")</f>
        <v>2032</v>
      </c>
      <c r="C683" s="1" t="str">
        <f>HYPERLINK("https://www.ebi.ac.uk/chembl/compound/inspect/CHEMBL49563","CHEMBL49563")</f>
        <v>CHEMBL49563</v>
      </c>
      <c r="D683" t="s">
        <v>1</v>
      </c>
      <c r="F683" t="s">
        <v>1611</v>
      </c>
      <c r="G683">
        <v>0</v>
      </c>
      <c r="H683" s="4">
        <v>10</v>
      </c>
    </row>
    <row r="684" spans="1:8" x14ac:dyDescent="0.2">
      <c r="A684" t="s">
        <v>1612</v>
      </c>
      <c r="B684" s="1" t="str">
        <f>HYPERLINK("http://www.chemspider.com/Chemical-Structure.14265.html","14265")</f>
        <v>14265</v>
      </c>
      <c r="C684" s="1" t="str">
        <f>HYPERLINK("https://www.ebi.ac.uk/chembl/compound/inspect/CHEMBL47","CHEMBL47")</f>
        <v>CHEMBL47</v>
      </c>
      <c r="D684" t="s">
        <v>9</v>
      </c>
      <c r="E684" t="s">
        <v>1613</v>
      </c>
      <c r="F684" t="s">
        <v>1614</v>
      </c>
      <c r="G684">
        <v>386509</v>
      </c>
      <c r="H684" s="4">
        <v>10</v>
      </c>
    </row>
    <row r="685" spans="1:8" x14ac:dyDescent="0.2">
      <c r="A685" t="s">
        <v>1615</v>
      </c>
      <c r="B685" s="1" t="str">
        <f>HYPERLINK("http://www.chemspider.com/Chemical-Structure.19171.html","19171")</f>
        <v>19171</v>
      </c>
      <c r="C685" s="1" t="str">
        <f>HYPERLINK("https://www.ebi.ac.uk/chembl/compound/inspect/CHEMBL81421","CHEMBL81421")</f>
        <v>CHEMBL81421</v>
      </c>
      <c r="D685" t="s">
        <v>1</v>
      </c>
      <c r="F685" t="s">
        <v>1616</v>
      </c>
      <c r="G685">
        <v>0</v>
      </c>
      <c r="H685" s="4">
        <v>10</v>
      </c>
    </row>
    <row r="686" spans="1:8" x14ac:dyDescent="0.2">
      <c r="A686" t="s">
        <v>1617</v>
      </c>
      <c r="B686" s="1" t="str">
        <f>HYPERLINK("http://www.chemspider.com/Chemical-Structure.65230.html","65230")</f>
        <v>65230</v>
      </c>
      <c r="C686" s="1" t="str">
        <f>HYPERLINK("https://www.ebi.ac.uk/chembl/compound/inspect/CHEMBL583912","CHEMBL583912")</f>
        <v>CHEMBL583912</v>
      </c>
      <c r="D686" t="s">
        <v>1</v>
      </c>
      <c r="E686" t="s">
        <v>1618</v>
      </c>
      <c r="F686" t="s">
        <v>1619</v>
      </c>
      <c r="G686">
        <v>3</v>
      </c>
      <c r="H686" s="4">
        <v>0.12345679</v>
      </c>
    </row>
    <row r="687" spans="1:8" x14ac:dyDescent="0.2">
      <c r="A687" t="s">
        <v>1620</v>
      </c>
      <c r="B687" s="1" t="str">
        <f>HYPERLINK("http://www.chemspider.com/Chemical-Structure.58575.html","58575")</f>
        <v>58575</v>
      </c>
      <c r="C687" s="1" t="str">
        <f>HYPERLINK("https://www.ebi.ac.uk/chembl/compound/inspect/CHEMBL297453","CHEMBL297453")</f>
        <v>CHEMBL297453</v>
      </c>
      <c r="D687" t="s">
        <v>1</v>
      </c>
      <c r="E687" t="s">
        <v>1621</v>
      </c>
      <c r="F687" t="s">
        <v>1622</v>
      </c>
      <c r="G687">
        <v>74</v>
      </c>
      <c r="H687" s="4">
        <v>10.199999999999999</v>
      </c>
    </row>
    <row r="688" spans="1:8" x14ac:dyDescent="0.2">
      <c r="A688" t="s">
        <v>1623</v>
      </c>
      <c r="B688" s="1" t="str">
        <f>HYPERLINK("http://www.chemspider.com/Chemical-Structure.6500.html","6500")</f>
        <v>6500</v>
      </c>
      <c r="C688" s="1" t="str">
        <f>HYPERLINK("https://www.ebi.ac.uk/chembl/compound/inspect/CHEMBL429023","CHEMBL429023")</f>
        <v>CHEMBL429023</v>
      </c>
      <c r="D688" t="s">
        <v>1</v>
      </c>
      <c r="E688" t="s">
        <v>1624</v>
      </c>
      <c r="F688" t="s">
        <v>1625</v>
      </c>
      <c r="G688">
        <v>0</v>
      </c>
      <c r="H688" s="4">
        <v>10</v>
      </c>
    </row>
    <row r="689" spans="1:8" x14ac:dyDescent="0.2">
      <c r="A689" t="s">
        <v>1626</v>
      </c>
      <c r="B689" s="1" t="str">
        <f>HYPERLINK("http://www.chemspider.com/Chemical-Structure.8711.html","8711")</f>
        <v>8711</v>
      </c>
      <c r="C689" s="1" t="str">
        <f>HYPERLINK("https://www.ebi.ac.uk/chembl/compound/inspect/CHEMBL311498","CHEMBL311498")</f>
        <v>CHEMBL311498</v>
      </c>
      <c r="D689" t="s">
        <v>1</v>
      </c>
      <c r="E689" t="s">
        <v>1627</v>
      </c>
      <c r="F689" t="s">
        <v>1628</v>
      </c>
      <c r="G689">
        <v>0</v>
      </c>
      <c r="H689" s="4">
        <v>10</v>
      </c>
    </row>
    <row r="690" spans="1:8" x14ac:dyDescent="0.2">
      <c r="A690" t="s">
        <v>1629</v>
      </c>
      <c r="B690" s="1" t="str">
        <f>HYPERLINK("http://www.chemspider.com/Chemical-Structure.2263.html","2263")</f>
        <v>2263</v>
      </c>
      <c r="C690" s="1" t="str">
        <f>HYPERLINK("https://www.ebi.ac.uk/chembl/compound/inspect/CHEMBL295124","CHEMBL295124")</f>
        <v>CHEMBL295124</v>
      </c>
      <c r="D690" t="s">
        <v>1</v>
      </c>
      <c r="E690" t="s">
        <v>1630</v>
      </c>
      <c r="F690" t="s">
        <v>1631</v>
      </c>
      <c r="G690">
        <v>22</v>
      </c>
      <c r="H690" s="4">
        <v>10</v>
      </c>
    </row>
    <row r="691" spans="1:8" x14ac:dyDescent="0.2">
      <c r="A691" t="s">
        <v>1632</v>
      </c>
      <c r="B691" s="1" t="str">
        <f>HYPERLINK("http://www.chemspider.com/Chemical-Structure.2660.html","2660")</f>
        <v>2660</v>
      </c>
      <c r="C691" s="1" t="str">
        <f>HYPERLINK("https://www.ebi.ac.uk/chembl/compound/inspect/CHEMBL1208","CHEMBL1208")</f>
        <v>CHEMBL1208</v>
      </c>
      <c r="D691" t="s">
        <v>9</v>
      </c>
      <c r="E691" t="s">
        <v>1633</v>
      </c>
      <c r="F691" t="s">
        <v>1634</v>
      </c>
      <c r="G691">
        <v>0</v>
      </c>
      <c r="H691" s="4">
        <v>10</v>
      </c>
    </row>
    <row r="692" spans="1:8" x14ac:dyDescent="0.2">
      <c r="A692" t="s">
        <v>1635</v>
      </c>
      <c r="B692" s="1" t="str">
        <f>HYPERLINK("http://www.chemspider.com/Chemical-Structure.3045.html","3045")</f>
        <v>3045</v>
      </c>
      <c r="C692" s="1" t="str">
        <f>HYPERLINK("https://www.ebi.ac.uk/chembl/compound/inspect/CHEMBL707","CHEMBL707")</f>
        <v>CHEMBL707</v>
      </c>
      <c r="D692" t="s">
        <v>9</v>
      </c>
      <c r="E692" t="s">
        <v>1636</v>
      </c>
      <c r="F692" t="s">
        <v>1637</v>
      </c>
      <c r="G692">
        <v>115</v>
      </c>
      <c r="H692" s="4" t="s">
        <v>3369</v>
      </c>
    </row>
    <row r="693" spans="1:8" x14ac:dyDescent="0.2">
      <c r="A693" t="s">
        <v>1638</v>
      </c>
      <c r="B693" s="1" t="str">
        <f>HYPERLINK("http://www.chemspider.com/Chemical-Structure.390940.html","390940")</f>
        <v>390940</v>
      </c>
      <c r="C693" s="1" t="str">
        <f>HYPERLINK("https://www.ebi.ac.uk/chembl/compound/inspect/CHEMBL477197","CHEMBL477197")</f>
        <v>CHEMBL477197</v>
      </c>
      <c r="D693" t="s">
        <v>1</v>
      </c>
      <c r="E693" t="s">
        <v>1639</v>
      </c>
      <c r="F693" t="s">
        <v>1640</v>
      </c>
      <c r="G693">
        <v>11</v>
      </c>
      <c r="H693" s="4">
        <v>10</v>
      </c>
    </row>
    <row r="694" spans="1:8" x14ac:dyDescent="0.2">
      <c r="A694" t="s">
        <v>1641</v>
      </c>
      <c r="B694" s="1" t="str">
        <f>HYPERLINK("http://www.chemspider.com/Chemical-Structure.21169494.html","21169494")</f>
        <v>21169494</v>
      </c>
      <c r="C694" s="1" t="str">
        <f>HYPERLINK("https://www.ebi.ac.uk/chembl/compound/inspect/CHEMBL1454474","CHEMBL1454474")</f>
        <v>CHEMBL1454474</v>
      </c>
      <c r="D694" t="s">
        <v>1</v>
      </c>
      <c r="F694" t="s">
        <v>1642</v>
      </c>
      <c r="G694">
        <v>0</v>
      </c>
      <c r="H694" s="4">
        <v>10</v>
      </c>
    </row>
    <row r="695" spans="1:8" x14ac:dyDescent="0.2">
      <c r="A695" t="s">
        <v>1643</v>
      </c>
      <c r="B695" s="1" t="str">
        <f>HYPERLINK("http://www.chemspider.com/Chemical-Structure.4444924.html","4444924")</f>
        <v>4444924</v>
      </c>
      <c r="C695" s="1" t="str">
        <f>HYPERLINK("https://www.ebi.ac.uk/chembl/compound/inspect/CHEMBL8260","CHEMBL8260")</f>
        <v>CHEMBL8260</v>
      </c>
      <c r="D695" t="s">
        <v>1</v>
      </c>
      <c r="E695" t="s">
        <v>1644</v>
      </c>
      <c r="F695" t="s">
        <v>1645</v>
      </c>
      <c r="G695">
        <v>0</v>
      </c>
      <c r="H695" s="4">
        <v>10</v>
      </c>
    </row>
    <row r="696" spans="1:8" x14ac:dyDescent="0.2">
      <c r="A696" t="s">
        <v>1646</v>
      </c>
      <c r="B696" s="1" t="str">
        <f>HYPERLINK("http://www.chemspider.com/Chemical-Structure.16498738.html","16498738")</f>
        <v>16498738</v>
      </c>
      <c r="G696">
        <v>0</v>
      </c>
      <c r="H696" s="4">
        <v>10</v>
      </c>
    </row>
    <row r="697" spans="1:8" x14ac:dyDescent="0.2">
      <c r="A697" t="s">
        <v>1647</v>
      </c>
      <c r="B697" s="1" t="str">
        <f>HYPERLINK("http://www.chemspider.com/Chemical-Structure.65283.html","65283")</f>
        <v>65283</v>
      </c>
      <c r="C697" s="1" t="str">
        <f>HYPERLINK("https://www.ebi.ac.uk/chembl/compound/inspect/CHEMBL76447","CHEMBL76447")</f>
        <v>CHEMBL76447</v>
      </c>
      <c r="D697" t="s">
        <v>1</v>
      </c>
      <c r="E697" t="s">
        <v>1648</v>
      </c>
      <c r="F697" t="s">
        <v>1649</v>
      </c>
      <c r="G697">
        <v>0</v>
      </c>
      <c r="H697" s="4">
        <v>10</v>
      </c>
    </row>
    <row r="698" spans="1:8" x14ac:dyDescent="0.2">
      <c r="A698" t="s">
        <v>1650</v>
      </c>
      <c r="B698" s="1" t="str">
        <f>HYPERLINK("http://www.chemspider.com/Chemical-Structure.61389.html","61389")</f>
        <v>61389</v>
      </c>
      <c r="C698" s="1" t="str">
        <f>HYPERLINK("https://www.ebi.ac.uk/chembl/compound/inspect/CHEMBL73930","CHEMBL73930")</f>
        <v>CHEMBL73930</v>
      </c>
      <c r="D698" t="s">
        <v>1</v>
      </c>
      <c r="E698" t="s">
        <v>1651</v>
      </c>
      <c r="F698" t="s">
        <v>1652</v>
      </c>
      <c r="G698">
        <v>0</v>
      </c>
      <c r="H698" s="4">
        <v>10</v>
      </c>
    </row>
    <row r="699" spans="1:8" x14ac:dyDescent="0.2">
      <c r="A699" t="s">
        <v>1653</v>
      </c>
      <c r="B699" s="1" t="str">
        <f>HYPERLINK("http://www.chemspider.com/Chemical-Structure.2076.html","2076")</f>
        <v>2076</v>
      </c>
      <c r="C699" s="1" t="str">
        <f>HYPERLINK("https://www.ebi.ac.uk/chembl/compound/inspect/CHEMBL1096","CHEMBL1096")</f>
        <v>CHEMBL1096</v>
      </c>
      <c r="D699" t="s">
        <v>9</v>
      </c>
      <c r="E699" t="s">
        <v>1654</v>
      </c>
      <c r="F699" t="s">
        <v>1655</v>
      </c>
      <c r="G699">
        <v>6</v>
      </c>
      <c r="H699" s="4">
        <v>10</v>
      </c>
    </row>
    <row r="700" spans="1:8" x14ac:dyDescent="0.2">
      <c r="A700" t="s">
        <v>1656</v>
      </c>
      <c r="B700" s="1" t="str">
        <f>HYPERLINK("http://www.chemspider.com/Chemical-Structure.5383.html","5383")</f>
        <v>5383</v>
      </c>
      <c r="C700" s="1" t="str">
        <f>HYPERLINK("https://www.ebi.ac.uk/chembl/compound/inspect/CHEMBL1475","CHEMBL1475")</f>
        <v>CHEMBL1475</v>
      </c>
      <c r="D700" t="s">
        <v>9</v>
      </c>
      <c r="E700" t="s">
        <v>1657</v>
      </c>
      <c r="F700" t="s">
        <v>1658</v>
      </c>
      <c r="G700">
        <v>19</v>
      </c>
      <c r="H700" s="4">
        <v>10.000747970000001</v>
      </c>
    </row>
    <row r="701" spans="1:8" x14ac:dyDescent="0.2">
      <c r="A701" t="s">
        <v>1659</v>
      </c>
      <c r="B701" s="1" t="str">
        <f>HYPERLINK("http://www.chemspider.com/Chemical-Structure.4277763.html","4277763")</f>
        <v>4277763</v>
      </c>
      <c r="G701">
        <v>0</v>
      </c>
      <c r="H701" s="4">
        <v>10</v>
      </c>
    </row>
    <row r="702" spans="1:8" x14ac:dyDescent="0.2">
      <c r="A702" t="s">
        <v>1660</v>
      </c>
      <c r="B702" s="1" t="str">
        <f>HYPERLINK("http://www.chemspider.com/Chemical-Structure.4444190.html","4444190")</f>
        <v>4444190</v>
      </c>
      <c r="C702" s="1" t="str">
        <f>HYPERLINK("https://www.ebi.ac.uk/chembl/compound/inspect/CHEMBL12208","CHEMBL12208")</f>
        <v>CHEMBL12208</v>
      </c>
      <c r="D702" t="s">
        <v>1</v>
      </c>
      <c r="E702" t="s">
        <v>1661</v>
      </c>
      <c r="F702" t="s">
        <v>1662</v>
      </c>
      <c r="G702">
        <v>0</v>
      </c>
      <c r="H702" s="4">
        <v>10</v>
      </c>
    </row>
    <row r="703" spans="1:8" x14ac:dyDescent="0.2">
      <c r="A703" t="s">
        <v>1663</v>
      </c>
      <c r="B703" s="1" t="str">
        <f>HYPERLINK("http://www.chemspider.com/Chemical-Structure.4444933.html","4444933")</f>
        <v>4444933</v>
      </c>
      <c r="C703" s="1" t="str">
        <f>HYPERLINK("https://www.ebi.ac.uk/chembl/compound/inspect/CHEMBL31574","CHEMBL31574")</f>
        <v>CHEMBL31574</v>
      </c>
      <c r="D703" t="s">
        <v>1</v>
      </c>
      <c r="E703" t="s">
        <v>1664</v>
      </c>
      <c r="F703" t="s">
        <v>1665</v>
      </c>
      <c r="G703">
        <v>0</v>
      </c>
      <c r="H703" s="4">
        <v>10</v>
      </c>
    </row>
    <row r="704" spans="1:8" x14ac:dyDescent="0.2">
      <c r="A704" t="s">
        <v>1666</v>
      </c>
      <c r="B704" s="1" t="str">
        <f>HYPERLINK("http://www.chemspider.com/Chemical-Structure.359.html","359")</f>
        <v>359</v>
      </c>
      <c r="C704" s="1" t="str">
        <f>HYPERLINK("https://www.ebi.ac.uk/chembl/compound/inspect/CHEMBL12019","CHEMBL12019")</f>
        <v>CHEMBL12019</v>
      </c>
      <c r="D704" t="s">
        <v>1</v>
      </c>
      <c r="F704" t="s">
        <v>1667</v>
      </c>
      <c r="G704">
        <v>0</v>
      </c>
      <c r="H704" s="4">
        <v>10</v>
      </c>
    </row>
    <row r="705" spans="1:8" x14ac:dyDescent="0.2">
      <c r="A705" t="s">
        <v>1668</v>
      </c>
      <c r="B705" s="1" t="str">
        <f>HYPERLINK("http://www.chemspider.com/Chemical-Structure.11297.html","11297")</f>
        <v>11297</v>
      </c>
      <c r="C705" s="1" t="str">
        <f>HYPERLINK("https://www.ebi.ac.uk/chembl/compound/inspect/CHEMBL283196","CHEMBL283196")</f>
        <v>CHEMBL283196</v>
      </c>
      <c r="D705" t="s">
        <v>1</v>
      </c>
      <c r="E705" t="s">
        <v>1669</v>
      </c>
      <c r="F705" t="s">
        <v>1670</v>
      </c>
      <c r="G705">
        <v>0</v>
      </c>
      <c r="H705" s="4">
        <v>10</v>
      </c>
    </row>
    <row r="706" spans="1:8" x14ac:dyDescent="0.2">
      <c r="A706" t="s">
        <v>1671</v>
      </c>
      <c r="B706" s="1" t="str">
        <f>HYPERLINK("http://www.chemspider.com/Chemical-Structure.9524.html","9524")</f>
        <v>9524</v>
      </c>
      <c r="C706" s="1" t="str">
        <f>HYPERLINK("https://www.ebi.ac.uk/chembl/compound/inspect/CHEMBL16694","CHEMBL16694")</f>
        <v>CHEMBL16694</v>
      </c>
      <c r="D706" t="s">
        <v>1</v>
      </c>
      <c r="G706">
        <v>0</v>
      </c>
      <c r="H706" s="4">
        <v>10</v>
      </c>
    </row>
    <row r="707" spans="1:8" x14ac:dyDescent="0.2">
      <c r="A707" t="s">
        <v>1672</v>
      </c>
      <c r="B707" s="1" t="str">
        <f>HYPERLINK("http://www.chemspider.com/Chemical-Structure.10871.html","10871")</f>
        <v>10871</v>
      </c>
      <c r="C707" s="1" t="str">
        <f>HYPERLINK("https://www.ebi.ac.uk/chembl/compound/inspect/CHEMBL294009","CHEMBL294009")</f>
        <v>CHEMBL294009</v>
      </c>
      <c r="D707" t="s">
        <v>1</v>
      </c>
      <c r="E707" t="s">
        <v>1673</v>
      </c>
      <c r="F707" t="s">
        <v>1674</v>
      </c>
      <c r="G707">
        <v>10</v>
      </c>
      <c r="H707" s="4">
        <v>10</v>
      </c>
    </row>
    <row r="708" spans="1:8" x14ac:dyDescent="0.2">
      <c r="A708" t="s">
        <v>1675</v>
      </c>
      <c r="B708" s="1" t="str">
        <f>HYPERLINK("http://www.chemspider.com/Chemical-Structure.6753.html","6753")</f>
        <v>6753</v>
      </c>
      <c r="C708" s="1" t="str">
        <f>HYPERLINK("https://www.ebi.ac.uk/chembl/compound/inspect/CHEMBL186784","CHEMBL186784")</f>
        <v>CHEMBL186784</v>
      </c>
      <c r="D708" t="s">
        <v>1</v>
      </c>
      <c r="E708" t="s">
        <v>1676</v>
      </c>
      <c r="F708" t="s">
        <v>1677</v>
      </c>
      <c r="G708">
        <v>0</v>
      </c>
      <c r="H708" s="4">
        <v>10</v>
      </c>
    </row>
    <row r="709" spans="1:8" x14ac:dyDescent="0.2">
      <c r="A709" t="s">
        <v>1678</v>
      </c>
      <c r="B709" s="1" t="str">
        <f>HYPERLINK("http://www.chemspider.com/Chemical-Structure.10442445.html","10442445")</f>
        <v>10442445</v>
      </c>
      <c r="C709" s="1" t="str">
        <f>HYPERLINK("https://www.ebi.ac.uk/chembl/compound/inspect/CHEMBL1464","CHEMBL1464")</f>
        <v>CHEMBL1464</v>
      </c>
      <c r="D709" t="s">
        <v>9</v>
      </c>
      <c r="E709" t="s">
        <v>1679</v>
      </c>
      <c r="F709" t="s">
        <v>1680</v>
      </c>
      <c r="G709">
        <v>628</v>
      </c>
      <c r="H709" s="4">
        <v>10</v>
      </c>
    </row>
    <row r="710" spans="1:8" x14ac:dyDescent="0.2">
      <c r="A710" t="s">
        <v>1681</v>
      </c>
      <c r="B710" s="1" t="str">
        <f>HYPERLINK("http://www.chemspider.com/Chemical-Structure.10183330.html","10183330")</f>
        <v>10183330</v>
      </c>
      <c r="C710" s="1" t="str">
        <f>HYPERLINK("https://www.ebi.ac.uk/chembl/compound/inspect/CHEMBL1466","CHEMBL1466")</f>
        <v>CHEMBL1466</v>
      </c>
      <c r="D710" t="s">
        <v>9</v>
      </c>
      <c r="E710" t="s">
        <v>1682</v>
      </c>
      <c r="F710" t="s">
        <v>1683</v>
      </c>
      <c r="G710">
        <v>0</v>
      </c>
      <c r="H710" s="4">
        <v>10</v>
      </c>
    </row>
    <row r="711" spans="1:8" x14ac:dyDescent="0.2">
      <c r="A711" t="s">
        <v>1684</v>
      </c>
      <c r="B711" s="1" t="str">
        <f>HYPERLINK("http://www.chemspider.com/Chemical-Structure.4765.html","4765")</f>
        <v>4765</v>
      </c>
      <c r="C711" s="1" t="str">
        <f>HYPERLINK("https://www.ebi.ac.uk/chembl/compound/inspect/CHEMBL1180725","CHEMBL1180725")</f>
        <v>CHEMBL1180725</v>
      </c>
      <c r="D711" t="s">
        <v>9</v>
      </c>
      <c r="E711" t="s">
        <v>1685</v>
      </c>
      <c r="F711" t="s">
        <v>1686</v>
      </c>
      <c r="G711">
        <v>6</v>
      </c>
      <c r="H711" s="4">
        <v>10</v>
      </c>
    </row>
    <row r="712" spans="1:8" x14ac:dyDescent="0.2">
      <c r="A712" t="s">
        <v>1687</v>
      </c>
      <c r="B712" s="1" t="str">
        <f>HYPERLINK("http://www.chemspider.com/Chemical-Structure.4445149.html","4445149")</f>
        <v>4445149</v>
      </c>
      <c r="C712" s="1" t="str">
        <f>HYPERLINK("https://www.ebi.ac.uk/chembl/compound/inspect/CHEMBL6246","CHEMBL6246")</f>
        <v>CHEMBL6246</v>
      </c>
      <c r="D712" t="s">
        <v>1</v>
      </c>
      <c r="E712" t="s">
        <v>1688</v>
      </c>
      <c r="F712" t="s">
        <v>1689</v>
      </c>
      <c r="G712">
        <v>7733</v>
      </c>
      <c r="H712" s="4">
        <v>10</v>
      </c>
    </row>
    <row r="713" spans="1:8" x14ac:dyDescent="0.2">
      <c r="A713" t="s">
        <v>1690</v>
      </c>
      <c r="B713" s="1" t="str">
        <f>HYPERLINK("http://www.chemspider.com/Chemical-Structure.65868.html","65868")</f>
        <v>65868</v>
      </c>
      <c r="C713" s="1" t="str">
        <f>HYPERLINK("https://www.ebi.ac.uk/chembl/compound/inspect/CHEMBL176045","CHEMBL176045")</f>
        <v>CHEMBL176045</v>
      </c>
      <c r="D713" t="s">
        <v>1</v>
      </c>
      <c r="E713" t="s">
        <v>1691</v>
      </c>
      <c r="F713" t="s">
        <v>1692</v>
      </c>
      <c r="G713">
        <v>0</v>
      </c>
      <c r="H713" s="4">
        <v>10</v>
      </c>
    </row>
    <row r="714" spans="1:8" x14ac:dyDescent="0.2">
      <c r="A714" t="s">
        <v>1693</v>
      </c>
      <c r="B714" s="1" t="str">
        <f>HYPERLINK("http://www.chemspider.com/Chemical-Structure.24824093.html","24824093")</f>
        <v>24824093</v>
      </c>
      <c r="C714" s="1" t="str">
        <f>HYPERLINK("https://www.ebi.ac.uk/chembl/compound/inspect/CHEMBL1606766","CHEMBL1606766")</f>
        <v>CHEMBL1606766</v>
      </c>
      <c r="D714" t="s">
        <v>1</v>
      </c>
      <c r="F714" t="s">
        <v>1694</v>
      </c>
      <c r="G714">
        <v>0</v>
      </c>
      <c r="H714" s="4">
        <v>9.9992546139999998</v>
      </c>
    </row>
    <row r="715" spans="1:8" x14ac:dyDescent="0.2">
      <c r="A715" t="s">
        <v>1695</v>
      </c>
      <c r="B715" s="1" t="str">
        <f>HYPERLINK("http://www.chemspider.com/Chemical-Structure.25022399.html","25022399")</f>
        <v>25022399</v>
      </c>
      <c r="C715" s="1" t="str">
        <f>HYPERLINK("https://www.ebi.ac.uk/chembl/compound/inspect/CHEMBL1332607","CHEMBL1332607")</f>
        <v>CHEMBL1332607</v>
      </c>
      <c r="D715" t="s">
        <v>1</v>
      </c>
      <c r="F715" t="s">
        <v>1696</v>
      </c>
      <c r="G715">
        <v>0</v>
      </c>
      <c r="H715" s="4">
        <v>10</v>
      </c>
    </row>
    <row r="716" spans="1:8" x14ac:dyDescent="0.2">
      <c r="A716" t="s">
        <v>1697</v>
      </c>
      <c r="B716" s="1" t="str">
        <f>HYPERLINK("http://www.chemspider.com/Chemical-Structure.25022399.html","25022399")</f>
        <v>25022399</v>
      </c>
      <c r="C716" s="1" t="str">
        <f>HYPERLINK("https://www.ebi.ac.uk/chembl/compound/inspect/CHEMBL1332607","CHEMBL1332607")</f>
        <v>CHEMBL1332607</v>
      </c>
      <c r="D716" t="s">
        <v>1</v>
      </c>
      <c r="F716" t="s">
        <v>1696</v>
      </c>
      <c r="G716">
        <v>0</v>
      </c>
      <c r="H716" s="4">
        <v>10</v>
      </c>
    </row>
    <row r="717" spans="1:8" x14ac:dyDescent="0.2">
      <c r="A717" t="s">
        <v>1698</v>
      </c>
      <c r="B717" s="1" t="str">
        <f>HYPERLINK("http://www.chemspider.com/Chemical-Structure.10468813.html","10468813")</f>
        <v>10468813</v>
      </c>
      <c r="C717" s="1" t="str">
        <f>HYPERLINK("https://www.ebi.ac.uk/chembl/compound/inspect/CHEMBL374478","CHEMBL374478")</f>
        <v>CHEMBL374478</v>
      </c>
      <c r="D717" t="s">
        <v>9</v>
      </c>
      <c r="E717" t="s">
        <v>1699</v>
      </c>
      <c r="F717" t="s">
        <v>1700</v>
      </c>
      <c r="G717">
        <v>147</v>
      </c>
      <c r="H717" s="4">
        <v>10</v>
      </c>
    </row>
    <row r="718" spans="1:8" x14ac:dyDescent="0.2">
      <c r="A718" t="s">
        <v>1701</v>
      </c>
      <c r="B718" s="1" t="str">
        <f>HYPERLINK("http://www.chemspider.com/Chemical-Structure.10482075.html","10482075")</f>
        <v>10482075</v>
      </c>
      <c r="C718" s="1" t="str">
        <f>HYPERLINK("https://www.ebi.ac.uk/chembl/compound/inspect/CHEMBL1660","CHEMBL1660")</f>
        <v>CHEMBL1660</v>
      </c>
      <c r="D718" t="s">
        <v>9</v>
      </c>
      <c r="E718" t="s">
        <v>1702</v>
      </c>
      <c r="F718" t="s">
        <v>1703</v>
      </c>
      <c r="G718">
        <v>50</v>
      </c>
      <c r="H718" s="4">
        <v>10</v>
      </c>
    </row>
    <row r="719" spans="1:8" x14ac:dyDescent="0.2">
      <c r="A719" t="s">
        <v>1704</v>
      </c>
      <c r="B719" s="1" t="str">
        <f>HYPERLINK("http://www.chemspider.com/Chemical-Structure.10468813.html","10468813")</f>
        <v>10468813</v>
      </c>
      <c r="C719" s="1" t="str">
        <f>HYPERLINK("https://www.ebi.ac.uk/chembl/compound/inspect/CHEMBL374478","CHEMBL374478")</f>
        <v>CHEMBL374478</v>
      </c>
      <c r="D719" t="s">
        <v>9</v>
      </c>
      <c r="E719" t="s">
        <v>1699</v>
      </c>
      <c r="F719" t="s">
        <v>1700</v>
      </c>
      <c r="G719">
        <v>147</v>
      </c>
      <c r="H719" s="4">
        <v>10</v>
      </c>
    </row>
    <row r="720" spans="1:8" x14ac:dyDescent="0.2">
      <c r="A720" t="s">
        <v>1705</v>
      </c>
      <c r="B720" s="1" t="str">
        <f>HYPERLINK("http://www.chemspider.com/Chemical-Structure.10482075.html","10482075")</f>
        <v>10482075</v>
      </c>
      <c r="C720" s="1" t="str">
        <f>HYPERLINK("https://www.ebi.ac.uk/chembl/compound/inspect/CHEMBL1660","CHEMBL1660")</f>
        <v>CHEMBL1660</v>
      </c>
      <c r="D720" t="s">
        <v>9</v>
      </c>
      <c r="E720" t="s">
        <v>1702</v>
      </c>
      <c r="F720" t="s">
        <v>1703</v>
      </c>
      <c r="G720">
        <v>50</v>
      </c>
      <c r="H720" s="4">
        <v>10</v>
      </c>
    </row>
    <row r="721" spans="1:8" x14ac:dyDescent="0.2">
      <c r="A721" t="s">
        <v>1706</v>
      </c>
      <c r="B721" s="1" t="str">
        <f>HYPERLINK("http://www.chemspider.com/Chemical-Structure.23975968.html","23975968")</f>
        <v>23975968</v>
      </c>
      <c r="C721" s="1" t="str">
        <f>HYPERLINK("https://www.ebi.ac.uk/chembl/compound/inspect/CHEMBL1309928","CHEMBL1309928")</f>
        <v>CHEMBL1309928</v>
      </c>
      <c r="D721" t="s">
        <v>1</v>
      </c>
      <c r="F721" t="s">
        <v>1707</v>
      </c>
      <c r="G721">
        <v>0</v>
      </c>
      <c r="H721" s="4">
        <v>10</v>
      </c>
    </row>
    <row r="722" spans="1:8" x14ac:dyDescent="0.2">
      <c r="A722" t="s">
        <v>1708</v>
      </c>
      <c r="B722" s="1" t="str">
        <f>HYPERLINK("http://www.chemspider.com/Chemical-Structure.4444764.html","4444764")</f>
        <v>4444764</v>
      </c>
      <c r="C722" s="1" t="str">
        <f>HYPERLINK("https://www.ebi.ac.uk/chembl/compound/inspect/CHEMBL244743","CHEMBL244743")</f>
        <v>CHEMBL244743</v>
      </c>
      <c r="D722" t="s">
        <v>1</v>
      </c>
      <c r="E722" t="s">
        <v>1709</v>
      </c>
      <c r="F722" t="s">
        <v>1710</v>
      </c>
      <c r="G722">
        <v>0</v>
      </c>
      <c r="H722" s="4">
        <v>10</v>
      </c>
    </row>
    <row r="723" spans="1:8" x14ac:dyDescent="0.2">
      <c r="A723" t="s">
        <v>1711</v>
      </c>
      <c r="B723" s="1" t="str">
        <f>HYPERLINK("http://www.chemspider.com/Chemical-Structure.4444113.html","4444113")</f>
        <v>4444113</v>
      </c>
      <c r="C723" s="1" t="str">
        <f>HYPERLINK("https://www.ebi.ac.uk/chembl/compound/inspect/CHEMBL71851","CHEMBL71851")</f>
        <v>CHEMBL71851</v>
      </c>
      <c r="D723" t="s">
        <v>1</v>
      </c>
      <c r="E723" t="s">
        <v>1712</v>
      </c>
      <c r="F723" t="s">
        <v>1713</v>
      </c>
      <c r="G723">
        <v>0</v>
      </c>
      <c r="H723" s="4">
        <v>10</v>
      </c>
    </row>
    <row r="724" spans="1:8" x14ac:dyDescent="0.2">
      <c r="A724" t="s">
        <v>1714</v>
      </c>
      <c r="B724" s="1" t="str">
        <f>HYPERLINK("http://www.chemspider.com/Chemical-Structure.4444765.html","4444765")</f>
        <v>4444765</v>
      </c>
      <c r="C724" s="1" t="str">
        <f>HYPERLINK("https://www.ebi.ac.uk/chembl/compound/inspect/CHEMBL482581","CHEMBL482581")</f>
        <v>CHEMBL482581</v>
      </c>
      <c r="D724" t="s">
        <v>1</v>
      </c>
      <c r="E724" t="s">
        <v>1715</v>
      </c>
      <c r="F724" t="s">
        <v>1716</v>
      </c>
      <c r="G724">
        <v>0</v>
      </c>
      <c r="H724" s="4">
        <v>10</v>
      </c>
    </row>
    <row r="725" spans="1:8" x14ac:dyDescent="0.2">
      <c r="A725" t="s">
        <v>1717</v>
      </c>
      <c r="B725" s="1" t="str">
        <f>HYPERLINK("http://www.chemspider.com/Chemical-Structure.4444774.html","4444774")</f>
        <v>4444774</v>
      </c>
      <c r="C725" s="1" t="str">
        <f>HYPERLINK("https://www.ebi.ac.uk/chembl/compound/inspect/CHEMBL51628","CHEMBL51628")</f>
        <v>CHEMBL51628</v>
      </c>
      <c r="D725" t="s">
        <v>1</v>
      </c>
      <c r="E725" t="s">
        <v>1718</v>
      </c>
      <c r="F725" t="s">
        <v>1719</v>
      </c>
      <c r="G725">
        <v>1</v>
      </c>
      <c r="H725" s="4">
        <v>10</v>
      </c>
    </row>
    <row r="726" spans="1:8" x14ac:dyDescent="0.2">
      <c r="A726" t="s">
        <v>1720</v>
      </c>
      <c r="B726" s="1" t="str">
        <f>HYPERLINK("http://www.chemspider.com/Chemical-Structure.4684.html","4684")</f>
        <v>4684</v>
      </c>
      <c r="C726" s="1" t="str">
        <f>HYPERLINK("https://www.ebi.ac.uk/chembl/compound/inspect/CHEMBL1371770","CHEMBL1371770")</f>
        <v>CHEMBL1371770</v>
      </c>
      <c r="D726" t="s">
        <v>1</v>
      </c>
      <c r="E726" t="s">
        <v>1721</v>
      </c>
      <c r="F726" t="s">
        <v>1722</v>
      </c>
      <c r="G726">
        <v>11</v>
      </c>
      <c r="H726" s="4">
        <v>10</v>
      </c>
    </row>
    <row r="727" spans="1:8" x14ac:dyDescent="0.2">
      <c r="A727" t="s">
        <v>1723</v>
      </c>
      <c r="B727" s="1" t="str">
        <f>HYPERLINK("http://www.chemspider.com/Chemical-Structure.99301.html","99301")</f>
        <v>99301</v>
      </c>
      <c r="C727" s="1" t="str">
        <f>HYPERLINK("https://www.ebi.ac.uk/chembl/compound/inspect/CHEMBL779","CHEMBL779")</f>
        <v>CHEMBL779</v>
      </c>
      <c r="D727" t="s">
        <v>9</v>
      </c>
      <c r="E727" t="s">
        <v>1724</v>
      </c>
      <c r="F727" t="s">
        <v>1725</v>
      </c>
      <c r="G727">
        <v>331</v>
      </c>
      <c r="H727" s="4">
        <v>10</v>
      </c>
    </row>
    <row r="728" spans="1:8" x14ac:dyDescent="0.2">
      <c r="A728" t="s">
        <v>1726</v>
      </c>
      <c r="B728" s="1" t="str">
        <f>HYPERLINK("http://www.chemspider.com/Chemical-Structure.4470940.html","4470940")</f>
        <v>4470940</v>
      </c>
      <c r="C728" s="1" t="str">
        <f>HYPERLINK("https://www.ebi.ac.uk/chembl/compound/inspect/CHEMBL1983350","CHEMBL1983350")</f>
        <v>CHEMBL1983350</v>
      </c>
      <c r="D728" t="s">
        <v>1</v>
      </c>
      <c r="E728" t="s">
        <v>1727</v>
      </c>
      <c r="F728" t="s">
        <v>1728</v>
      </c>
      <c r="G728">
        <v>5</v>
      </c>
      <c r="H728" s="4">
        <v>10</v>
      </c>
    </row>
    <row r="729" spans="1:8" x14ac:dyDescent="0.2">
      <c r="A729" t="s">
        <v>1729</v>
      </c>
      <c r="B729" s="1" t="str">
        <f>HYPERLINK("http://www.chemspider.com/Chemical-Structure.553590.html","553590")</f>
        <v>553590</v>
      </c>
      <c r="C729" s="1" t="str">
        <f>HYPERLINK("https://www.ebi.ac.uk/chembl/compound/inspect/CHEMBL43185","CHEMBL43185")</f>
        <v>CHEMBL43185</v>
      </c>
      <c r="D729" t="s">
        <v>1</v>
      </c>
      <c r="E729" t="s">
        <v>1730</v>
      </c>
      <c r="F729" t="s">
        <v>1731</v>
      </c>
      <c r="G729">
        <v>13</v>
      </c>
      <c r="H729" s="4">
        <v>10</v>
      </c>
    </row>
    <row r="730" spans="1:8" x14ac:dyDescent="0.2">
      <c r="A730" t="s">
        <v>1732</v>
      </c>
      <c r="B730" s="1" t="str">
        <f>HYPERLINK("http://www.chemspider.com/Chemical-Structure.4030.html","4030")</f>
        <v>4030</v>
      </c>
      <c r="C730" s="1" t="str">
        <f>HYPERLINK("https://www.ebi.ac.uk/chembl/compound/inspect/CHEMBL934","CHEMBL934")</f>
        <v>CHEMBL934</v>
      </c>
      <c r="D730" t="s">
        <v>9</v>
      </c>
      <c r="E730" t="s">
        <v>1733</v>
      </c>
      <c r="F730" t="s">
        <v>1734</v>
      </c>
      <c r="G730">
        <v>20</v>
      </c>
      <c r="H730" s="4">
        <v>10</v>
      </c>
    </row>
    <row r="731" spans="1:8" x14ac:dyDescent="0.2">
      <c r="A731" t="s">
        <v>1735</v>
      </c>
      <c r="B731" s="1" t="str">
        <f>HYPERLINK("http://www.chemspider.com/Chemical-Structure.1361925.html","1361925")</f>
        <v>1361925</v>
      </c>
      <c r="C731" s="1" t="str">
        <f>HYPERLINK("https://www.ebi.ac.uk/chembl/compound/inspect/CHEMBL487901","CHEMBL487901")</f>
        <v>CHEMBL487901</v>
      </c>
      <c r="D731" t="s">
        <v>1</v>
      </c>
      <c r="G731">
        <v>0</v>
      </c>
      <c r="H731" s="4">
        <v>20</v>
      </c>
    </row>
    <row r="732" spans="1:8" x14ac:dyDescent="0.2">
      <c r="A732" t="s">
        <v>1736</v>
      </c>
      <c r="B732" s="1" t="str">
        <f>HYPERLINK("http://www.chemspider.com/Chemical-Structure.21171814.html","21171814")</f>
        <v>21171814</v>
      </c>
      <c r="G732">
        <v>0</v>
      </c>
      <c r="H732" s="4">
        <v>20</v>
      </c>
    </row>
    <row r="733" spans="1:8" x14ac:dyDescent="0.2">
      <c r="A733" t="s">
        <v>1737</v>
      </c>
      <c r="G733">
        <v>0</v>
      </c>
      <c r="H733" s="4">
        <v>20</v>
      </c>
    </row>
    <row r="734" spans="1:8" x14ac:dyDescent="0.2">
      <c r="A734" t="s">
        <v>1738</v>
      </c>
      <c r="B734" s="1" t="str">
        <f>HYPERLINK("http://www.chemspider.com/Chemical-Structure.11458.html","11458")</f>
        <v>11458</v>
      </c>
      <c r="C734" s="1" t="str">
        <f>HYPERLINK("https://www.ebi.ac.uk/chembl/compound/inspect/CHEMBL128079","CHEMBL128079")</f>
        <v>CHEMBL128079</v>
      </c>
      <c r="D734" t="s">
        <v>1</v>
      </c>
      <c r="F734" t="s">
        <v>1739</v>
      </c>
      <c r="G734">
        <v>0</v>
      </c>
      <c r="H734" s="4">
        <v>10</v>
      </c>
    </row>
    <row r="735" spans="1:8" x14ac:dyDescent="0.2">
      <c r="A735" t="s">
        <v>1740</v>
      </c>
      <c r="G735">
        <v>0</v>
      </c>
      <c r="H735" s="4">
        <v>20</v>
      </c>
    </row>
    <row r="736" spans="1:8" x14ac:dyDescent="0.2">
      <c r="A736" t="s">
        <v>1741</v>
      </c>
      <c r="B736" s="1" t="str">
        <f>HYPERLINK("http://www.chemspider.com/Chemical-Structure.91814.html","91814")</f>
        <v>91814</v>
      </c>
      <c r="C736" s="1" t="str">
        <f>HYPERLINK("https://www.ebi.ac.uk/chembl/compound/inspect/CHEMBL122270","CHEMBL122270")</f>
        <v>CHEMBL122270</v>
      </c>
      <c r="D736" t="s">
        <v>1</v>
      </c>
      <c r="E736" t="s">
        <v>1742</v>
      </c>
      <c r="F736" t="s">
        <v>1743</v>
      </c>
      <c r="G736">
        <v>0</v>
      </c>
      <c r="H736" s="4">
        <v>10</v>
      </c>
    </row>
    <row r="737" spans="1:8" x14ac:dyDescent="0.2">
      <c r="A737" t="s">
        <v>1744</v>
      </c>
      <c r="B737" s="1" t="str">
        <f>HYPERLINK("http://www.chemspider.com/Chemical-Structure.5530.html","5530")</f>
        <v>5530</v>
      </c>
      <c r="C737" s="1" t="str">
        <f>HYPERLINK("https://www.ebi.ac.uk/chembl/compound/inspect/CHEMBL911","CHEMBL911")</f>
        <v>CHEMBL911</v>
      </c>
      <c r="D737" t="s">
        <v>9</v>
      </c>
      <c r="E737" t="s">
        <v>1745</v>
      </c>
      <c r="F737" t="s">
        <v>1746</v>
      </c>
      <c r="G737">
        <v>254</v>
      </c>
      <c r="H737" s="4">
        <v>10</v>
      </c>
    </row>
    <row r="738" spans="1:8" x14ac:dyDescent="0.2">
      <c r="A738" t="s">
        <v>1747</v>
      </c>
      <c r="G738">
        <v>0</v>
      </c>
      <c r="H738" s="4">
        <v>10</v>
      </c>
    </row>
    <row r="739" spans="1:8" x14ac:dyDescent="0.2">
      <c r="A739" t="s">
        <v>1748</v>
      </c>
      <c r="G739">
        <v>0</v>
      </c>
      <c r="H739" s="4">
        <v>10</v>
      </c>
    </row>
    <row r="740" spans="1:8" x14ac:dyDescent="0.2">
      <c r="A740" t="s">
        <v>1749</v>
      </c>
      <c r="B740" s="1" t="str">
        <f>HYPERLINK("http://www.chemspider.com/Chemical-Structure.2944.html","2944")</f>
        <v>2944</v>
      </c>
      <c r="C740" s="1" t="str">
        <f>HYPERLINK("https://www.ebi.ac.uk/chembl/compound/inspect/CHEMBL684","CHEMBL684")</f>
        <v>CHEMBL684</v>
      </c>
      <c r="D740" t="s">
        <v>9</v>
      </c>
      <c r="E740" t="s">
        <v>1750</v>
      </c>
      <c r="F740" t="s">
        <v>1751</v>
      </c>
      <c r="G740">
        <v>11</v>
      </c>
      <c r="H740" s="4">
        <v>9.9991260759999996</v>
      </c>
    </row>
    <row r="741" spans="1:8" x14ac:dyDescent="0.2">
      <c r="A741" t="s">
        <v>1752</v>
      </c>
      <c r="B741" s="1" t="str">
        <f>HYPERLINK("http://www.chemspider.com/Chemical-Structure.59245.html","59245")</f>
        <v>59245</v>
      </c>
      <c r="C741" s="1" t="str">
        <f>HYPERLINK("https://www.ebi.ac.uk/chembl/compound/inspect/CHEMBL252923","CHEMBL252923")</f>
        <v>CHEMBL252923</v>
      </c>
      <c r="D741" t="s">
        <v>1</v>
      </c>
      <c r="E741" t="s">
        <v>1753</v>
      </c>
      <c r="F741" t="s">
        <v>1754</v>
      </c>
      <c r="G741">
        <v>136</v>
      </c>
      <c r="H741" s="4">
        <v>10</v>
      </c>
    </row>
    <row r="742" spans="1:8" x14ac:dyDescent="0.2">
      <c r="A742" t="s">
        <v>1755</v>
      </c>
      <c r="B742" s="1" t="str">
        <f>HYPERLINK("http://www.chemspider.com/Chemical-Structure.5517.html","5517")</f>
        <v>5517</v>
      </c>
      <c r="C742" s="1" t="str">
        <f>HYPERLINK("https://www.ebi.ac.uk/chembl/compound/inspect/CHEMBL1521","CHEMBL1521")</f>
        <v>CHEMBL1521</v>
      </c>
      <c r="D742" t="s">
        <v>9</v>
      </c>
      <c r="E742" t="s">
        <v>1756</v>
      </c>
      <c r="F742" t="s">
        <v>1757</v>
      </c>
      <c r="G742">
        <v>24</v>
      </c>
      <c r="H742" s="4">
        <v>10.000114999999999</v>
      </c>
    </row>
    <row r="743" spans="1:8" x14ac:dyDescent="0.2">
      <c r="A743" t="s">
        <v>1758</v>
      </c>
      <c r="B743" s="1" t="str">
        <f>HYPERLINK("http://www.chemspider.com/Chemical-Structure.599515.html","599515")</f>
        <v>599515</v>
      </c>
      <c r="C743" s="1" t="str">
        <f>HYPERLINK("https://www.ebi.ac.uk/chembl/compound/inspect/CHEMBL1200709","CHEMBL1200709")</f>
        <v>CHEMBL1200709</v>
      </c>
      <c r="D743" t="s">
        <v>9</v>
      </c>
      <c r="E743" t="s">
        <v>1759</v>
      </c>
      <c r="F743" t="s">
        <v>1760</v>
      </c>
      <c r="G743">
        <v>0</v>
      </c>
      <c r="H743" s="4">
        <v>10.3</v>
      </c>
    </row>
    <row r="744" spans="1:8" x14ac:dyDescent="0.2">
      <c r="A744" t="s">
        <v>1761</v>
      </c>
      <c r="B744" s="1" t="str">
        <f>HYPERLINK("http://www.chemspider.com/Chemical-Structure.2867.html","2867")</f>
        <v>2867</v>
      </c>
      <c r="C744" s="1" t="str">
        <f>HYPERLINK("https://www.ebi.ac.uk/chembl/compound/inspect/CHEMBL556","CHEMBL556")</f>
        <v>CHEMBL556</v>
      </c>
      <c r="D744" t="s">
        <v>9</v>
      </c>
      <c r="E744" t="s">
        <v>1762</v>
      </c>
      <c r="F744" t="s">
        <v>1763</v>
      </c>
      <c r="G744">
        <v>68</v>
      </c>
      <c r="H744" s="4">
        <v>10</v>
      </c>
    </row>
    <row r="745" spans="1:8" x14ac:dyDescent="0.2">
      <c r="A745" t="s">
        <v>1764</v>
      </c>
      <c r="B745" s="1" t="str">
        <f>HYPERLINK("http://www.chemspider.com/Chemical-Structure.3002.html","3002")</f>
        <v>3002</v>
      </c>
      <c r="C745" s="1" t="str">
        <f>HYPERLINK("https://www.ebi.ac.uk/chembl/compound/inspect/CHEMBL517","CHEMBL517")</f>
        <v>CHEMBL517</v>
      </c>
      <c r="D745" t="s">
        <v>9</v>
      </c>
      <c r="E745" t="s">
        <v>1765</v>
      </c>
      <c r="F745" t="s">
        <v>1766</v>
      </c>
      <c r="G745">
        <v>2</v>
      </c>
      <c r="H745" s="4">
        <v>10</v>
      </c>
    </row>
    <row r="746" spans="1:8" x14ac:dyDescent="0.2">
      <c r="A746" t="s">
        <v>1767</v>
      </c>
      <c r="B746" s="1" t="str">
        <f>HYPERLINK("http://www.chemspider.com/Chemical-Structure.64566.html","64566")</f>
        <v>64566</v>
      </c>
      <c r="C746" s="1" t="str">
        <f>HYPERLINK("https://www.ebi.ac.uk/chembl/compound/inspect/CHEMBL1884833","CHEMBL1884833")</f>
        <v>CHEMBL1884833</v>
      </c>
      <c r="D746" t="s">
        <v>1</v>
      </c>
      <c r="E746" t="s">
        <v>1768</v>
      </c>
      <c r="F746" t="s">
        <v>1769</v>
      </c>
      <c r="G746">
        <v>0</v>
      </c>
      <c r="H746" s="4">
        <v>10.1</v>
      </c>
    </row>
    <row r="747" spans="1:8" x14ac:dyDescent="0.2">
      <c r="A747" t="s">
        <v>1770</v>
      </c>
      <c r="B747" s="1" t="str">
        <f>HYPERLINK("http://www.chemspider.com/Chemical-Structure.2457.html","2457")</f>
        <v>2457</v>
      </c>
      <c r="C747" s="1" t="str">
        <f>HYPERLINK("https://www.ebi.ac.uk/chembl/compound/inspect/CHEMBL108","CHEMBL108")</f>
        <v>CHEMBL108</v>
      </c>
      <c r="D747" t="s">
        <v>9</v>
      </c>
      <c r="E747" t="s">
        <v>1771</v>
      </c>
      <c r="F747" t="s">
        <v>1772</v>
      </c>
      <c r="G747">
        <v>179</v>
      </c>
      <c r="H747" s="4">
        <v>10</v>
      </c>
    </row>
    <row r="748" spans="1:8" x14ac:dyDescent="0.2">
      <c r="A748" t="s">
        <v>1773</v>
      </c>
      <c r="B748" s="1" t="str">
        <f>HYPERLINK("http://www.chemspider.com/Chemical-Structure.99870.html","99870")</f>
        <v>99870</v>
      </c>
      <c r="C748" s="1" t="str">
        <f>HYPERLINK("https://www.ebi.ac.uk/chembl/compound/inspect/CHEMBL1222059","CHEMBL1222059")</f>
        <v>CHEMBL1222059</v>
      </c>
      <c r="D748" t="s">
        <v>1</v>
      </c>
      <c r="G748">
        <v>0</v>
      </c>
      <c r="H748" s="4">
        <v>10</v>
      </c>
    </row>
    <row r="749" spans="1:8" x14ac:dyDescent="0.2">
      <c r="A749" t="s">
        <v>1774</v>
      </c>
      <c r="B749" s="1" t="str">
        <f>HYPERLINK("http://www.chemspider.com/Chemical-Structure.911.html","911")</f>
        <v>911</v>
      </c>
      <c r="C749" s="1" t="str">
        <f>HYPERLINK("https://www.ebi.ac.uk/chembl/compound/inspect/CHEMBL1140","CHEMBL1140")</f>
        <v>CHEMBL1140</v>
      </c>
      <c r="D749" t="s">
        <v>9</v>
      </c>
      <c r="E749" t="s">
        <v>1775</v>
      </c>
      <c r="F749" t="s">
        <v>1776</v>
      </c>
      <c r="G749">
        <v>120</v>
      </c>
      <c r="H749" s="4">
        <v>10</v>
      </c>
    </row>
    <row r="750" spans="1:8" x14ac:dyDescent="0.2">
      <c r="A750" t="s">
        <v>1777</v>
      </c>
      <c r="B750" s="1" t="str">
        <f>HYPERLINK("http://www.chemspider.com/Chemical-Structure.1017.html","1017")</f>
        <v>1017</v>
      </c>
      <c r="C750" s="1" t="str">
        <f>HYPERLINK("https://www.ebi.ac.uk/chembl/compound/inspect/CHEMBL614","CHEMBL614")</f>
        <v>CHEMBL614</v>
      </c>
      <c r="D750" t="s">
        <v>9</v>
      </c>
      <c r="E750" t="s">
        <v>1778</v>
      </c>
      <c r="F750" t="s">
        <v>1779</v>
      </c>
      <c r="G750">
        <v>105</v>
      </c>
      <c r="H750" s="4">
        <v>10</v>
      </c>
    </row>
    <row r="751" spans="1:8" x14ac:dyDescent="0.2">
      <c r="A751" t="s">
        <v>1780</v>
      </c>
      <c r="B751" s="1" t="str">
        <f>HYPERLINK("http://www.chemspider.com/Chemical-Structure.4746.html","4746")</f>
        <v>4746</v>
      </c>
      <c r="C751" s="1" t="str">
        <f>HYPERLINK("https://www.ebi.ac.uk/chembl/compound/inspect/CHEMBL1321","CHEMBL1321")</f>
        <v>CHEMBL1321</v>
      </c>
      <c r="D751" t="s">
        <v>9</v>
      </c>
      <c r="E751" t="s">
        <v>1781</v>
      </c>
      <c r="F751" t="s">
        <v>1782</v>
      </c>
      <c r="G751">
        <v>139</v>
      </c>
      <c r="H751" s="4">
        <v>10</v>
      </c>
    </row>
    <row r="752" spans="1:8" x14ac:dyDescent="0.2">
      <c r="A752" t="s">
        <v>1783</v>
      </c>
      <c r="B752" s="1" t="str">
        <f>HYPERLINK("http://www.chemspider.com/Chemical-Structure.12909.html","12909")</f>
        <v>12909</v>
      </c>
      <c r="C752" s="1" t="str">
        <f>HYPERLINK("https://www.ebi.ac.uk/chembl/compound/inspect/CHEMBL1907476","CHEMBL1907476")</f>
        <v>CHEMBL1907476</v>
      </c>
      <c r="D752" t="s">
        <v>1</v>
      </c>
      <c r="G752">
        <v>0</v>
      </c>
      <c r="H752" s="4">
        <v>10</v>
      </c>
    </row>
    <row r="753" spans="1:8" x14ac:dyDescent="0.2">
      <c r="A753" t="s">
        <v>1784</v>
      </c>
      <c r="B753" s="1" t="str">
        <f>HYPERLINK("http://www.chemspider.com/Chemical-Structure.54551.html","54551")</f>
        <v>54551</v>
      </c>
      <c r="C753" s="1" t="str">
        <f>HYPERLINK("https://www.ebi.ac.uk/chembl/compound/inspect/CHEMBL25843","CHEMBL25843")</f>
        <v>CHEMBL25843</v>
      </c>
      <c r="D753" t="s">
        <v>1</v>
      </c>
      <c r="E753" t="s">
        <v>1785</v>
      </c>
      <c r="F753" t="s">
        <v>1786</v>
      </c>
      <c r="G753">
        <v>0</v>
      </c>
      <c r="H753" s="4">
        <v>10</v>
      </c>
    </row>
    <row r="754" spans="1:8" x14ac:dyDescent="0.2">
      <c r="A754" t="s">
        <v>1787</v>
      </c>
      <c r="B754" s="1" t="str">
        <f>HYPERLINK("http://www.chemspider.com/Chemical-Structure.4447620.html","4447620")</f>
        <v>4447620</v>
      </c>
      <c r="G754">
        <v>0</v>
      </c>
      <c r="H754" s="4">
        <v>10</v>
      </c>
    </row>
    <row r="755" spans="1:8" x14ac:dyDescent="0.2">
      <c r="A755" t="s">
        <v>1788</v>
      </c>
      <c r="G755">
        <v>0</v>
      </c>
      <c r="H755" s="4">
        <v>10</v>
      </c>
    </row>
    <row r="756" spans="1:8" x14ac:dyDescent="0.2">
      <c r="A756" t="s">
        <v>1789</v>
      </c>
      <c r="G756">
        <v>0</v>
      </c>
      <c r="H756" s="4">
        <v>10</v>
      </c>
    </row>
    <row r="757" spans="1:8" x14ac:dyDescent="0.2">
      <c r="A757" t="s">
        <v>1790</v>
      </c>
      <c r="G757">
        <v>0</v>
      </c>
      <c r="H757" s="4">
        <v>10</v>
      </c>
    </row>
    <row r="758" spans="1:8" x14ac:dyDescent="0.2">
      <c r="A758" t="s">
        <v>1791</v>
      </c>
      <c r="G758">
        <v>0</v>
      </c>
      <c r="H758" s="4">
        <v>10</v>
      </c>
    </row>
    <row r="759" spans="1:8" x14ac:dyDescent="0.2">
      <c r="A759" t="s">
        <v>1792</v>
      </c>
      <c r="G759">
        <v>0</v>
      </c>
      <c r="H759" s="4">
        <v>10</v>
      </c>
    </row>
    <row r="760" spans="1:8" x14ac:dyDescent="0.2">
      <c r="A760" t="s">
        <v>1793</v>
      </c>
      <c r="G760">
        <v>0</v>
      </c>
      <c r="H760" s="4">
        <v>10</v>
      </c>
    </row>
    <row r="761" spans="1:8" x14ac:dyDescent="0.2">
      <c r="A761" t="s">
        <v>1794</v>
      </c>
      <c r="G761">
        <v>0</v>
      </c>
      <c r="H761" s="4">
        <v>10</v>
      </c>
    </row>
    <row r="762" spans="1:8" x14ac:dyDescent="0.2">
      <c r="A762" t="s">
        <v>1795</v>
      </c>
      <c r="G762">
        <v>0</v>
      </c>
      <c r="H762" s="4">
        <v>10</v>
      </c>
    </row>
    <row r="763" spans="1:8" x14ac:dyDescent="0.2">
      <c r="A763" t="s">
        <v>1796</v>
      </c>
      <c r="G763">
        <v>0</v>
      </c>
      <c r="H763" s="4">
        <v>10</v>
      </c>
    </row>
    <row r="764" spans="1:8" x14ac:dyDescent="0.2">
      <c r="A764" t="s">
        <v>1797</v>
      </c>
      <c r="G764">
        <v>0</v>
      </c>
      <c r="H764" s="4">
        <v>10</v>
      </c>
    </row>
    <row r="765" spans="1:8" x14ac:dyDescent="0.2">
      <c r="A765" t="s">
        <v>1798</v>
      </c>
      <c r="G765">
        <v>0</v>
      </c>
      <c r="H765" s="4">
        <v>10</v>
      </c>
    </row>
    <row r="766" spans="1:8" x14ac:dyDescent="0.2">
      <c r="A766" t="s">
        <v>1799</v>
      </c>
      <c r="B766" s="1" t="str">
        <f>HYPERLINK("http://www.chemspider.com/Chemical-Structure.28536129.html","28536129")</f>
        <v>28536129</v>
      </c>
      <c r="C766" s="1" t="str">
        <f>HYPERLINK("https://www.ebi.ac.uk/chembl/compound/inspect/CHEMBL2364628","CHEMBL2364628")</f>
        <v>CHEMBL2364628</v>
      </c>
      <c r="D766" t="s">
        <v>1</v>
      </c>
      <c r="E766" t="s">
        <v>1800</v>
      </c>
      <c r="F766" t="s">
        <v>1801</v>
      </c>
      <c r="G766">
        <v>0</v>
      </c>
      <c r="H766" s="4">
        <v>50</v>
      </c>
    </row>
    <row r="767" spans="1:8" x14ac:dyDescent="0.2">
      <c r="A767" t="s">
        <v>1802</v>
      </c>
      <c r="B767" s="1" t="str">
        <f>HYPERLINK("http://www.chemspider.com/Chemical-Structure.3490.html","3490")</f>
        <v>3490</v>
      </c>
      <c r="C767" s="1" t="str">
        <f>HYPERLINK("https://www.ebi.ac.uk/chembl/compound/inspect/CHEMBL291481","CHEMBL291481")</f>
        <v>CHEMBL291481</v>
      </c>
      <c r="D767" t="s">
        <v>1</v>
      </c>
      <c r="E767" t="s">
        <v>1803</v>
      </c>
      <c r="F767" t="s">
        <v>1804</v>
      </c>
      <c r="G767">
        <v>0</v>
      </c>
      <c r="H767" s="4">
        <v>10</v>
      </c>
    </row>
    <row r="768" spans="1:8" x14ac:dyDescent="0.2">
      <c r="A768" t="s">
        <v>1805</v>
      </c>
      <c r="B768" s="1" t="str">
        <f>HYPERLINK("http://www.chemspider.com/Chemical-Structure.334901.html","334901")</f>
        <v>334901</v>
      </c>
      <c r="C768" s="1" t="str">
        <f>HYPERLINK("https://www.ebi.ac.uk/chembl/compound/inspect/CHEMBL1981780","CHEMBL1981780")</f>
        <v>CHEMBL1981780</v>
      </c>
      <c r="D768" t="s">
        <v>1</v>
      </c>
      <c r="F768" t="s">
        <v>1806</v>
      </c>
      <c r="G768">
        <v>0</v>
      </c>
      <c r="H768" s="4">
        <v>10</v>
      </c>
    </row>
    <row r="769" spans="1:8" x14ac:dyDescent="0.2">
      <c r="A769" t="s">
        <v>1807</v>
      </c>
      <c r="B769" s="1" t="str">
        <f>HYPERLINK("http://www.chemspider.com/Chemical-Structure.9857786.html","9857786")</f>
        <v>9857786</v>
      </c>
      <c r="G769">
        <v>0</v>
      </c>
      <c r="H769" s="4">
        <v>10</v>
      </c>
    </row>
    <row r="770" spans="1:8" x14ac:dyDescent="0.2">
      <c r="A770" t="s">
        <v>1808</v>
      </c>
      <c r="B770" s="1" t="str">
        <f>HYPERLINK("http://www.chemspider.com/Chemical-Structure.159472.html","159472")</f>
        <v>159472</v>
      </c>
      <c r="G770">
        <v>0</v>
      </c>
      <c r="H770" s="4">
        <v>20</v>
      </c>
    </row>
    <row r="771" spans="1:8" x14ac:dyDescent="0.2">
      <c r="A771" t="s">
        <v>1809</v>
      </c>
      <c r="B771" s="1" t="str">
        <f>HYPERLINK("http://www.chemspider.com/Chemical-Structure.4744.html","4744")</f>
        <v>4744</v>
      </c>
      <c r="C771" s="1" t="str">
        <f>HYPERLINK("https://www.ebi.ac.uk/chembl/compound/inspect/CHEMBL640","CHEMBL640")</f>
        <v>CHEMBL640</v>
      </c>
      <c r="D771" t="s">
        <v>9</v>
      </c>
      <c r="E771" t="s">
        <v>1810</v>
      </c>
      <c r="F771" t="s">
        <v>1811</v>
      </c>
      <c r="G771">
        <v>12</v>
      </c>
      <c r="H771" s="4">
        <v>10</v>
      </c>
    </row>
    <row r="772" spans="1:8" x14ac:dyDescent="0.2">
      <c r="A772" t="s">
        <v>1812</v>
      </c>
      <c r="G772">
        <v>0</v>
      </c>
      <c r="H772" s="4">
        <v>10</v>
      </c>
    </row>
    <row r="773" spans="1:8" x14ac:dyDescent="0.2">
      <c r="A773" t="s">
        <v>1813</v>
      </c>
      <c r="G773">
        <v>0</v>
      </c>
      <c r="H773" s="4">
        <v>10</v>
      </c>
    </row>
    <row r="774" spans="1:8" x14ac:dyDescent="0.2">
      <c r="A774" t="s">
        <v>1814</v>
      </c>
      <c r="G774">
        <v>0</v>
      </c>
      <c r="H774" s="4">
        <v>10</v>
      </c>
    </row>
    <row r="775" spans="1:8" x14ac:dyDescent="0.2">
      <c r="A775" t="s">
        <v>1815</v>
      </c>
      <c r="G775">
        <v>0</v>
      </c>
      <c r="H775" s="4">
        <v>10</v>
      </c>
    </row>
    <row r="776" spans="1:8" x14ac:dyDescent="0.2">
      <c r="A776" t="s">
        <v>1816</v>
      </c>
      <c r="G776">
        <v>0</v>
      </c>
      <c r="H776" s="4">
        <v>10</v>
      </c>
    </row>
    <row r="777" spans="1:8" x14ac:dyDescent="0.2">
      <c r="A777" t="s">
        <v>1817</v>
      </c>
      <c r="G777">
        <v>0</v>
      </c>
      <c r="H777" s="4">
        <v>10</v>
      </c>
    </row>
    <row r="778" spans="1:8" x14ac:dyDescent="0.2">
      <c r="A778" t="s">
        <v>1818</v>
      </c>
      <c r="G778">
        <v>0</v>
      </c>
      <c r="H778" s="4">
        <v>10</v>
      </c>
    </row>
    <row r="779" spans="1:8" x14ac:dyDescent="0.2">
      <c r="A779" t="s">
        <v>1819</v>
      </c>
      <c r="G779">
        <v>0</v>
      </c>
      <c r="H779" s="4">
        <v>10</v>
      </c>
    </row>
    <row r="780" spans="1:8" x14ac:dyDescent="0.2">
      <c r="A780" t="s">
        <v>1820</v>
      </c>
      <c r="G780">
        <v>0</v>
      </c>
      <c r="H780" s="4">
        <v>10</v>
      </c>
    </row>
    <row r="781" spans="1:8" x14ac:dyDescent="0.2">
      <c r="A781" t="s">
        <v>1821</v>
      </c>
      <c r="G781">
        <v>0</v>
      </c>
      <c r="H781" s="4">
        <v>10</v>
      </c>
    </row>
    <row r="782" spans="1:8" x14ac:dyDescent="0.2">
      <c r="A782" t="s">
        <v>1822</v>
      </c>
      <c r="G782">
        <v>0</v>
      </c>
      <c r="H782" s="4">
        <v>10</v>
      </c>
    </row>
    <row r="783" spans="1:8" x14ac:dyDescent="0.2">
      <c r="A783" t="s">
        <v>1823</v>
      </c>
      <c r="B783" s="1" t="str">
        <f>HYPERLINK("http://www.chemspider.com/Chemical-Structure.3635.html","3635")</f>
        <v>3635</v>
      </c>
      <c r="C783" s="1" t="str">
        <f>HYPERLINK("https://www.ebi.ac.uk/chembl/compound/inspect/CHEMBL64","CHEMBL64")</f>
        <v>CHEMBL64</v>
      </c>
      <c r="D783" t="s">
        <v>9</v>
      </c>
      <c r="E783" t="s">
        <v>1824</v>
      </c>
      <c r="F783" t="s">
        <v>1825</v>
      </c>
      <c r="G783">
        <v>201</v>
      </c>
      <c r="H783" s="4">
        <v>10</v>
      </c>
    </row>
    <row r="784" spans="1:8" x14ac:dyDescent="0.2">
      <c r="A784" t="s">
        <v>1826</v>
      </c>
      <c r="B784" s="1" t="str">
        <f>HYPERLINK("http://www.chemspider.com/Chemical-Structure.4317.html","4317")</f>
        <v>4317</v>
      </c>
      <c r="C784" s="1" t="str">
        <f>HYPERLINK("https://www.ebi.ac.uk/chembl/compound/inspect/CHEMBL1256841","CHEMBL1256841")</f>
        <v>CHEMBL1256841</v>
      </c>
      <c r="D784" t="s">
        <v>1</v>
      </c>
      <c r="E784" t="s">
        <v>1827</v>
      </c>
      <c r="F784" t="s">
        <v>1828</v>
      </c>
      <c r="G784">
        <v>0</v>
      </c>
      <c r="H784" s="4">
        <v>10</v>
      </c>
    </row>
    <row r="785" spans="1:8" x14ac:dyDescent="0.2">
      <c r="A785" t="s">
        <v>1829</v>
      </c>
      <c r="B785" s="1" t="str">
        <f>HYPERLINK("http://www.chemspider.com/Chemical-Structure.1913.html","1913")</f>
        <v>1913</v>
      </c>
      <c r="C785" s="1" t="str">
        <f>HYPERLINK("https://www.ebi.ac.uk/chembl/compound/inspect/CHEMBL734","CHEMBL734")</f>
        <v>CHEMBL734</v>
      </c>
      <c r="D785" t="s">
        <v>9</v>
      </c>
      <c r="E785" t="s">
        <v>1830</v>
      </c>
      <c r="F785" t="s">
        <v>1831</v>
      </c>
      <c r="G785">
        <v>7734</v>
      </c>
      <c r="H785" s="4">
        <v>10</v>
      </c>
    </row>
    <row r="786" spans="1:8" x14ac:dyDescent="0.2">
      <c r="A786" t="s">
        <v>1832</v>
      </c>
      <c r="B786" s="1" t="str">
        <f>HYPERLINK("http://www.chemspider.com/Chemical-Structure.5294028.html","5294028")</f>
        <v>5294028</v>
      </c>
      <c r="C786" s="1" t="str">
        <f>HYPERLINK("https://www.ebi.ac.uk/chembl/compound/inspect/CHEMBL483254","CHEMBL483254")</f>
        <v>CHEMBL483254</v>
      </c>
      <c r="D786" t="s">
        <v>1</v>
      </c>
      <c r="E786" t="s">
        <v>1833</v>
      </c>
      <c r="F786" t="s">
        <v>1834</v>
      </c>
      <c r="G786">
        <v>233</v>
      </c>
      <c r="H786" s="4">
        <v>50</v>
      </c>
    </row>
    <row r="787" spans="1:8" x14ac:dyDescent="0.2">
      <c r="A787" t="s">
        <v>1835</v>
      </c>
      <c r="B787" s="1" t="str">
        <f>HYPERLINK("http://www.chemspider.com/Chemical-Structure.3530.html","3530")</f>
        <v>3530</v>
      </c>
      <c r="C787" s="1" t="str">
        <f>HYPERLINK("https://www.ebi.ac.uk/chembl/compound/inspect/CHEMBL467","CHEMBL467")</f>
        <v>CHEMBL467</v>
      </c>
      <c r="D787" t="s">
        <v>9</v>
      </c>
      <c r="E787" t="s">
        <v>1836</v>
      </c>
      <c r="F787" t="s">
        <v>1837</v>
      </c>
      <c r="G787">
        <v>282</v>
      </c>
      <c r="H787" s="4">
        <v>10</v>
      </c>
    </row>
    <row r="788" spans="1:8" x14ac:dyDescent="0.2">
      <c r="A788" t="s">
        <v>1838</v>
      </c>
      <c r="B788" s="1" t="str">
        <f>HYPERLINK("http://www.chemspider.com/Chemical-Structure.25027185.html","25027185")</f>
        <v>25027185</v>
      </c>
      <c r="C788" s="1" t="str">
        <f>HYPERLINK("https://www.ebi.ac.uk/chembl/compound/inspect/CHEMBL1851943","CHEMBL1851943")</f>
        <v>CHEMBL1851943</v>
      </c>
      <c r="D788" t="s">
        <v>1</v>
      </c>
      <c r="G788">
        <v>0</v>
      </c>
      <c r="H788" s="4">
        <v>50</v>
      </c>
    </row>
    <row r="789" spans="1:8" x14ac:dyDescent="0.2">
      <c r="A789" t="s">
        <v>1839</v>
      </c>
      <c r="B789" s="1" t="str">
        <f>HYPERLINK("http://www.chemspider.com/Chemical-Structure.5294039.html","5294039")</f>
        <v>5294039</v>
      </c>
      <c r="C789" s="1" t="str">
        <f>HYPERLINK("https://www.ebi.ac.uk/chembl/compound/inspect/CHEMBL191482","CHEMBL191482")</f>
        <v>CHEMBL191482</v>
      </c>
      <c r="D789" t="s">
        <v>1</v>
      </c>
      <c r="G789">
        <v>0</v>
      </c>
      <c r="H789" s="4">
        <v>50</v>
      </c>
    </row>
    <row r="790" spans="1:8" x14ac:dyDescent="0.2">
      <c r="A790" t="s">
        <v>1840</v>
      </c>
      <c r="B790" s="1" t="str">
        <f>HYPERLINK("http://www.chemspider.com/Chemical-Structure.28295021.html","28295021")</f>
        <v>28295021</v>
      </c>
      <c r="C790" s="1" t="str">
        <f>HYPERLINK("https://www.ebi.ac.uk/chembl/compound/inspect/CHEMBL2018302","CHEMBL2018302")</f>
        <v>CHEMBL2018302</v>
      </c>
      <c r="D790" t="s">
        <v>1</v>
      </c>
      <c r="E790" t="s">
        <v>1841</v>
      </c>
      <c r="F790" t="s">
        <v>1842</v>
      </c>
      <c r="G790">
        <v>114945</v>
      </c>
      <c r="H790" s="4">
        <v>10</v>
      </c>
    </row>
    <row r="791" spans="1:8" x14ac:dyDescent="0.2">
      <c r="A791" t="s">
        <v>1843</v>
      </c>
      <c r="B791" s="1" t="str">
        <f>HYPERLINK("http://www.chemspider.com/Chemical-Structure.9713236.html","9713236")</f>
        <v>9713236</v>
      </c>
      <c r="C791" s="1" t="str">
        <f>HYPERLINK("https://www.ebi.ac.uk/chembl/compound/inspect/CHEMBL2105763","CHEMBL2105763")</f>
        <v>CHEMBL2105763</v>
      </c>
      <c r="D791" t="s">
        <v>1</v>
      </c>
      <c r="E791" t="s">
        <v>1844</v>
      </c>
      <c r="F791" t="s">
        <v>1845</v>
      </c>
      <c r="G791">
        <v>0</v>
      </c>
      <c r="H791" s="4">
        <v>50</v>
      </c>
    </row>
    <row r="792" spans="1:8" x14ac:dyDescent="0.2">
      <c r="A792" t="s">
        <v>1846</v>
      </c>
      <c r="B792" s="1" t="str">
        <f>HYPERLINK("http://www.chemspider.com/Chemical-Structure.390016.html","390016")</f>
        <v>390016</v>
      </c>
      <c r="C792" s="1" t="str">
        <f>HYPERLINK("https://www.ebi.ac.uk/chembl/compound/inspect/CHEMBL114","CHEMBL114")</f>
        <v>CHEMBL114</v>
      </c>
      <c r="D792" t="s">
        <v>9</v>
      </c>
      <c r="E792" t="s">
        <v>1847</v>
      </c>
      <c r="F792" t="s">
        <v>1848</v>
      </c>
      <c r="G792">
        <v>152</v>
      </c>
      <c r="H792" s="4">
        <v>10</v>
      </c>
    </row>
    <row r="793" spans="1:8" x14ac:dyDescent="0.2">
      <c r="A793" t="s">
        <v>1849</v>
      </c>
      <c r="B793" s="1" t="str">
        <f>HYPERLINK("http://www.chemspider.com/Chemical-Structure.35632.html","35632")</f>
        <v>35632</v>
      </c>
      <c r="C793" s="1" t="str">
        <f>HYPERLINK("https://www.ebi.ac.uk/chembl/compound/inspect/CHEMBL1762","CHEMBL1762")</f>
        <v>CHEMBL1762</v>
      </c>
      <c r="D793" t="s">
        <v>9</v>
      </c>
      <c r="E793" t="s">
        <v>1850</v>
      </c>
      <c r="F793" t="s">
        <v>1851</v>
      </c>
      <c r="G793">
        <v>0</v>
      </c>
      <c r="H793" s="4">
        <v>10</v>
      </c>
    </row>
    <row r="794" spans="1:8" x14ac:dyDescent="0.2">
      <c r="A794" t="s">
        <v>1852</v>
      </c>
      <c r="B794" s="1" t="str">
        <f>HYPERLINK("http://www.chemspider.com/Chemical-Structure.3922.html","3922")</f>
        <v>3922</v>
      </c>
      <c r="C794" s="1" t="str">
        <f>HYPERLINK("https://www.ebi.ac.uk/chembl/compound/inspect/CHEMBL1087","CHEMBL1087")</f>
        <v>CHEMBL1087</v>
      </c>
      <c r="D794" t="s">
        <v>9</v>
      </c>
      <c r="E794" t="s">
        <v>1853</v>
      </c>
      <c r="F794" t="s">
        <v>1854</v>
      </c>
      <c r="G794">
        <v>70</v>
      </c>
      <c r="H794" s="4">
        <v>10</v>
      </c>
    </row>
    <row r="795" spans="1:8" x14ac:dyDescent="0.2">
      <c r="A795" t="s">
        <v>1855</v>
      </c>
      <c r="B795" s="1" t="str">
        <f>HYPERLINK("http://www.chemspider.com/Chemical-Structure.3548.html","3548")</f>
        <v>3548</v>
      </c>
      <c r="C795" s="1" t="str">
        <f>HYPERLINK("https://www.ebi.ac.uk/chembl/compound/inspect/CHEMBL79","CHEMBL79")</f>
        <v>CHEMBL79</v>
      </c>
      <c r="D795" t="s">
        <v>9</v>
      </c>
      <c r="E795" t="s">
        <v>1856</v>
      </c>
      <c r="F795" t="s">
        <v>1857</v>
      </c>
      <c r="G795">
        <v>1585</v>
      </c>
      <c r="H795" s="4">
        <v>9.6</v>
      </c>
    </row>
    <row r="796" spans="1:8" x14ac:dyDescent="0.2">
      <c r="A796" t="s">
        <v>1858</v>
      </c>
      <c r="B796" s="1" t="str">
        <f>HYPERLINK("http://www.chemspider.com/Chemical-Structure.153165.html","153165")</f>
        <v>153165</v>
      </c>
      <c r="C796" s="1" t="str">
        <f>HYPERLINK("https://www.ebi.ac.uk/chembl/compound/inspect/CHEMBL1077896","CHEMBL1077896")</f>
        <v>CHEMBL1077896</v>
      </c>
      <c r="D796" t="s">
        <v>9</v>
      </c>
      <c r="E796" t="s">
        <v>1859</v>
      </c>
      <c r="F796" t="s">
        <v>1860</v>
      </c>
      <c r="G796">
        <v>809</v>
      </c>
      <c r="H796" s="4">
        <v>9.9</v>
      </c>
    </row>
    <row r="797" spans="1:8" x14ac:dyDescent="0.2">
      <c r="A797" t="s">
        <v>1861</v>
      </c>
      <c r="B797" s="1" t="str">
        <f>HYPERLINK("http://www.chemspider.com/Chemical-Structure.293006.html","293006")</f>
        <v>293006</v>
      </c>
      <c r="G797">
        <v>0</v>
      </c>
      <c r="H797" s="4">
        <v>10</v>
      </c>
    </row>
    <row r="798" spans="1:8" x14ac:dyDescent="0.2">
      <c r="A798" t="s">
        <v>1862</v>
      </c>
      <c r="B798" s="1" t="str">
        <f>HYPERLINK("http://www.chemspider.com/Chemical-Structure.5101.html","5101")</f>
        <v>5101</v>
      </c>
      <c r="C798" s="1" t="str">
        <f>HYPERLINK("https://www.ebi.ac.uk/chembl/compound/inspect/CHEMBL941","CHEMBL941")</f>
        <v>CHEMBL941</v>
      </c>
      <c r="D798" t="s">
        <v>9</v>
      </c>
      <c r="E798" t="s">
        <v>1863</v>
      </c>
      <c r="F798" t="s">
        <v>1864</v>
      </c>
      <c r="G798">
        <v>1100</v>
      </c>
      <c r="H798" s="4">
        <v>10</v>
      </c>
    </row>
    <row r="799" spans="1:8" x14ac:dyDescent="0.2">
      <c r="A799" t="s">
        <v>1865</v>
      </c>
      <c r="B799" s="1" t="str">
        <f>HYPERLINK("http://www.chemspider.com/Chemical-Structure.247343.html","247343")</f>
        <v>247343</v>
      </c>
      <c r="C799" s="1" t="str">
        <f>HYPERLINK("https://www.ebi.ac.uk/chembl/compound/inspect/CHEMBL1906845","CHEMBL1906845")</f>
        <v>CHEMBL1906845</v>
      </c>
      <c r="D799" t="s">
        <v>1</v>
      </c>
      <c r="G799">
        <v>0</v>
      </c>
      <c r="H799" s="4">
        <v>10</v>
      </c>
    </row>
    <row r="800" spans="1:8" x14ac:dyDescent="0.2">
      <c r="A800" t="s">
        <v>1866</v>
      </c>
      <c r="B800" s="1" t="str">
        <f>HYPERLINK("http://www.chemspider.com/Chemical-Structure.366270.html","366270")</f>
        <v>366270</v>
      </c>
      <c r="G800">
        <v>0</v>
      </c>
      <c r="H800" s="4">
        <v>10</v>
      </c>
    </row>
    <row r="801" spans="1:8" x14ac:dyDescent="0.2">
      <c r="A801" t="s">
        <v>1867</v>
      </c>
      <c r="B801" s="1" t="str">
        <f>HYPERLINK("http://www.chemspider.com/Chemical-Structure.4306.html","4306")</f>
        <v>4306</v>
      </c>
      <c r="C801" s="1" t="str">
        <f>HYPERLINK("https://www.ebi.ac.uk/chembl/compound/inspect/CHEMBL307767","CHEMBL307767")</f>
        <v>CHEMBL307767</v>
      </c>
      <c r="D801" t="s">
        <v>1</v>
      </c>
      <c r="E801" t="s">
        <v>1868</v>
      </c>
      <c r="F801" t="s">
        <v>1869</v>
      </c>
      <c r="G801">
        <v>0</v>
      </c>
      <c r="H801" s="4">
        <v>10</v>
      </c>
    </row>
    <row r="802" spans="1:8" x14ac:dyDescent="0.2">
      <c r="A802" t="s">
        <v>1870</v>
      </c>
      <c r="B802" s="1" t="str">
        <f>HYPERLINK("http://www.chemspider.com/Chemical-Structure.369282.html","369282")</f>
        <v>369282</v>
      </c>
      <c r="G802">
        <v>0</v>
      </c>
      <c r="H802" s="4">
        <v>10</v>
      </c>
    </row>
    <row r="803" spans="1:8" x14ac:dyDescent="0.2">
      <c r="A803" t="s">
        <v>1871</v>
      </c>
      <c r="B803" s="1" t="str">
        <f>HYPERLINK("http://www.chemspider.com/Chemical-Structure.368365.html","368365")</f>
        <v>368365</v>
      </c>
      <c r="G803">
        <v>0</v>
      </c>
      <c r="H803" s="4">
        <v>10</v>
      </c>
    </row>
    <row r="804" spans="1:8" x14ac:dyDescent="0.2">
      <c r="A804" t="s">
        <v>1872</v>
      </c>
      <c r="B804" s="1" t="str">
        <f>HYPERLINK("http://www.chemspider.com/Chemical-Structure.5120.html","5120")</f>
        <v>5120</v>
      </c>
      <c r="C804" s="1" t="str">
        <f>HYPERLINK("https://www.ebi.ac.uk/chembl/compound/inspect/CHEMBL98","CHEMBL98")</f>
        <v>CHEMBL98</v>
      </c>
      <c r="D804" t="s">
        <v>9</v>
      </c>
      <c r="E804" t="s">
        <v>1873</v>
      </c>
      <c r="F804" t="s">
        <v>1874</v>
      </c>
      <c r="G804">
        <v>815</v>
      </c>
      <c r="H804" s="4">
        <v>10</v>
      </c>
    </row>
    <row r="805" spans="1:8" x14ac:dyDescent="0.2">
      <c r="A805" t="s">
        <v>1875</v>
      </c>
      <c r="B805" s="1" t="str">
        <f>HYPERLINK("http://www.chemspider.com/Chemical-Structure.7314.html","7314")</f>
        <v>7314</v>
      </c>
      <c r="C805" s="1" t="str">
        <f>HYPERLINK("https://www.ebi.ac.uk/chembl/compound/inspect/CHEMBL354676","CHEMBL354676")</f>
        <v>CHEMBL354676</v>
      </c>
      <c r="D805" t="s">
        <v>1</v>
      </c>
      <c r="F805" t="s">
        <v>1876</v>
      </c>
      <c r="G805">
        <v>0</v>
      </c>
      <c r="H805" s="4">
        <v>10</v>
      </c>
    </row>
    <row r="806" spans="1:8" x14ac:dyDescent="0.2">
      <c r="A806" t="s">
        <v>1877</v>
      </c>
      <c r="B806" s="1" t="str">
        <f>HYPERLINK("http://www.chemspider.com/Chemical-Structure.4737.html","4737")</f>
        <v>4737</v>
      </c>
      <c r="C806" s="1" t="str">
        <f>HYPERLINK("https://www.ebi.ac.uk/chembl/compound/inspect/CHEMBL1194","CHEMBL1194")</f>
        <v>CHEMBL1194</v>
      </c>
      <c r="D806" t="s">
        <v>9</v>
      </c>
      <c r="E806" t="s">
        <v>1878</v>
      </c>
      <c r="F806" t="s">
        <v>1879</v>
      </c>
      <c r="G806">
        <v>83</v>
      </c>
      <c r="H806" s="4">
        <v>10</v>
      </c>
    </row>
    <row r="807" spans="1:8" x14ac:dyDescent="0.2">
      <c r="A807" t="s">
        <v>1880</v>
      </c>
      <c r="B807" s="1" t="str">
        <f>HYPERLINK("http://www.chemspider.com/Chemical-Structure.2644.html","2644")</f>
        <v>2644</v>
      </c>
      <c r="C807" s="1" t="str">
        <f>HYPERLINK("https://www.ebi.ac.uk/chembl/compound/inspect/CHEMBL235191","CHEMBL235191")</f>
        <v>CHEMBL235191</v>
      </c>
      <c r="D807" t="s">
        <v>1</v>
      </c>
      <c r="E807" t="s">
        <v>1881</v>
      </c>
      <c r="F807" t="s">
        <v>1882</v>
      </c>
      <c r="G807">
        <v>3</v>
      </c>
      <c r="H807" s="4">
        <v>50</v>
      </c>
    </row>
    <row r="808" spans="1:8" x14ac:dyDescent="0.2">
      <c r="A808" t="s">
        <v>1883</v>
      </c>
      <c r="B808" s="1" t="str">
        <f>HYPERLINK("http://www.chemspider.com/Chemical-Structure.9922200.html","9922200")</f>
        <v>9922200</v>
      </c>
      <c r="C808" s="1" t="str">
        <f>HYPERLINK("https://www.ebi.ac.uk/chembl/compound/inspect/CHEMBL164872","CHEMBL164872")</f>
        <v>CHEMBL164872</v>
      </c>
      <c r="D808" t="s">
        <v>1</v>
      </c>
      <c r="F808" t="s">
        <v>1884</v>
      </c>
      <c r="G808">
        <v>0</v>
      </c>
      <c r="H808" s="4">
        <v>50</v>
      </c>
    </row>
    <row r="809" spans="1:8" x14ac:dyDescent="0.2">
      <c r="A809" t="s">
        <v>1885</v>
      </c>
      <c r="B809" s="1" t="str">
        <f>HYPERLINK("http://www.chemspider.com/Chemical-Structure.2478.html","2478")</f>
        <v>2478</v>
      </c>
      <c r="C809" s="1" t="str">
        <f>HYPERLINK("https://www.ebi.ac.uk/chembl/compound/inspect/CHEMBL1233","CHEMBL1233")</f>
        <v>CHEMBL1233</v>
      </c>
      <c r="D809" t="s">
        <v>9</v>
      </c>
      <c r="E809" t="s">
        <v>1074</v>
      </c>
      <c r="F809" t="s">
        <v>1075</v>
      </c>
      <c r="G809">
        <v>12</v>
      </c>
      <c r="H809" s="4">
        <v>10</v>
      </c>
    </row>
    <row r="810" spans="1:8" x14ac:dyDescent="0.2">
      <c r="A810" t="s">
        <v>1886</v>
      </c>
      <c r="B810" s="1" t="str">
        <f>HYPERLINK("http://www.chemspider.com/Chemical-Structure.21467426.html","21467426")</f>
        <v>21467426</v>
      </c>
      <c r="G810">
        <v>0</v>
      </c>
      <c r="H810" s="4">
        <v>0.97222222199999997</v>
      </c>
    </row>
    <row r="811" spans="1:8" x14ac:dyDescent="0.2">
      <c r="A811" t="s">
        <v>1887</v>
      </c>
      <c r="B811" s="1" t="str">
        <f>HYPERLINK("http://www.chemspider.com/Chemical-Structure.10455.html","10455")</f>
        <v>10455</v>
      </c>
      <c r="C811" s="1" t="str">
        <f>HYPERLINK("https://www.ebi.ac.uk/chembl/compound/inspect/CHEMBL1149","CHEMBL1149")</f>
        <v>CHEMBL1149</v>
      </c>
      <c r="D811" t="s">
        <v>9</v>
      </c>
      <c r="E811" t="s">
        <v>1888</v>
      </c>
      <c r="F811" t="s">
        <v>1889</v>
      </c>
      <c r="G811">
        <v>29</v>
      </c>
      <c r="H811" s="4">
        <v>10</v>
      </c>
    </row>
    <row r="812" spans="1:8" x14ac:dyDescent="0.2">
      <c r="A812" t="s">
        <v>1890</v>
      </c>
      <c r="B812" s="1" t="str">
        <f>HYPERLINK("http://www.chemspider.com/Chemical-Structure.10362068.html","10362068")</f>
        <v>10362068</v>
      </c>
      <c r="G812">
        <v>0</v>
      </c>
      <c r="H812" s="4">
        <v>20</v>
      </c>
    </row>
    <row r="813" spans="1:8" x14ac:dyDescent="0.2">
      <c r="A813" t="s">
        <v>1891</v>
      </c>
      <c r="G813">
        <v>0</v>
      </c>
      <c r="H813" s="4">
        <v>20</v>
      </c>
    </row>
    <row r="814" spans="1:8" x14ac:dyDescent="0.2">
      <c r="A814" t="s">
        <v>1892</v>
      </c>
      <c r="B814" s="1" t="str">
        <f>HYPERLINK("http://www.chemspider.com/Chemical-Structure.4514277.html","4514277")</f>
        <v>4514277</v>
      </c>
      <c r="C814" s="1" t="str">
        <f>HYPERLINK("https://www.ebi.ac.uk/chembl/compound/inspect/CHEMBL259664","CHEMBL259664")</f>
        <v>CHEMBL259664</v>
      </c>
      <c r="D814" t="s">
        <v>1</v>
      </c>
      <c r="E814" t="s">
        <v>1893</v>
      </c>
      <c r="F814" t="s">
        <v>1894</v>
      </c>
      <c r="G814">
        <v>13</v>
      </c>
      <c r="H814" s="4">
        <v>10</v>
      </c>
    </row>
    <row r="815" spans="1:8" x14ac:dyDescent="0.2">
      <c r="A815" t="s">
        <v>1895</v>
      </c>
      <c r="B815" s="1" t="str">
        <f>HYPERLINK("http://www.chemspider.com/Chemical-Structure.58568.html","58568")</f>
        <v>58568</v>
      </c>
      <c r="C815" s="1" t="str">
        <f>HYPERLINK("https://www.ebi.ac.uk/chembl/compound/inspect/CHEMBL1373467","CHEMBL1373467")</f>
        <v>CHEMBL1373467</v>
      </c>
      <c r="D815" t="s">
        <v>1</v>
      </c>
      <c r="F815" t="s">
        <v>1896</v>
      </c>
      <c r="G815">
        <v>0</v>
      </c>
      <c r="H815" s="4" t="s">
        <v>3369</v>
      </c>
    </row>
    <row r="816" spans="1:8" x14ac:dyDescent="0.2">
      <c r="A816" t="s">
        <v>1897</v>
      </c>
      <c r="B816" s="1" t="str">
        <f>HYPERLINK("http://www.chemspider.com/Chemical-Structure.487268.html","487268")</f>
        <v>487268</v>
      </c>
      <c r="G816">
        <v>0</v>
      </c>
      <c r="H816" s="4">
        <v>20</v>
      </c>
    </row>
    <row r="817" spans="1:8" x14ac:dyDescent="0.2">
      <c r="A817" t="s">
        <v>1898</v>
      </c>
      <c r="B817" s="1" t="str">
        <f>HYPERLINK("http://www.chemspider.com/Chemical-Structure.4827800.html","4827800")</f>
        <v>4827800</v>
      </c>
      <c r="G817">
        <v>0</v>
      </c>
      <c r="H817" s="4">
        <v>20</v>
      </c>
    </row>
    <row r="818" spans="1:8" x14ac:dyDescent="0.2">
      <c r="A818" t="s">
        <v>1899</v>
      </c>
      <c r="B818" s="1" t="str">
        <f>HYPERLINK("http://www.chemspider.com/Chemical-Structure.9861.html","9861")</f>
        <v>9861</v>
      </c>
      <c r="C818" s="1" t="str">
        <f>HYPERLINK("https://www.ebi.ac.uk/chembl/compound/inspect/CHEMBL1672002","CHEMBL1672002")</f>
        <v>CHEMBL1672002</v>
      </c>
      <c r="D818" t="s">
        <v>1</v>
      </c>
      <c r="E818" t="s">
        <v>1900</v>
      </c>
      <c r="F818" t="s">
        <v>1901</v>
      </c>
      <c r="G818">
        <v>0</v>
      </c>
      <c r="H818" s="4">
        <v>10</v>
      </c>
    </row>
    <row r="819" spans="1:8" x14ac:dyDescent="0.2">
      <c r="A819" t="s">
        <v>1902</v>
      </c>
      <c r="G819">
        <v>0</v>
      </c>
      <c r="H819" s="4">
        <v>20</v>
      </c>
    </row>
    <row r="820" spans="1:8" x14ac:dyDescent="0.2">
      <c r="A820" t="s">
        <v>1903</v>
      </c>
      <c r="B820" s="1" t="str">
        <f>HYPERLINK("http://www.chemspider.com/Chemical-Structure.5656.html","5656")</f>
        <v>5656</v>
      </c>
      <c r="C820" s="1" t="str">
        <f>HYPERLINK("https://www.ebi.ac.uk/chembl/compound/inspect/CHEMBL635","CHEMBL635")</f>
        <v>CHEMBL635</v>
      </c>
      <c r="D820" t="s">
        <v>9</v>
      </c>
      <c r="E820" t="s">
        <v>1904</v>
      </c>
      <c r="F820" t="s">
        <v>1905</v>
      </c>
      <c r="G820">
        <v>2332</v>
      </c>
      <c r="H820" s="4">
        <v>10</v>
      </c>
    </row>
    <row r="821" spans="1:8" x14ac:dyDescent="0.2">
      <c r="A821" t="s">
        <v>1906</v>
      </c>
      <c r="B821" s="1" t="str">
        <f>HYPERLINK("http://www.chemspider.com/Chemical-Structure.5552.html","5552")</f>
        <v>5552</v>
      </c>
      <c r="C821" s="1" t="str">
        <f>HYPERLINK("https://www.ebi.ac.uk/chembl/compound/inspect/CHEMBL131","CHEMBL131")</f>
        <v>CHEMBL131</v>
      </c>
      <c r="D821" t="s">
        <v>9</v>
      </c>
      <c r="E821" t="s">
        <v>1907</v>
      </c>
      <c r="F821" t="s">
        <v>1908</v>
      </c>
      <c r="G821">
        <v>3011</v>
      </c>
      <c r="H821" s="4">
        <v>10</v>
      </c>
    </row>
    <row r="822" spans="1:8" x14ac:dyDescent="0.2">
      <c r="A822" t="s">
        <v>1909</v>
      </c>
      <c r="B822" s="1" t="str">
        <f>HYPERLINK("http://www.chemspider.com/Chemical-Structure.5629.html","5629")</f>
        <v>5629</v>
      </c>
      <c r="C822" s="1" t="str">
        <f>HYPERLINK("https://www.ebi.ac.uk/chembl/compound/inspect/CHEMBL1152","CHEMBL1152")</f>
        <v>CHEMBL1152</v>
      </c>
      <c r="D822" t="s">
        <v>9</v>
      </c>
      <c r="E822" t="s">
        <v>1910</v>
      </c>
      <c r="F822" t="s">
        <v>1911</v>
      </c>
      <c r="G822">
        <v>7045</v>
      </c>
      <c r="H822" s="4">
        <v>10</v>
      </c>
    </row>
    <row r="823" spans="1:8" x14ac:dyDescent="0.2">
      <c r="A823" t="s">
        <v>1912</v>
      </c>
      <c r="B823" s="1" t="str">
        <f>HYPERLINK("http://www.chemspider.com/Chemical-Structure.571099.html","571099")</f>
        <v>571099</v>
      </c>
      <c r="C823" s="1" t="str">
        <f>HYPERLINK("https://www.ebi.ac.uk/chembl/compound/inspect/CHEMBL485659","CHEMBL485659")</f>
        <v>CHEMBL485659</v>
      </c>
      <c r="D823" t="s">
        <v>1</v>
      </c>
      <c r="E823" t="s">
        <v>1913</v>
      </c>
      <c r="F823" t="s">
        <v>1914</v>
      </c>
      <c r="G823">
        <v>3634</v>
      </c>
      <c r="H823" s="4">
        <v>10</v>
      </c>
    </row>
    <row r="824" spans="1:8" x14ac:dyDescent="0.2">
      <c r="A824" t="s">
        <v>1915</v>
      </c>
      <c r="B824" s="1" t="str">
        <f>HYPERLINK("http://www.chemspider.com/Chemical-Structure.6485.html","6485")</f>
        <v>6485</v>
      </c>
      <c r="C824" s="1" t="str">
        <f>HYPERLINK("https://www.ebi.ac.uk/chembl/compound/inspect/CHEMBL650","CHEMBL650")</f>
        <v>CHEMBL650</v>
      </c>
      <c r="D824" t="s">
        <v>9</v>
      </c>
      <c r="E824" t="s">
        <v>1916</v>
      </c>
      <c r="F824" t="s">
        <v>1917</v>
      </c>
      <c r="G824">
        <v>2355</v>
      </c>
      <c r="H824" s="4">
        <v>10</v>
      </c>
    </row>
    <row r="825" spans="1:8" x14ac:dyDescent="0.2">
      <c r="A825" t="s">
        <v>1918</v>
      </c>
      <c r="B825" s="1" t="str">
        <f>HYPERLINK("http://www.chemspider.com/Chemical-Structure.5666.html","5666")</f>
        <v>5666</v>
      </c>
      <c r="C825" s="1" t="str">
        <f>HYPERLINK("https://www.ebi.ac.uk/chembl/compound/inspect/CHEMBL1364144","CHEMBL1364144")</f>
        <v>CHEMBL1364144</v>
      </c>
      <c r="D825" t="s">
        <v>1</v>
      </c>
      <c r="F825" t="s">
        <v>1919</v>
      </c>
      <c r="G825">
        <v>0</v>
      </c>
      <c r="H825" s="4">
        <v>10</v>
      </c>
    </row>
    <row r="826" spans="1:8" x14ac:dyDescent="0.2">
      <c r="A826" t="s">
        <v>1920</v>
      </c>
      <c r="G826">
        <v>0</v>
      </c>
      <c r="H826" s="4">
        <v>20</v>
      </c>
    </row>
    <row r="827" spans="1:8" x14ac:dyDescent="0.2">
      <c r="A827" t="s">
        <v>1921</v>
      </c>
      <c r="G827">
        <v>0</v>
      </c>
      <c r="H827" s="4">
        <v>20</v>
      </c>
    </row>
    <row r="828" spans="1:8" x14ac:dyDescent="0.2">
      <c r="A828" t="s">
        <v>1922</v>
      </c>
      <c r="G828">
        <v>0</v>
      </c>
      <c r="H828" s="4">
        <v>20</v>
      </c>
    </row>
    <row r="829" spans="1:8" x14ac:dyDescent="0.2">
      <c r="A829" t="s">
        <v>1923</v>
      </c>
      <c r="B829" s="1" t="str">
        <f>HYPERLINK("http://www.chemspider.com/Chemical-Structure.115762.html","115762")</f>
        <v>115762</v>
      </c>
      <c r="C829" s="1" t="str">
        <f>HYPERLINK("https://www.ebi.ac.uk/chembl/compound/inspect/CHEMBL260538","CHEMBL260538")</f>
        <v>CHEMBL260538</v>
      </c>
      <c r="D829" t="s">
        <v>9</v>
      </c>
      <c r="E829" t="s">
        <v>1924</v>
      </c>
      <c r="F829" t="s">
        <v>1925</v>
      </c>
      <c r="G829">
        <v>4707</v>
      </c>
      <c r="H829" s="4">
        <v>9.9990866169999997</v>
      </c>
    </row>
    <row r="830" spans="1:8" x14ac:dyDescent="0.2">
      <c r="A830" t="s">
        <v>1926</v>
      </c>
      <c r="B830" s="1" t="str">
        <f>HYPERLINK("http://www.chemspider.com/Chemical-Structure.3828.html","3828")</f>
        <v>3828</v>
      </c>
      <c r="C830" s="1" t="str">
        <f>HYPERLINK("https://www.ebi.ac.uk/chembl/compound/inspect/CHEMBL19299","CHEMBL19299")</f>
        <v>CHEMBL19299</v>
      </c>
      <c r="D830" t="s">
        <v>1</v>
      </c>
      <c r="E830" t="s">
        <v>1927</v>
      </c>
      <c r="F830" t="s">
        <v>1928</v>
      </c>
      <c r="G830">
        <v>22</v>
      </c>
      <c r="H830" s="4">
        <v>10</v>
      </c>
    </row>
    <row r="831" spans="1:8" x14ac:dyDescent="0.2">
      <c r="A831" t="s">
        <v>1929</v>
      </c>
      <c r="B831" s="1" t="str">
        <f>HYPERLINK("http://www.chemspider.com/Chemical-Structure.5994.html","5994")</f>
        <v>5994</v>
      </c>
      <c r="C831" s="1" t="str">
        <f>HYPERLINK("https://www.ebi.ac.uk/chembl/compound/inspect/CHEMBL1162","CHEMBL1162")</f>
        <v>CHEMBL1162</v>
      </c>
      <c r="D831" t="s">
        <v>9</v>
      </c>
      <c r="E831" t="s">
        <v>1930</v>
      </c>
      <c r="F831" t="s">
        <v>1931</v>
      </c>
      <c r="G831">
        <v>163</v>
      </c>
      <c r="H831" s="4">
        <v>10</v>
      </c>
    </row>
    <row r="832" spans="1:8" x14ac:dyDescent="0.2">
      <c r="A832" t="s">
        <v>1932</v>
      </c>
      <c r="B832" s="1" t="str">
        <f>HYPERLINK("http://www.chemspider.com/Chemical-Structure.12560.html","12560")</f>
        <v>12560</v>
      </c>
      <c r="C832" s="1" t="str">
        <f>HYPERLINK("https://www.ebi.ac.uk/chembl/compound/inspect/CHEMBL1389","CHEMBL1389")</f>
        <v>CHEMBL1389</v>
      </c>
      <c r="D832" t="s">
        <v>9</v>
      </c>
      <c r="E832" t="s">
        <v>1933</v>
      </c>
      <c r="F832" t="s">
        <v>1934</v>
      </c>
      <c r="G832">
        <v>401</v>
      </c>
      <c r="H832" s="4">
        <v>9.9997620640000004</v>
      </c>
    </row>
    <row r="833" spans="1:8" x14ac:dyDescent="0.2">
      <c r="A833" t="s">
        <v>1935</v>
      </c>
      <c r="B833" s="1" t="str">
        <f>HYPERLINK("http://www.chemspider.com/Chemical-Structure.5627.html","5627")</f>
        <v>5627</v>
      </c>
      <c r="C833" s="1" t="str">
        <f>HYPERLINK("https://www.ebi.ac.uk/chembl/compound/inspect/CHEMBL1201146","CHEMBL1201146")</f>
        <v>CHEMBL1201146</v>
      </c>
      <c r="D833" t="s">
        <v>9</v>
      </c>
      <c r="E833" t="s">
        <v>1936</v>
      </c>
      <c r="F833" t="s">
        <v>1937</v>
      </c>
      <c r="G833">
        <v>4795</v>
      </c>
      <c r="H833" s="4">
        <v>10</v>
      </c>
    </row>
    <row r="834" spans="1:8" x14ac:dyDescent="0.2">
      <c r="A834" t="s">
        <v>1938</v>
      </c>
      <c r="B834" s="1" t="str">
        <f>HYPERLINK("http://www.chemspider.com/Chemical-Structure.9520.html","9520")</f>
        <v>9520</v>
      </c>
      <c r="C834" s="1" t="str">
        <f>HYPERLINK("https://www.ebi.ac.uk/chembl/compound/inspect/CHEMBL757","CHEMBL757")</f>
        <v>CHEMBL757</v>
      </c>
      <c r="D834" t="s">
        <v>1</v>
      </c>
      <c r="E834" t="s">
        <v>1939</v>
      </c>
      <c r="F834" t="s">
        <v>1940</v>
      </c>
      <c r="G834">
        <v>32</v>
      </c>
      <c r="H834" s="4">
        <v>10</v>
      </c>
    </row>
    <row r="835" spans="1:8" x14ac:dyDescent="0.2">
      <c r="A835" t="s">
        <v>1941</v>
      </c>
      <c r="B835" s="1" t="str">
        <f>HYPERLINK("http://www.chemspider.com/Chemical-Structure.5788.html","5788")</f>
        <v>5788</v>
      </c>
      <c r="C835" s="1" t="str">
        <f>HYPERLINK("https://www.ebi.ac.uk/chembl/compound/inspect/CHEMBL1395","CHEMBL1395")</f>
        <v>CHEMBL1395</v>
      </c>
      <c r="D835" t="s">
        <v>9</v>
      </c>
      <c r="E835" t="s">
        <v>1942</v>
      </c>
      <c r="F835" t="s">
        <v>1943</v>
      </c>
      <c r="G835">
        <v>311</v>
      </c>
      <c r="H835" s="4">
        <v>10</v>
      </c>
    </row>
    <row r="836" spans="1:8" x14ac:dyDescent="0.2">
      <c r="A836" t="s">
        <v>1944</v>
      </c>
      <c r="B836" s="1" t="str">
        <f>HYPERLINK("http://www.chemspider.com/Chemical-Structure.5773.html","5773")</f>
        <v>5773</v>
      </c>
      <c r="C836" s="1" t="str">
        <f>HYPERLINK("https://www.ebi.ac.uk/chembl/compound/inspect/CHEMBL103","CHEMBL103")</f>
        <v>CHEMBL103</v>
      </c>
      <c r="D836" t="s">
        <v>9</v>
      </c>
      <c r="E836" t="s">
        <v>1945</v>
      </c>
      <c r="F836" t="s">
        <v>1946</v>
      </c>
      <c r="G836">
        <v>609</v>
      </c>
      <c r="H836" s="4">
        <v>10</v>
      </c>
    </row>
    <row r="837" spans="1:8" x14ac:dyDescent="0.2">
      <c r="A837" t="s">
        <v>1947</v>
      </c>
      <c r="B837" s="1" t="str">
        <f>HYPERLINK("http://www.chemspider.com/Chemical-Structure.216968.html","216968")</f>
        <v>216968</v>
      </c>
      <c r="C837" s="1" t="str">
        <f>HYPERLINK("https://www.ebi.ac.uk/chembl/compound/inspect/CHEMBL1201173","CHEMBL1201173")</f>
        <v>CHEMBL1201173</v>
      </c>
      <c r="D837" t="s">
        <v>9</v>
      </c>
      <c r="E837" t="s">
        <v>1948</v>
      </c>
      <c r="F837" t="s">
        <v>1949</v>
      </c>
      <c r="G837">
        <v>0</v>
      </c>
      <c r="H837" s="4">
        <v>10</v>
      </c>
    </row>
    <row r="838" spans="1:8" x14ac:dyDescent="0.2">
      <c r="A838" t="s">
        <v>1950</v>
      </c>
      <c r="B838" s="1" t="str">
        <f>HYPERLINK("http://www.chemspider.com/Chemical-Structure.10050591.html","10050591")</f>
        <v>10050591</v>
      </c>
      <c r="C838" s="1" t="str">
        <f>HYPERLINK("https://www.ebi.ac.uk/chembl/compound/inspect/CHEMBL1200592","CHEMBL1200592")</f>
        <v>CHEMBL1200592</v>
      </c>
      <c r="D838" t="s">
        <v>9</v>
      </c>
      <c r="E838" t="s">
        <v>1951</v>
      </c>
      <c r="F838" t="s">
        <v>1952</v>
      </c>
      <c r="G838">
        <v>1</v>
      </c>
      <c r="H838" s="4">
        <v>10.0000892</v>
      </c>
    </row>
    <row r="839" spans="1:8" x14ac:dyDescent="0.2">
      <c r="A839" t="s">
        <v>1953</v>
      </c>
      <c r="B839" s="1" t="str">
        <f>HYPERLINK("http://www.chemspider.com/Chemical-Structure.5791.html","5791")</f>
        <v>5791</v>
      </c>
      <c r="C839" s="1" t="str">
        <f>HYPERLINK("https://www.ebi.ac.uk/chembl/compound/inspect/CHEMBL386630","CHEMBL386630")</f>
        <v>CHEMBL386630</v>
      </c>
      <c r="D839" t="s">
        <v>9</v>
      </c>
      <c r="E839" t="s">
        <v>1954</v>
      </c>
      <c r="F839" t="s">
        <v>1955</v>
      </c>
      <c r="G839">
        <v>1774</v>
      </c>
      <c r="H839" s="4">
        <v>10.00049246</v>
      </c>
    </row>
    <row r="840" spans="1:8" x14ac:dyDescent="0.2">
      <c r="A840" t="s">
        <v>1956</v>
      </c>
      <c r="B840" s="1" t="str">
        <f>HYPERLINK("http://www.chemspider.com/Chemical-Structure.10185.html","10185")</f>
        <v>10185</v>
      </c>
      <c r="C840" s="1" t="str">
        <f>HYPERLINK("https://www.ebi.ac.uk/chembl/compound/inspect/CHEMBL1390","CHEMBL1390")</f>
        <v>CHEMBL1390</v>
      </c>
      <c r="D840" t="s">
        <v>1</v>
      </c>
      <c r="F840" t="s">
        <v>1957</v>
      </c>
      <c r="G840">
        <v>0</v>
      </c>
      <c r="H840" s="4">
        <v>10</v>
      </c>
    </row>
    <row r="841" spans="1:8" x14ac:dyDescent="0.2">
      <c r="A841" t="s">
        <v>1958</v>
      </c>
      <c r="B841" s="1" t="str">
        <f>HYPERLINK("http://www.chemspider.com/Chemical-Structure.5551.html","5551")</f>
        <v>5551</v>
      </c>
      <c r="C841" s="1" t="str">
        <f>HYPERLINK("https://www.ebi.ac.uk/chembl/compound/inspect/CHEMBL389621","CHEMBL389621")</f>
        <v>CHEMBL389621</v>
      </c>
      <c r="D841" t="s">
        <v>9</v>
      </c>
      <c r="E841" t="s">
        <v>1959</v>
      </c>
      <c r="F841" t="s">
        <v>1960</v>
      </c>
      <c r="G841">
        <v>1239</v>
      </c>
      <c r="H841" s="4">
        <v>10</v>
      </c>
    </row>
    <row r="842" spans="1:8" x14ac:dyDescent="0.2">
      <c r="A842" t="s">
        <v>1961</v>
      </c>
      <c r="B842" s="1" t="str">
        <f>HYPERLINK("http://www.chemspider.com/Chemical-Structure.5543.html","5543")</f>
        <v>5543</v>
      </c>
      <c r="C842" s="1" t="str">
        <f>HYPERLINK("https://www.ebi.ac.uk/chembl/compound/inspect/CHEMBL1650","CHEMBL1650")</f>
        <v>CHEMBL1650</v>
      </c>
      <c r="D842" t="s">
        <v>9</v>
      </c>
      <c r="E842" t="s">
        <v>1962</v>
      </c>
      <c r="F842" t="s">
        <v>1963</v>
      </c>
      <c r="G842">
        <v>4732</v>
      </c>
      <c r="H842" s="4">
        <v>10</v>
      </c>
    </row>
    <row r="843" spans="1:8" x14ac:dyDescent="0.2">
      <c r="A843" t="s">
        <v>1964</v>
      </c>
      <c r="B843" s="1" t="str">
        <f>HYPERLINK("http://www.chemspider.com/Chemical-Structure.5542.html","5542")</f>
        <v>5542</v>
      </c>
      <c r="C843" s="1" t="str">
        <f>HYPERLINK("https://www.ebi.ac.uk/chembl/compound/inspect/CHEMBL1091","CHEMBL1091")</f>
        <v>CHEMBL1091</v>
      </c>
      <c r="D843" t="s">
        <v>9</v>
      </c>
      <c r="E843" t="s">
        <v>1965</v>
      </c>
      <c r="F843" t="s">
        <v>1966</v>
      </c>
      <c r="G843">
        <v>5722</v>
      </c>
      <c r="H843" s="4">
        <v>10</v>
      </c>
    </row>
    <row r="844" spans="1:8" x14ac:dyDescent="0.2">
      <c r="A844" t="s">
        <v>1967</v>
      </c>
      <c r="B844" s="1" t="str">
        <f>HYPERLINK("http://www.chemspider.com/Chemical-Structure.15760.html","15760")</f>
        <v>15760</v>
      </c>
      <c r="C844" s="1" t="str">
        <f>HYPERLINK("https://www.ebi.ac.uk/chembl/compound/inspect/CHEMBL977","CHEMBL977")</f>
        <v>CHEMBL977</v>
      </c>
      <c r="D844" t="s">
        <v>9</v>
      </c>
      <c r="E844" t="s">
        <v>1968</v>
      </c>
      <c r="F844" t="s">
        <v>1969</v>
      </c>
      <c r="G844">
        <v>2467</v>
      </c>
      <c r="H844" s="4">
        <v>10</v>
      </c>
    </row>
    <row r="845" spans="1:8" x14ac:dyDescent="0.2">
      <c r="A845" t="s">
        <v>1970</v>
      </c>
      <c r="B845" s="1" t="str">
        <f>HYPERLINK("http://www.chemspider.com/Chemical-Structure.6043.html","6043")</f>
        <v>6043</v>
      </c>
      <c r="C845" s="1" t="str">
        <f>HYPERLINK("https://www.ebi.ac.uk/chembl/compound/inspect/CHEMBL717","CHEMBL717")</f>
        <v>CHEMBL717</v>
      </c>
      <c r="D845" t="s">
        <v>9</v>
      </c>
      <c r="E845" t="s">
        <v>1971</v>
      </c>
      <c r="F845" t="s">
        <v>1972</v>
      </c>
      <c r="G845">
        <v>4821</v>
      </c>
      <c r="H845" s="4">
        <v>10</v>
      </c>
    </row>
    <row r="846" spans="1:8" x14ac:dyDescent="0.2">
      <c r="A846" t="s">
        <v>1973</v>
      </c>
      <c r="B846" s="1" t="str">
        <f>HYPERLINK("http://www.chemspider.com/Chemical-Structure.148552.html","148552")</f>
        <v>148552</v>
      </c>
      <c r="C846" s="1" t="str">
        <f>HYPERLINK("https://www.ebi.ac.uk/chembl/compound/inspect/CHEMBL1200848","CHEMBL1200848")</f>
        <v>CHEMBL1200848</v>
      </c>
      <c r="D846" t="s">
        <v>9</v>
      </c>
      <c r="E846" t="s">
        <v>1974</v>
      </c>
      <c r="F846" t="s">
        <v>1975</v>
      </c>
      <c r="G846">
        <v>81</v>
      </c>
      <c r="H846" s="4">
        <v>10</v>
      </c>
    </row>
    <row r="847" spans="1:8" x14ac:dyDescent="0.2">
      <c r="A847" t="s">
        <v>1976</v>
      </c>
      <c r="B847" s="1" t="str">
        <f>HYPERLINK("http://www.chemspider.com/Chemical-Structure.5670.html","5670")</f>
        <v>5670</v>
      </c>
      <c r="C847" s="1" t="str">
        <f>HYPERLINK("https://www.ebi.ac.uk/chembl/compound/inspect/CHEMBL90593","CHEMBL90593")</f>
        <v>CHEMBL90593</v>
      </c>
      <c r="D847" t="s">
        <v>1</v>
      </c>
      <c r="E847" t="s">
        <v>1977</v>
      </c>
      <c r="F847" t="s">
        <v>1978</v>
      </c>
      <c r="G847">
        <v>17</v>
      </c>
      <c r="H847" s="4">
        <v>10</v>
      </c>
    </row>
    <row r="848" spans="1:8" x14ac:dyDescent="0.2">
      <c r="A848" t="s">
        <v>1979</v>
      </c>
      <c r="B848" s="1" t="str">
        <f>HYPERLINK("http://www.chemspider.com/Chemical-Structure.10187.html","10187")</f>
        <v>10187</v>
      </c>
      <c r="C848" s="1" t="str">
        <f>HYPERLINK("https://www.ebi.ac.uk/chembl/compound/inspect/CHEMBL261514","CHEMBL261514")</f>
        <v>CHEMBL261514</v>
      </c>
      <c r="D848" t="s">
        <v>1</v>
      </c>
      <c r="E848" t="s">
        <v>1980</v>
      </c>
      <c r="F848" t="s">
        <v>1981</v>
      </c>
      <c r="G848">
        <v>0</v>
      </c>
      <c r="H848" s="4">
        <v>10.1</v>
      </c>
    </row>
    <row r="849" spans="1:8" x14ac:dyDescent="0.2">
      <c r="A849" t="s">
        <v>1982</v>
      </c>
      <c r="G849">
        <v>0</v>
      </c>
      <c r="H849" s="4">
        <v>20</v>
      </c>
    </row>
    <row r="850" spans="1:8" x14ac:dyDescent="0.2">
      <c r="A850" t="s">
        <v>1983</v>
      </c>
      <c r="B850" s="1" t="str">
        <f>HYPERLINK("http://www.chemspider.com/Chemical-Structure.139902.html","139902")</f>
        <v>139902</v>
      </c>
      <c r="C850" s="1" t="str">
        <f>HYPERLINK("https://www.ebi.ac.uk/chembl/compound/inspect/CHEMBL504760","CHEMBL504760")</f>
        <v>CHEMBL504760</v>
      </c>
      <c r="D850" t="s">
        <v>1</v>
      </c>
      <c r="E850" t="s">
        <v>1984</v>
      </c>
      <c r="F850" t="s">
        <v>1985</v>
      </c>
      <c r="G850">
        <v>7</v>
      </c>
      <c r="H850" s="4">
        <v>10</v>
      </c>
    </row>
    <row r="851" spans="1:8" x14ac:dyDescent="0.2">
      <c r="A851" t="s">
        <v>1986</v>
      </c>
      <c r="B851" s="1" t="str">
        <f>HYPERLINK("http://www.chemspider.com/Chemical-Structure.6422.html","6422")</f>
        <v>6422</v>
      </c>
      <c r="C851" s="1" t="str">
        <f>HYPERLINK("https://www.ebi.ac.uk/chembl/compound/inspect/CHEMBL514446","CHEMBL514446")</f>
        <v>CHEMBL514446</v>
      </c>
      <c r="D851" t="s">
        <v>1</v>
      </c>
      <c r="E851" t="s">
        <v>1987</v>
      </c>
      <c r="F851" t="s">
        <v>1988</v>
      </c>
      <c r="G851">
        <v>7736</v>
      </c>
      <c r="H851" s="4">
        <v>10</v>
      </c>
    </row>
    <row r="852" spans="1:8" x14ac:dyDescent="0.2">
      <c r="A852" t="s">
        <v>1989</v>
      </c>
      <c r="B852" s="1" t="str">
        <f>HYPERLINK("http://www.chemspider.com/Chemical-Structure.31608.html","31608")</f>
        <v>31608</v>
      </c>
      <c r="C852" s="1" t="str">
        <f>HYPERLINK("https://www.ebi.ac.uk/chembl/compound/inspect/CHEMBL1068","CHEMBL1068")</f>
        <v>CHEMBL1068</v>
      </c>
      <c r="D852" t="s">
        <v>9</v>
      </c>
      <c r="E852" t="s">
        <v>1990</v>
      </c>
      <c r="F852" t="s">
        <v>1991</v>
      </c>
      <c r="G852">
        <v>95</v>
      </c>
      <c r="H852" s="4">
        <v>10</v>
      </c>
    </row>
    <row r="853" spans="1:8" x14ac:dyDescent="0.2">
      <c r="A853" t="s">
        <v>1992</v>
      </c>
      <c r="B853" s="1" t="str">
        <f>HYPERLINK("http://www.chemspider.com/Chemical-Structure.28572062.html","28572062")</f>
        <v>28572062</v>
      </c>
      <c r="G853">
        <v>0</v>
      </c>
      <c r="H853" s="4">
        <v>10</v>
      </c>
    </row>
    <row r="854" spans="1:8" x14ac:dyDescent="0.2">
      <c r="A854" t="s">
        <v>1993</v>
      </c>
      <c r="B854" s="1" t="str">
        <f>HYPERLINK("http://www.chemspider.com/Chemical-Structure.6578.html","6578")</f>
        <v>6578</v>
      </c>
      <c r="C854" s="1" t="str">
        <f>HYPERLINK("https://www.ebi.ac.uk/chembl/compound/inspect/CHEMBL797","CHEMBL797")</f>
        <v>CHEMBL797</v>
      </c>
      <c r="D854" t="s">
        <v>9</v>
      </c>
      <c r="E854" t="s">
        <v>1994</v>
      </c>
      <c r="F854" t="s">
        <v>1995</v>
      </c>
      <c r="G854">
        <v>0</v>
      </c>
      <c r="H854" s="4">
        <v>10</v>
      </c>
    </row>
    <row r="855" spans="1:8" x14ac:dyDescent="0.2">
      <c r="A855" t="s">
        <v>1996</v>
      </c>
      <c r="B855" s="1" t="str">
        <f>HYPERLINK("http://www.chemspider.com/Chemical-Structure.4331.html","4331")</f>
        <v>4331</v>
      </c>
      <c r="C855" s="1" t="str">
        <f>HYPERLINK("https://www.ebi.ac.uk/chembl/compound/inspect/CHEMBL360861","CHEMBL360861")</f>
        <v>CHEMBL360861</v>
      </c>
      <c r="D855" t="s">
        <v>1</v>
      </c>
      <c r="E855" t="s">
        <v>1997</v>
      </c>
      <c r="F855" t="s">
        <v>1998</v>
      </c>
      <c r="G855">
        <v>0</v>
      </c>
      <c r="H855" s="4">
        <v>10</v>
      </c>
    </row>
    <row r="856" spans="1:8" x14ac:dyDescent="0.2">
      <c r="A856" t="s">
        <v>1999</v>
      </c>
      <c r="B856" s="1" t="str">
        <f>HYPERLINK("http://www.chemspider.com/Chemical-Structure.2068.html","2068")</f>
        <v>2068</v>
      </c>
      <c r="C856" s="1" t="str">
        <f>HYPERLINK("https://www.ebi.ac.uk/chembl/compound/inspect/CHEMBL190","CHEMBL190")</f>
        <v>CHEMBL190</v>
      </c>
      <c r="D856" t="s">
        <v>9</v>
      </c>
      <c r="E856" t="s">
        <v>2000</v>
      </c>
      <c r="F856" t="s">
        <v>2001</v>
      </c>
      <c r="G856">
        <v>113</v>
      </c>
      <c r="H856" s="4">
        <v>10</v>
      </c>
    </row>
    <row r="857" spans="1:8" x14ac:dyDescent="0.2">
      <c r="A857" t="s">
        <v>2002</v>
      </c>
      <c r="B857" s="1" t="str">
        <f>HYPERLINK("http://www.chemspider.com/Chemical-Structure.2068.html","2068")</f>
        <v>2068</v>
      </c>
      <c r="C857" s="1" t="str">
        <f>HYPERLINK("https://www.ebi.ac.uk/chembl/compound/inspect/CHEMBL190","CHEMBL190")</f>
        <v>CHEMBL190</v>
      </c>
      <c r="D857" t="s">
        <v>9</v>
      </c>
      <c r="E857" t="s">
        <v>2000</v>
      </c>
      <c r="F857" t="s">
        <v>2001</v>
      </c>
      <c r="G857">
        <v>113</v>
      </c>
      <c r="H857" s="4">
        <v>10</v>
      </c>
    </row>
    <row r="858" spans="1:8" x14ac:dyDescent="0.2">
      <c r="A858" t="s">
        <v>2003</v>
      </c>
      <c r="B858" s="1" t="str">
        <f>HYPERLINK("http://www.chemspider.com/Chemical-Structure.9526.html","9526")</f>
        <v>9526</v>
      </c>
      <c r="C858" s="1" t="str">
        <f>HYPERLINK("https://www.ebi.ac.uk/chembl/compound/inspect/CHEMBL1624126","CHEMBL1624126")</f>
        <v>CHEMBL1624126</v>
      </c>
      <c r="D858" t="s">
        <v>1</v>
      </c>
      <c r="G858">
        <v>0</v>
      </c>
      <c r="H858" s="4">
        <v>10</v>
      </c>
    </row>
    <row r="859" spans="1:8" x14ac:dyDescent="0.2">
      <c r="A859" t="s">
        <v>2004</v>
      </c>
      <c r="B859" s="1" t="str">
        <f>HYPERLINK("http://www.chemspider.com/Chemical-Structure.59040.html","59040")</f>
        <v>59040</v>
      </c>
      <c r="C859" s="1" t="str">
        <f>HYPERLINK("https://www.ebi.ac.uk/chembl/compound/inspect/CHEMBL311948","CHEMBL311948")</f>
        <v>CHEMBL311948</v>
      </c>
      <c r="D859" t="s">
        <v>1</v>
      </c>
      <c r="E859" t="s">
        <v>2005</v>
      </c>
      <c r="F859" t="s">
        <v>2006</v>
      </c>
      <c r="G859">
        <v>0</v>
      </c>
      <c r="H859" s="4">
        <v>10</v>
      </c>
    </row>
    <row r="860" spans="1:8" x14ac:dyDescent="0.2">
      <c r="A860" t="s">
        <v>2007</v>
      </c>
      <c r="B860" s="1" t="str">
        <f>HYPERLINK("http://www.chemspider.com/Chemical-Structure.792670.html","792670")</f>
        <v>792670</v>
      </c>
      <c r="C860" s="1" t="str">
        <f>HYPERLINK("https://www.ebi.ac.uk/chembl/compound/inspect/CHEMBL1463659","CHEMBL1463659")</f>
        <v>CHEMBL1463659</v>
      </c>
      <c r="D860" t="s">
        <v>1</v>
      </c>
      <c r="F860" t="s">
        <v>2008</v>
      </c>
      <c r="G860">
        <v>0</v>
      </c>
      <c r="H860" s="4">
        <v>5</v>
      </c>
    </row>
    <row r="861" spans="1:8" x14ac:dyDescent="0.2">
      <c r="A861" t="s">
        <v>2009</v>
      </c>
      <c r="B861" s="1" t="str">
        <f>HYPERLINK("http://www.chemspider.com/Chemical-Structure.3920.html","3920")</f>
        <v>3920</v>
      </c>
      <c r="C861" s="1" t="str">
        <f>HYPERLINK("https://www.ebi.ac.uk/chembl/compound/inspect/CHEMBL861","CHEMBL861")</f>
        <v>CHEMBL861</v>
      </c>
      <c r="D861" t="s">
        <v>9</v>
      </c>
      <c r="E861" t="s">
        <v>2010</v>
      </c>
      <c r="F861" t="s">
        <v>2011</v>
      </c>
      <c r="G861">
        <v>2</v>
      </c>
      <c r="H861" s="4">
        <v>10</v>
      </c>
    </row>
    <row r="862" spans="1:8" x14ac:dyDescent="0.2">
      <c r="A862" t="s">
        <v>2012</v>
      </c>
      <c r="B862" s="1" t="str">
        <f>HYPERLINK("http://www.chemspider.com/Chemical-Structure.746405.html","746405")</f>
        <v>746405</v>
      </c>
      <c r="C862" s="1" t="str">
        <f>HYPERLINK("https://www.ebi.ac.uk/chembl/compound/inspect/CHEMBL578211","CHEMBL578211")</f>
        <v>CHEMBL578211</v>
      </c>
      <c r="D862" t="s">
        <v>1</v>
      </c>
      <c r="E862" t="s">
        <v>2013</v>
      </c>
      <c r="F862" t="s">
        <v>2014</v>
      </c>
      <c r="G862">
        <v>34</v>
      </c>
      <c r="H862" s="4">
        <v>10</v>
      </c>
    </row>
    <row r="863" spans="1:8" x14ac:dyDescent="0.2">
      <c r="A863" t="s">
        <v>2015</v>
      </c>
      <c r="B863" s="1" t="str">
        <f>HYPERLINK("http://www.chemspider.com/Chemical-Structure.4978035.html","4978035")</f>
        <v>4978035</v>
      </c>
      <c r="G863">
        <v>0</v>
      </c>
      <c r="H863" s="4">
        <v>10</v>
      </c>
    </row>
    <row r="864" spans="1:8" x14ac:dyDescent="0.2">
      <c r="A864" t="s">
        <v>2016</v>
      </c>
      <c r="B864" s="1" t="str">
        <f>HYPERLINK("http://www.chemspider.com/Chemical-Structure.4447633.html","4447633")</f>
        <v>4447633</v>
      </c>
      <c r="C864" s="1" t="str">
        <f>HYPERLINK("https://www.ebi.ac.uk/chembl/compound/inspect/CHEMBL1286","CHEMBL1286")</f>
        <v>CHEMBL1286</v>
      </c>
      <c r="D864" t="s">
        <v>9</v>
      </c>
      <c r="E864" t="s">
        <v>2017</v>
      </c>
      <c r="F864" t="s">
        <v>2018</v>
      </c>
      <c r="G864">
        <v>241</v>
      </c>
      <c r="H864" s="4">
        <v>10.1</v>
      </c>
    </row>
    <row r="865" spans="1:8" x14ac:dyDescent="0.2">
      <c r="A865" t="s">
        <v>2019</v>
      </c>
      <c r="B865" s="1" t="str">
        <f>HYPERLINK("http://www.chemspider.com/Chemical-Structure.4578.html","4578")</f>
        <v>4578</v>
      </c>
      <c r="C865" s="1" t="str">
        <f>HYPERLINK("https://www.ebi.ac.uk/chembl/compound/inspect/CHEMBL628","CHEMBL628")</f>
        <v>CHEMBL628</v>
      </c>
      <c r="D865" t="s">
        <v>9</v>
      </c>
      <c r="E865" t="s">
        <v>2020</v>
      </c>
      <c r="F865" t="s">
        <v>2021</v>
      </c>
      <c r="G865">
        <v>190</v>
      </c>
      <c r="H865" s="4">
        <v>10</v>
      </c>
    </row>
    <row r="866" spans="1:8" x14ac:dyDescent="0.2">
      <c r="A866" t="s">
        <v>2022</v>
      </c>
      <c r="B866" s="1" t="str">
        <f>HYPERLINK("http://www.chemspider.com/Chemical-Structure.2383.html","2383")</f>
        <v>2383</v>
      </c>
      <c r="C866" s="1" t="str">
        <f>HYPERLINK("https://www.ebi.ac.uk/chembl/compound/inspect/CHEMBL49","CHEMBL49")</f>
        <v>CHEMBL49</v>
      </c>
      <c r="D866" t="s">
        <v>9</v>
      </c>
      <c r="E866" t="s">
        <v>2023</v>
      </c>
      <c r="F866" t="s">
        <v>2024</v>
      </c>
      <c r="G866">
        <v>85</v>
      </c>
      <c r="H866" s="4">
        <v>10</v>
      </c>
    </row>
    <row r="867" spans="1:8" x14ac:dyDescent="0.2">
      <c r="A867" t="s">
        <v>2025</v>
      </c>
      <c r="B867" s="1" t="str">
        <f>HYPERLINK("http://www.chemspider.com/Chemical-Structure.2015.html","2015")</f>
        <v>2015</v>
      </c>
      <c r="C867" s="1" t="str">
        <f>HYPERLINK("https://www.ebi.ac.uk/chembl/compound/inspect/CHEMBL1110","CHEMBL1110")</f>
        <v>CHEMBL1110</v>
      </c>
      <c r="D867" t="s">
        <v>9</v>
      </c>
      <c r="E867" t="s">
        <v>2026</v>
      </c>
      <c r="F867" t="s">
        <v>2027</v>
      </c>
      <c r="G867">
        <v>13</v>
      </c>
      <c r="H867" s="4">
        <v>10</v>
      </c>
    </row>
    <row r="868" spans="1:8" x14ac:dyDescent="0.2">
      <c r="A868" t="s">
        <v>2028</v>
      </c>
      <c r="B868" s="1" t="str">
        <f>HYPERLINK("http://www.chemspider.com/Chemical-Structure.4892289.html","4892289")</f>
        <v>4892289</v>
      </c>
      <c r="C868" s="1" t="str">
        <f>HYPERLINK("https://www.ebi.ac.uk/chembl/compound/inspect/CHEMBL1189679","CHEMBL1189679")</f>
        <v>CHEMBL1189679</v>
      </c>
      <c r="D868" t="s">
        <v>9</v>
      </c>
      <c r="E868" t="s">
        <v>2029</v>
      </c>
      <c r="F868" t="s">
        <v>2030</v>
      </c>
      <c r="G868">
        <v>190</v>
      </c>
      <c r="H868" s="4">
        <v>10</v>
      </c>
    </row>
    <row r="869" spans="1:8" x14ac:dyDescent="0.2">
      <c r="A869" t="s">
        <v>2031</v>
      </c>
      <c r="B869" s="1" t="str">
        <f>HYPERLINK("http://www.chemspider.com/Chemical-Structure.3618.html","3618")</f>
        <v>3618</v>
      </c>
      <c r="C869" s="1" t="str">
        <f>HYPERLINK("https://www.ebi.ac.uk/chembl/compound/inspect/CHEMBL1513","CHEMBL1513")</f>
        <v>CHEMBL1513</v>
      </c>
      <c r="D869" t="s">
        <v>9</v>
      </c>
      <c r="E869" t="s">
        <v>2032</v>
      </c>
      <c r="F869" t="s">
        <v>2033</v>
      </c>
      <c r="G869">
        <v>224</v>
      </c>
      <c r="H869" s="4">
        <v>10.1</v>
      </c>
    </row>
    <row r="870" spans="1:8" x14ac:dyDescent="0.2">
      <c r="A870" t="s">
        <v>2034</v>
      </c>
      <c r="B870" s="1" t="str">
        <f>HYPERLINK("http://www.chemspider.com/Chemical-Structure.13162817.html","13162817")</f>
        <v>13162817</v>
      </c>
      <c r="C870" s="1" t="str">
        <f>HYPERLINK("https://www.ebi.ac.uk/chembl/compound/inspect/CHEMBL1435675","CHEMBL1435675")</f>
        <v>CHEMBL1435675</v>
      </c>
      <c r="D870" t="s">
        <v>1</v>
      </c>
      <c r="F870" t="s">
        <v>2035</v>
      </c>
      <c r="G870">
        <v>0</v>
      </c>
      <c r="H870" s="4">
        <v>10</v>
      </c>
    </row>
    <row r="871" spans="1:8" x14ac:dyDescent="0.2">
      <c r="A871" t="s">
        <v>2036</v>
      </c>
      <c r="B871" s="1" t="str">
        <f>HYPERLINK("http://www.chemspider.com/Chemical-Structure.13127674.html","13127674")</f>
        <v>13127674</v>
      </c>
      <c r="G871">
        <v>0</v>
      </c>
      <c r="H871" s="4">
        <v>10</v>
      </c>
    </row>
    <row r="872" spans="1:8" x14ac:dyDescent="0.2">
      <c r="A872" t="s">
        <v>2037</v>
      </c>
      <c r="B872" s="1" t="str">
        <f>HYPERLINK("http://www.chemspider.com/Chemical-Structure.10177826.html","10177826")</f>
        <v>10177826</v>
      </c>
      <c r="C872" s="1" t="str">
        <f>HYPERLINK("https://www.ebi.ac.uk/chembl/compound/inspect/CHEMBL1480344","CHEMBL1480344")</f>
        <v>CHEMBL1480344</v>
      </c>
      <c r="D872" t="s">
        <v>1</v>
      </c>
      <c r="F872" t="s">
        <v>2038</v>
      </c>
      <c r="G872">
        <v>0</v>
      </c>
      <c r="H872" s="4">
        <v>10</v>
      </c>
    </row>
    <row r="873" spans="1:8" x14ac:dyDescent="0.2">
      <c r="A873" t="s">
        <v>2039</v>
      </c>
      <c r="B873" s="1" t="str">
        <f>HYPERLINK("http://www.chemspider.com/Chemical-Structure.4514935.html","4514935")</f>
        <v>4514935</v>
      </c>
      <c r="C873" s="1" t="str">
        <f>HYPERLINK("https://www.ebi.ac.uk/chembl/compound/inspect/CHEMBL838","CHEMBL838")</f>
        <v>CHEMBL838</v>
      </c>
      <c r="D873" t="s">
        <v>9</v>
      </c>
      <c r="E873" t="s">
        <v>2040</v>
      </c>
      <c r="F873" t="s">
        <v>2041</v>
      </c>
      <c r="G873">
        <v>119</v>
      </c>
      <c r="H873" s="4">
        <v>10</v>
      </c>
    </row>
    <row r="874" spans="1:8" x14ac:dyDescent="0.2">
      <c r="A874" t="s">
        <v>2042</v>
      </c>
      <c r="B874" s="1" t="str">
        <f>HYPERLINK("http://www.chemspider.com/Chemical-Structure.4340.html","4340")</f>
        <v>4340</v>
      </c>
      <c r="C874" s="1" t="str">
        <f>HYPERLINK("https://www.ebi.ac.uk/chembl/compound/inspect/CHEMBL13341","CHEMBL13341")</f>
        <v>CHEMBL13341</v>
      </c>
      <c r="D874" t="s">
        <v>1</v>
      </c>
      <c r="E874" t="s">
        <v>2043</v>
      </c>
      <c r="F874" t="s">
        <v>2044</v>
      </c>
      <c r="G874">
        <v>0</v>
      </c>
      <c r="H874" s="4">
        <v>10</v>
      </c>
    </row>
    <row r="875" spans="1:8" x14ac:dyDescent="0.2">
      <c r="A875" t="s">
        <v>2045</v>
      </c>
      <c r="B875" s="1" t="str">
        <f>HYPERLINK("http://www.chemspider.com/Chemical-Structure.59175.html","59175")</f>
        <v>59175</v>
      </c>
      <c r="C875" s="1" t="str">
        <f>HYPERLINK("https://www.ebi.ac.uk/chembl/compound/inspect/CHEMBL85139","CHEMBL85139")</f>
        <v>CHEMBL85139</v>
      </c>
      <c r="D875" t="s">
        <v>1</v>
      </c>
      <c r="E875" t="s">
        <v>2046</v>
      </c>
      <c r="F875" t="s">
        <v>2047</v>
      </c>
      <c r="G875">
        <v>0</v>
      </c>
      <c r="H875" s="4">
        <v>10</v>
      </c>
    </row>
    <row r="876" spans="1:8" x14ac:dyDescent="0.2">
      <c r="A876" t="s">
        <v>2048</v>
      </c>
      <c r="B876" s="1" t="str">
        <f>HYPERLINK("http://www.chemspider.com/Chemical-Structure.133343.html","133343")</f>
        <v>133343</v>
      </c>
      <c r="C876" s="1" t="str">
        <f>HYPERLINK("https://www.ebi.ac.uk/chembl/compound/inspect/CHEMBL81925","CHEMBL81925")</f>
        <v>CHEMBL81925</v>
      </c>
      <c r="D876" t="s">
        <v>1</v>
      </c>
      <c r="F876" t="s">
        <v>2049</v>
      </c>
      <c r="G876">
        <v>0</v>
      </c>
      <c r="H876" s="4">
        <v>10</v>
      </c>
    </row>
    <row r="877" spans="1:8" x14ac:dyDescent="0.2">
      <c r="A877" t="s">
        <v>2050</v>
      </c>
      <c r="B877" s="1" t="str">
        <f>HYPERLINK("http://www.chemspider.com/Chemical-Structure.9818.html","9818")</f>
        <v>9818</v>
      </c>
      <c r="C877" s="1" t="str">
        <f>HYPERLINK("https://www.ebi.ac.uk/chembl/compound/inspect/CHEMBL497939","CHEMBL497939")</f>
        <v>CHEMBL497939</v>
      </c>
      <c r="D877" t="s">
        <v>1</v>
      </c>
      <c r="E877" t="s">
        <v>2051</v>
      </c>
      <c r="F877" t="s">
        <v>2052</v>
      </c>
      <c r="G877">
        <v>0</v>
      </c>
      <c r="H877" s="4">
        <v>10</v>
      </c>
    </row>
    <row r="878" spans="1:8" x14ac:dyDescent="0.2">
      <c r="A878" t="s">
        <v>2053</v>
      </c>
      <c r="B878" s="1" t="str">
        <f>HYPERLINK("http://www.chemspider.com/Chemical-Structure.4722.html","4722")</f>
        <v>4722</v>
      </c>
      <c r="C878" s="1" t="str">
        <f>HYPERLINK("https://www.ebi.ac.uk/chembl/compound/inspect/CHEMBL976","CHEMBL976")</f>
        <v>CHEMBL976</v>
      </c>
      <c r="D878" t="s">
        <v>9</v>
      </c>
      <c r="E878" t="s">
        <v>2054</v>
      </c>
      <c r="F878" t="s">
        <v>2055</v>
      </c>
      <c r="G878">
        <v>68</v>
      </c>
      <c r="H878" s="4">
        <v>10</v>
      </c>
    </row>
    <row r="879" spans="1:8" x14ac:dyDescent="0.2">
      <c r="A879" t="s">
        <v>2056</v>
      </c>
      <c r="B879" s="1" t="str">
        <f>HYPERLINK("http://www.chemspider.com/Chemical-Structure.103136.html","103136")</f>
        <v>103136</v>
      </c>
      <c r="C879" s="1" t="str">
        <f>HYPERLINK("https://www.ebi.ac.uk/chembl/compound/inspect/CHEMBL377725","CHEMBL377725")</f>
        <v>CHEMBL377725</v>
      </c>
      <c r="D879" t="s">
        <v>1</v>
      </c>
      <c r="E879" t="s">
        <v>2057</v>
      </c>
      <c r="F879" t="s">
        <v>2058</v>
      </c>
      <c r="G879">
        <v>0</v>
      </c>
      <c r="H879" s="4">
        <v>10</v>
      </c>
    </row>
    <row r="880" spans="1:8" x14ac:dyDescent="0.2">
      <c r="A880" t="s">
        <v>2059</v>
      </c>
      <c r="B880" s="1" t="str">
        <f>HYPERLINK("http://www.chemspider.com/Chemical-Structure.82591.html","82591")</f>
        <v>82591</v>
      </c>
      <c r="C880" s="1" t="str">
        <f>HYPERLINK("https://www.ebi.ac.uk/chembl/compound/inspect/CHEMBL204860","CHEMBL204860")</f>
        <v>CHEMBL204860</v>
      </c>
      <c r="D880" t="s">
        <v>1</v>
      </c>
      <c r="E880" t="s">
        <v>2060</v>
      </c>
      <c r="F880" t="s">
        <v>2061</v>
      </c>
      <c r="G880">
        <v>0</v>
      </c>
      <c r="H880" s="4">
        <v>10</v>
      </c>
    </row>
    <row r="881" spans="1:8" x14ac:dyDescent="0.2">
      <c r="A881" t="s">
        <v>2062</v>
      </c>
      <c r="B881" s="1" t="str">
        <f>HYPERLINK("http://www.chemspider.com/Chemical-Structure.102808.html","102808")</f>
        <v>102808</v>
      </c>
      <c r="C881" s="1" t="str">
        <f>HYPERLINK("https://www.ebi.ac.uk/chembl/compound/inspect/CHEMBL458337","CHEMBL458337")</f>
        <v>CHEMBL458337</v>
      </c>
      <c r="D881" t="s">
        <v>1</v>
      </c>
      <c r="E881" t="s">
        <v>2063</v>
      </c>
      <c r="F881" t="s">
        <v>2064</v>
      </c>
      <c r="G881">
        <v>0</v>
      </c>
      <c r="H881" s="4">
        <v>10</v>
      </c>
    </row>
    <row r="882" spans="1:8" x14ac:dyDescent="0.2">
      <c r="A882" t="s">
        <v>2065</v>
      </c>
      <c r="B882" s="1" t="str">
        <f>HYPERLINK("http://www.chemspider.com/Chemical-Structure.58551.html","58551")</f>
        <v>58551</v>
      </c>
      <c r="G882">
        <v>0</v>
      </c>
      <c r="H882" s="4">
        <v>10</v>
      </c>
    </row>
    <row r="883" spans="1:8" x14ac:dyDescent="0.2">
      <c r="A883" t="s">
        <v>2066</v>
      </c>
      <c r="B883" s="1" t="str">
        <f>HYPERLINK("http://www.chemspider.com/Chemical-Structure.577.html","577")</f>
        <v>577</v>
      </c>
      <c r="C883" s="1" t="str">
        <f>HYPERLINK("https://www.ebi.ac.uk/chembl/compound/inspect/CHEMBL15913","CHEMBL15913")</f>
        <v>CHEMBL15913</v>
      </c>
      <c r="D883" t="s">
        <v>1</v>
      </c>
      <c r="E883" t="s">
        <v>2067</v>
      </c>
      <c r="F883" t="s">
        <v>2068</v>
      </c>
      <c r="G883">
        <v>208</v>
      </c>
      <c r="H883" s="4">
        <v>10</v>
      </c>
    </row>
    <row r="884" spans="1:8" x14ac:dyDescent="0.2">
      <c r="A884" t="s">
        <v>2069</v>
      </c>
      <c r="B884" s="1" t="str">
        <f>HYPERLINK("http://www.chemspider.com/Chemical-Structure.3336.html","3336")</f>
        <v>3336</v>
      </c>
      <c r="C884" s="1" t="str">
        <f>HYPERLINK("https://www.ebi.ac.uk/chembl/compound/inspect/CHEMBL182","CHEMBL182")</f>
        <v>CHEMBL182</v>
      </c>
      <c r="D884" t="s">
        <v>9</v>
      </c>
      <c r="E884" t="s">
        <v>2070</v>
      </c>
      <c r="F884" t="s">
        <v>2071</v>
      </c>
      <c r="G884">
        <v>226</v>
      </c>
      <c r="H884" s="4">
        <v>11.1</v>
      </c>
    </row>
    <row r="885" spans="1:8" x14ac:dyDescent="0.2">
      <c r="A885" t="s">
        <v>2072</v>
      </c>
      <c r="B885" s="1" t="str">
        <f>HYPERLINK("http://www.chemspider.com/Chemical-Structure.5815.html","5815")</f>
        <v>5815</v>
      </c>
      <c r="C885" s="1" t="str">
        <f>HYPERLINK("https://www.ebi.ac.uk/chembl/compound/inspect/CHEMBL1622","CHEMBL1622")</f>
        <v>CHEMBL1622</v>
      </c>
      <c r="D885" t="s">
        <v>9</v>
      </c>
      <c r="E885" t="s">
        <v>2073</v>
      </c>
      <c r="F885" t="s">
        <v>2074</v>
      </c>
      <c r="G885">
        <v>7739</v>
      </c>
      <c r="H885" s="4">
        <v>10</v>
      </c>
    </row>
    <row r="886" spans="1:8" x14ac:dyDescent="0.2">
      <c r="A886" t="s">
        <v>2075</v>
      </c>
      <c r="B886" s="1" t="str">
        <f>HYPERLINK("http://www.chemspider.com/Chemical-Structure.2010.html","2010")</f>
        <v>2010</v>
      </c>
      <c r="C886" s="1" t="str">
        <f>HYPERLINK("https://www.ebi.ac.uk/chembl/compound/inspect/CHEMBL1467","CHEMBL1467")</f>
        <v>CHEMBL1467</v>
      </c>
      <c r="D886" t="s">
        <v>9</v>
      </c>
      <c r="E886" t="s">
        <v>2076</v>
      </c>
      <c r="F886" t="s">
        <v>2077</v>
      </c>
      <c r="G886">
        <v>291</v>
      </c>
      <c r="H886" s="4">
        <v>10</v>
      </c>
    </row>
    <row r="887" spans="1:8" x14ac:dyDescent="0.2">
      <c r="A887" t="s">
        <v>2078</v>
      </c>
      <c r="B887" s="1" t="str">
        <f>HYPERLINK("http://www.chemspider.com/Chemical-Structure.744.html","744")</f>
        <v>744</v>
      </c>
      <c r="C887" s="1" t="str">
        <f>HYPERLINK("https://www.ebi.ac.uk/chembl/compound/inspect/CHEMBL219568","CHEMBL219568")</f>
        <v>CHEMBL219568</v>
      </c>
      <c r="D887" t="s">
        <v>1</v>
      </c>
      <c r="E887" t="s">
        <v>2079</v>
      </c>
      <c r="F887" t="s">
        <v>2080</v>
      </c>
      <c r="G887">
        <v>1</v>
      </c>
      <c r="H887" s="4">
        <v>10</v>
      </c>
    </row>
    <row r="888" spans="1:8" x14ac:dyDescent="0.2">
      <c r="A888" t="s">
        <v>2081</v>
      </c>
      <c r="B888" s="1" t="str">
        <f>HYPERLINK("http://www.chemspider.com/Chemical-Structure.153463.html","153463")</f>
        <v>153463</v>
      </c>
      <c r="C888" s="1" t="str">
        <f>HYPERLINK("https://www.ebi.ac.uk/chembl/compound/inspect/CHEMBL300138","CHEMBL300138")</f>
        <v>CHEMBL300138</v>
      </c>
      <c r="D888" t="s">
        <v>1</v>
      </c>
      <c r="E888" t="s">
        <v>2082</v>
      </c>
      <c r="F888" t="s">
        <v>2083</v>
      </c>
      <c r="G888">
        <v>57</v>
      </c>
      <c r="H888" s="4">
        <v>10</v>
      </c>
    </row>
    <row r="889" spans="1:8" x14ac:dyDescent="0.2">
      <c r="A889" t="s">
        <v>2084</v>
      </c>
      <c r="B889" s="1" t="str">
        <f>HYPERLINK("http://www.chemspider.com/Chemical-Structure.5233.html","5233")</f>
        <v>5233</v>
      </c>
      <c r="C889" s="1" t="str">
        <f>HYPERLINK("https://www.ebi.ac.uk/chembl/compound/inspect/CHEMBL468","CHEMBL468")</f>
        <v>CHEMBL468</v>
      </c>
      <c r="D889" t="s">
        <v>9</v>
      </c>
      <c r="E889" t="s">
        <v>2085</v>
      </c>
      <c r="F889" t="s">
        <v>2086</v>
      </c>
      <c r="G889">
        <v>1283</v>
      </c>
      <c r="H889" s="4">
        <v>10</v>
      </c>
    </row>
    <row r="890" spans="1:8" x14ac:dyDescent="0.2">
      <c r="A890" t="s">
        <v>2087</v>
      </c>
      <c r="B890" s="1" t="str">
        <f>HYPERLINK("http://www.chemspider.com/Chemical-Structure.5236.html","5236")</f>
        <v>5236</v>
      </c>
      <c r="C890" s="1" t="str">
        <f>HYPERLINK("https://www.ebi.ac.uk/chembl/compound/inspect/CHEMBL1114","CHEMBL1114")</f>
        <v>CHEMBL1114</v>
      </c>
      <c r="D890" t="s">
        <v>1</v>
      </c>
      <c r="E890" t="s">
        <v>2088</v>
      </c>
      <c r="F890" t="s">
        <v>2089</v>
      </c>
      <c r="G890">
        <v>41</v>
      </c>
      <c r="H890" s="4">
        <v>10</v>
      </c>
    </row>
    <row r="891" spans="1:8" x14ac:dyDescent="0.2">
      <c r="A891" t="s">
        <v>2090</v>
      </c>
      <c r="B891" s="1" t="str">
        <f>HYPERLINK("http://www.chemspider.com/Chemical-Structure.431981.html","431981")</f>
        <v>431981</v>
      </c>
      <c r="C891" s="1" t="str">
        <f>HYPERLINK("https://www.ebi.ac.uk/chembl/compound/inspect/CHEMBL1534","CHEMBL1534")</f>
        <v>CHEMBL1534</v>
      </c>
      <c r="D891" t="s">
        <v>9</v>
      </c>
      <c r="E891" t="s">
        <v>2091</v>
      </c>
      <c r="F891" t="s">
        <v>2092</v>
      </c>
      <c r="G891">
        <v>169</v>
      </c>
      <c r="H891" s="4">
        <v>10</v>
      </c>
    </row>
    <row r="892" spans="1:8" x14ac:dyDescent="0.2">
      <c r="A892" t="s">
        <v>2093</v>
      </c>
      <c r="B892" s="1" t="str">
        <f>HYPERLINK("http://www.chemspider.com/Chemical-Structure.942.html","942")</f>
        <v>942</v>
      </c>
      <c r="C892" s="1" t="str">
        <f>HYPERLINK("https://www.ebi.ac.uk/chembl/compound/inspect/CHEMBL1235017","CHEMBL1235017")</f>
        <v>CHEMBL1235017</v>
      </c>
      <c r="D892" t="s">
        <v>1</v>
      </c>
      <c r="E892" t="s">
        <v>2094</v>
      </c>
      <c r="F892" t="s">
        <v>2095</v>
      </c>
      <c r="G892">
        <v>7738</v>
      </c>
      <c r="H892" s="4">
        <v>10</v>
      </c>
    </row>
    <row r="893" spans="1:8" x14ac:dyDescent="0.2">
      <c r="A893" t="s">
        <v>2096</v>
      </c>
      <c r="B893" s="1" t="str">
        <f>HYPERLINK("http://www.chemspider.com/Chemical-Structure.199.html","199")</f>
        <v>199</v>
      </c>
      <c r="C893" s="1" t="str">
        <f>HYPERLINK("https://www.ebi.ac.uk/chembl/compound/inspect/CHEMBL593429","CHEMBL593429")</f>
        <v>CHEMBL593429</v>
      </c>
      <c r="D893" t="s">
        <v>1</v>
      </c>
      <c r="E893" t="s">
        <v>2097</v>
      </c>
      <c r="F893" t="s">
        <v>2098</v>
      </c>
      <c r="G893">
        <v>8</v>
      </c>
      <c r="H893" s="4">
        <v>10</v>
      </c>
    </row>
    <row r="894" spans="1:8" x14ac:dyDescent="0.2">
      <c r="A894" t="s">
        <v>2099</v>
      </c>
      <c r="B894" s="1" t="str">
        <f>HYPERLINK("http://www.chemspider.com/Chemical-Structure.1141.html","1141")</f>
        <v>1141</v>
      </c>
      <c r="C894" s="1" t="str">
        <f>HYPERLINK("https://www.ebi.ac.uk/chembl/compound/inspect/CHEMBL566","CHEMBL566")</f>
        <v>CHEMBL566</v>
      </c>
      <c r="D894" t="s">
        <v>1</v>
      </c>
      <c r="E894" t="s">
        <v>2100</v>
      </c>
      <c r="F894" t="s">
        <v>2101</v>
      </c>
      <c r="G894">
        <v>51</v>
      </c>
      <c r="H894" s="4">
        <v>10</v>
      </c>
    </row>
    <row r="895" spans="1:8" x14ac:dyDescent="0.2">
      <c r="A895" t="s">
        <v>2102</v>
      </c>
      <c r="B895" s="1" t="str">
        <f>HYPERLINK("http://www.chemspider.com/Chemical-Structure.4052.html","4052")</f>
        <v>4052</v>
      </c>
      <c r="C895" s="1" t="str">
        <f>HYPERLINK("https://www.ebi.ac.uk/chembl/compound/inspect/CHEMBL189","CHEMBL189")</f>
        <v>CHEMBL189</v>
      </c>
      <c r="D895" t="s">
        <v>9</v>
      </c>
      <c r="E895" t="s">
        <v>2103</v>
      </c>
      <c r="F895" t="s">
        <v>2104</v>
      </c>
      <c r="G895">
        <v>54</v>
      </c>
      <c r="H895" s="4">
        <v>10</v>
      </c>
    </row>
    <row r="896" spans="1:8" x14ac:dyDescent="0.2">
      <c r="A896" t="s">
        <v>2105</v>
      </c>
      <c r="B896" s="1" t="str">
        <f>HYPERLINK("http://www.chemspider.com/Chemical-Structure.16736021.html","16736021")</f>
        <v>16736021</v>
      </c>
      <c r="C896" s="1" t="str">
        <f>HYPERLINK("https://www.ebi.ac.uk/chembl/compound/inspect/CHEMBL395280","CHEMBL395280")</f>
        <v>CHEMBL395280</v>
      </c>
      <c r="D896" t="s">
        <v>1</v>
      </c>
      <c r="E896" t="s">
        <v>2106</v>
      </c>
      <c r="F896" t="s">
        <v>2107</v>
      </c>
      <c r="G896">
        <v>114948</v>
      </c>
      <c r="H896" s="4">
        <v>10</v>
      </c>
    </row>
    <row r="897" spans="1:8" x14ac:dyDescent="0.2">
      <c r="A897" t="s">
        <v>2108</v>
      </c>
      <c r="B897" s="1" t="str">
        <f>HYPERLINK("http://www.chemspider.com/Chemical-Structure.9053061.html","9053061")</f>
        <v>9053061</v>
      </c>
      <c r="G897">
        <v>0</v>
      </c>
      <c r="H897" s="4">
        <v>20</v>
      </c>
    </row>
    <row r="898" spans="1:8" x14ac:dyDescent="0.2">
      <c r="A898" t="s">
        <v>2109</v>
      </c>
      <c r="B898" s="1" t="str">
        <f>HYPERLINK("http://www.chemspider.com/Chemical-Structure.768.html","768")</f>
        <v>768</v>
      </c>
      <c r="C898" s="1" t="str">
        <f>HYPERLINK("https://www.ebi.ac.uk/chembl/compound/inspect/CHEMBL1427","CHEMBL1427")</f>
        <v>CHEMBL1427</v>
      </c>
      <c r="D898" t="s">
        <v>1</v>
      </c>
      <c r="E898" t="s">
        <v>2110</v>
      </c>
      <c r="F898" t="s">
        <v>2111</v>
      </c>
      <c r="G898">
        <v>3</v>
      </c>
      <c r="H898" s="4">
        <v>10</v>
      </c>
    </row>
    <row r="899" spans="1:8" x14ac:dyDescent="0.2">
      <c r="A899" t="s">
        <v>2112</v>
      </c>
      <c r="B899" s="1" t="str">
        <f>HYPERLINK("http://www.chemspider.com/Chemical-Structure.4740.html","4740")</f>
        <v>4740</v>
      </c>
      <c r="C899" s="1" t="str">
        <f>HYPERLINK("https://www.ebi.ac.uk/chembl/compound/inspect/CHEMBL856","CHEMBL856")</f>
        <v>CHEMBL856</v>
      </c>
      <c r="D899" t="s">
        <v>9</v>
      </c>
      <c r="E899" t="s">
        <v>2113</v>
      </c>
      <c r="F899" t="s">
        <v>2114</v>
      </c>
      <c r="G899">
        <v>11</v>
      </c>
      <c r="H899" s="4">
        <v>10</v>
      </c>
    </row>
    <row r="900" spans="1:8" x14ac:dyDescent="0.2">
      <c r="A900" t="s">
        <v>2115</v>
      </c>
      <c r="B900" s="1" t="str">
        <f>HYPERLINK("http://www.chemspider.com/Chemical-Structure.4740.html","4740")</f>
        <v>4740</v>
      </c>
      <c r="C900" s="1" t="str">
        <f>HYPERLINK("https://www.ebi.ac.uk/chembl/compound/inspect/CHEMBL856","CHEMBL856")</f>
        <v>CHEMBL856</v>
      </c>
      <c r="D900" t="s">
        <v>9</v>
      </c>
      <c r="E900" t="s">
        <v>2113</v>
      </c>
      <c r="F900" t="s">
        <v>2114</v>
      </c>
      <c r="G900">
        <v>11</v>
      </c>
      <c r="H900" s="4">
        <v>10</v>
      </c>
    </row>
    <row r="901" spans="1:8" x14ac:dyDescent="0.2">
      <c r="A901" t="s">
        <v>2116</v>
      </c>
      <c r="B901" s="1" t="str">
        <f>HYPERLINK("http://www.chemspider.com/Chemical-Structure.7127.html","7127")</f>
        <v>7127</v>
      </c>
      <c r="C901" s="1" t="str">
        <f>HYPERLINK("https://www.ebi.ac.uk/chembl/compound/inspect/CHEMBL397976","CHEMBL397976")</f>
        <v>CHEMBL397976</v>
      </c>
      <c r="D901" t="s">
        <v>1</v>
      </c>
      <c r="E901" t="s">
        <v>2117</v>
      </c>
      <c r="F901" t="s">
        <v>2118</v>
      </c>
      <c r="G901">
        <v>7739</v>
      </c>
      <c r="H901" s="4">
        <v>10</v>
      </c>
    </row>
    <row r="902" spans="1:8" x14ac:dyDescent="0.2">
      <c r="A902" t="s">
        <v>2119</v>
      </c>
      <c r="B902" s="1" t="str">
        <f>HYPERLINK("http://www.chemspider.com/Chemical-Structure.51714.html","51714")</f>
        <v>51714</v>
      </c>
      <c r="C902" s="1" t="str">
        <f>HYPERLINK("https://www.ebi.ac.uk/chembl/compound/inspect/CHEMBL710","CHEMBL710")</f>
        <v>CHEMBL710</v>
      </c>
      <c r="D902" t="s">
        <v>9</v>
      </c>
      <c r="E902" t="s">
        <v>2120</v>
      </c>
      <c r="F902" t="s">
        <v>2121</v>
      </c>
      <c r="G902">
        <v>137</v>
      </c>
      <c r="H902" s="4">
        <v>10</v>
      </c>
    </row>
    <row r="903" spans="1:8" x14ac:dyDescent="0.2">
      <c r="A903" t="s">
        <v>2122</v>
      </c>
      <c r="B903" s="1" t="str">
        <f>HYPERLINK("http://www.chemspider.com/Chemical-Structure.4705847.html","4705847")</f>
        <v>4705847</v>
      </c>
      <c r="G903">
        <v>0</v>
      </c>
      <c r="H903" s="4">
        <v>10</v>
      </c>
    </row>
    <row r="904" spans="1:8" x14ac:dyDescent="0.2">
      <c r="A904" t="s">
        <v>2123</v>
      </c>
      <c r="B904" s="1" t="str">
        <f>HYPERLINK("http://www.chemspider.com/Chemical-Structure.4350.html","4350")</f>
        <v>4350</v>
      </c>
      <c r="C904" s="1" t="str">
        <f>HYPERLINK("https://www.ebi.ac.uk/chembl/compound/inspect/CHEMBL13209","CHEMBL13209")</f>
        <v>CHEMBL13209</v>
      </c>
      <c r="D904" t="s">
        <v>1</v>
      </c>
      <c r="E904" t="s">
        <v>2124</v>
      </c>
      <c r="F904" t="s">
        <v>2125</v>
      </c>
      <c r="G904">
        <v>6</v>
      </c>
      <c r="H904" s="4">
        <v>10</v>
      </c>
    </row>
    <row r="905" spans="1:8" x14ac:dyDescent="0.2">
      <c r="A905" t="s">
        <v>2126</v>
      </c>
      <c r="B905" s="1" t="str">
        <f>HYPERLINK("http://www.chemspider.com/Chemical-Structure.4308.html","4308")</f>
        <v>4308</v>
      </c>
      <c r="C905" s="1" t="str">
        <f>HYPERLINK("https://www.ebi.ac.uk/chembl/compound/inspect/CHEMBL57","CHEMBL57")</f>
        <v>CHEMBL57</v>
      </c>
      <c r="D905" t="s">
        <v>9</v>
      </c>
      <c r="E905" t="s">
        <v>2127</v>
      </c>
      <c r="F905" t="s">
        <v>2128</v>
      </c>
      <c r="G905">
        <v>382</v>
      </c>
      <c r="H905" s="4">
        <v>10</v>
      </c>
    </row>
    <row r="906" spans="1:8" x14ac:dyDescent="0.2">
      <c r="A906" t="s">
        <v>2129</v>
      </c>
      <c r="B906" s="1" t="str">
        <f>HYPERLINK("http://www.chemspider.com/Chemical-Structure.97004.html","97004")</f>
        <v>97004</v>
      </c>
      <c r="C906" s="1" t="str">
        <f>HYPERLINK("https://www.ebi.ac.uk/chembl/compound/inspect/CHEMBL17045","CHEMBL17045")</f>
        <v>CHEMBL17045</v>
      </c>
      <c r="D906" t="s">
        <v>1</v>
      </c>
      <c r="E906" t="s">
        <v>2130</v>
      </c>
      <c r="F906" t="s">
        <v>2131</v>
      </c>
      <c r="G906">
        <v>0</v>
      </c>
      <c r="H906" s="4">
        <v>10</v>
      </c>
    </row>
    <row r="907" spans="1:8" x14ac:dyDescent="0.2">
      <c r="A907" t="s">
        <v>2132</v>
      </c>
      <c r="B907" s="1" t="str">
        <f>HYPERLINK("http://www.chemspider.com/Chemical-Structure.9710.html","9710")</f>
        <v>9710</v>
      </c>
      <c r="C907" s="1" t="str">
        <f>HYPERLINK("https://www.ebi.ac.uk/chembl/compound/inspect/CHEMBL230006","CHEMBL230006")</f>
        <v>CHEMBL230006</v>
      </c>
      <c r="D907" t="s">
        <v>1</v>
      </c>
      <c r="E907" t="s">
        <v>2133</v>
      </c>
      <c r="F907" t="s">
        <v>2134</v>
      </c>
      <c r="G907">
        <v>0</v>
      </c>
      <c r="H907" s="4">
        <v>10</v>
      </c>
    </row>
    <row r="908" spans="1:8" x14ac:dyDescent="0.2">
      <c r="A908" t="s">
        <v>2135</v>
      </c>
      <c r="B908" s="1" t="str">
        <f>HYPERLINK("http://www.chemspider.com/Chemical-Structure.505873.html","505873")</f>
        <v>505873</v>
      </c>
      <c r="G908">
        <v>0</v>
      </c>
      <c r="H908" s="4">
        <v>20</v>
      </c>
    </row>
    <row r="909" spans="1:8" x14ac:dyDescent="0.2">
      <c r="A909" t="s">
        <v>2136</v>
      </c>
      <c r="B909" s="1" t="str">
        <f>HYPERLINK("http://www.chemspider.com/Chemical-Structure.6787.html","6787")</f>
        <v>6787</v>
      </c>
      <c r="C909" s="1" t="str">
        <f>HYPERLINK("https://www.ebi.ac.uk/chembl/compound/inspect/CHEMBL326294","CHEMBL326294")</f>
        <v>CHEMBL326294</v>
      </c>
      <c r="D909" t="s">
        <v>1</v>
      </c>
      <c r="E909" t="s">
        <v>2137</v>
      </c>
      <c r="F909" t="s">
        <v>2138</v>
      </c>
      <c r="G909">
        <v>0</v>
      </c>
      <c r="H909" s="4">
        <v>10</v>
      </c>
    </row>
    <row r="910" spans="1:8" x14ac:dyDescent="0.2">
      <c r="A910" t="s">
        <v>2139</v>
      </c>
      <c r="B910" s="1" t="str">
        <f>HYPERLINK("http://www.chemspider.com/Chemical-Structure.10188539.html","10188539")</f>
        <v>10188539</v>
      </c>
      <c r="C910" s="1" t="str">
        <f>HYPERLINK("https://www.ebi.ac.uk/chembl/compound/inspect/CHEMBL436589","CHEMBL436589")</f>
        <v>CHEMBL436589</v>
      </c>
      <c r="D910" t="s">
        <v>1</v>
      </c>
      <c r="E910" t="s">
        <v>2140</v>
      </c>
      <c r="F910" t="s">
        <v>2141</v>
      </c>
      <c r="G910">
        <v>0</v>
      </c>
      <c r="H910" s="4">
        <v>10</v>
      </c>
    </row>
    <row r="911" spans="1:8" x14ac:dyDescent="0.2">
      <c r="A911" t="s">
        <v>2142</v>
      </c>
      <c r="B911" s="1" t="str">
        <f>HYPERLINK("http://www.chemspider.com/Chemical-Structure.4444124.html","4444124")</f>
        <v>4444124</v>
      </c>
      <c r="C911" s="1" t="str">
        <f>HYPERLINK("https://www.ebi.ac.uk/chembl/compound/inspect/CHEMBL520156","CHEMBL520156")</f>
        <v>CHEMBL520156</v>
      </c>
      <c r="D911" t="s">
        <v>1</v>
      </c>
      <c r="F911" t="s">
        <v>2143</v>
      </c>
      <c r="G911">
        <v>0</v>
      </c>
      <c r="H911" s="4">
        <v>10</v>
      </c>
    </row>
    <row r="912" spans="1:8" x14ac:dyDescent="0.2">
      <c r="A912" t="s">
        <v>2144</v>
      </c>
      <c r="B912" s="1" t="str">
        <f>HYPERLINK("http://www.chemspider.com/Chemical-Structure.3915.html","3915")</f>
        <v>3915</v>
      </c>
      <c r="C912" s="1" t="str">
        <f>HYPERLINK("https://www.ebi.ac.uk/chembl/compound/inspect/CHEMBL590","CHEMBL590")</f>
        <v>CHEMBL590</v>
      </c>
      <c r="D912" t="s">
        <v>9</v>
      </c>
      <c r="E912" t="s">
        <v>2145</v>
      </c>
      <c r="F912" t="s">
        <v>2146</v>
      </c>
      <c r="G912">
        <v>4</v>
      </c>
      <c r="H912" s="4">
        <v>10</v>
      </c>
    </row>
    <row r="913" spans="1:8" x14ac:dyDescent="0.2">
      <c r="A913" t="s">
        <v>2147</v>
      </c>
      <c r="B913" s="1" t="str">
        <f>HYPERLINK("http://www.chemspider.com/Chemical-Structure.4434.html","4434")</f>
        <v>4434</v>
      </c>
      <c r="C913" s="1" t="str">
        <f>HYPERLINK("https://www.ebi.ac.uk/chembl/compound/inspect/CHEMBL46","CHEMBL46")</f>
        <v>CHEMBL46</v>
      </c>
      <c r="D913" t="s">
        <v>9</v>
      </c>
      <c r="E913" t="s">
        <v>2148</v>
      </c>
      <c r="F913" t="s">
        <v>2149</v>
      </c>
      <c r="G913">
        <v>609</v>
      </c>
      <c r="H913" s="4">
        <v>10</v>
      </c>
    </row>
    <row r="914" spans="1:8" x14ac:dyDescent="0.2">
      <c r="A914" t="s">
        <v>2150</v>
      </c>
      <c r="B914" s="1" t="str">
        <f>HYPERLINK("http://www.chemspider.com/Chemical-Structure.4268.html","4268")</f>
        <v>4268</v>
      </c>
      <c r="C914" s="1" t="str">
        <f>HYPERLINK("https://www.ebi.ac.uk/chembl/compound/inspect/CHEMBL5","CHEMBL5")</f>
        <v>CHEMBL5</v>
      </c>
      <c r="D914" t="s">
        <v>9</v>
      </c>
      <c r="E914" t="s">
        <v>2151</v>
      </c>
      <c r="F914" t="s">
        <v>2152</v>
      </c>
      <c r="G914">
        <v>7743</v>
      </c>
      <c r="H914" s="4">
        <v>10</v>
      </c>
    </row>
    <row r="915" spans="1:8" x14ac:dyDescent="0.2">
      <c r="A915" t="s">
        <v>2153</v>
      </c>
      <c r="G915">
        <v>0</v>
      </c>
      <c r="H915" s="4">
        <v>20</v>
      </c>
    </row>
    <row r="916" spans="1:8" x14ac:dyDescent="0.2">
      <c r="A916" t="s">
        <v>2154</v>
      </c>
      <c r="G916">
        <v>0</v>
      </c>
      <c r="H916" s="4">
        <v>20</v>
      </c>
    </row>
    <row r="917" spans="1:8" x14ac:dyDescent="0.2">
      <c r="A917" t="s">
        <v>2155</v>
      </c>
      <c r="G917">
        <v>0</v>
      </c>
      <c r="H917" s="4">
        <v>20</v>
      </c>
    </row>
    <row r="918" spans="1:8" x14ac:dyDescent="0.2">
      <c r="A918" t="s">
        <v>2156</v>
      </c>
      <c r="B918" s="1" t="str">
        <f>HYPERLINK("http://www.chemspider.com/Chemical-Structure.5201.html","5201")</f>
        <v>5201</v>
      </c>
      <c r="C918" s="1" t="str">
        <f>HYPERLINK("https://www.ebi.ac.uk/chembl/compound/inspect/CHEMBL810","CHEMBL810")</f>
        <v>CHEMBL810</v>
      </c>
      <c r="D918" t="s">
        <v>9</v>
      </c>
      <c r="E918" t="s">
        <v>2157</v>
      </c>
      <c r="F918" t="s">
        <v>2158</v>
      </c>
      <c r="G918">
        <v>1466</v>
      </c>
      <c r="H918" s="4">
        <v>10</v>
      </c>
    </row>
    <row r="919" spans="1:8" x14ac:dyDescent="0.2">
      <c r="A919" t="s">
        <v>2159</v>
      </c>
      <c r="G919">
        <v>0</v>
      </c>
      <c r="H919" s="4">
        <v>10</v>
      </c>
    </row>
    <row r="920" spans="1:8" x14ac:dyDescent="0.2">
      <c r="A920" t="s">
        <v>2160</v>
      </c>
      <c r="G920">
        <v>0</v>
      </c>
      <c r="H920" s="4">
        <v>20</v>
      </c>
    </row>
    <row r="921" spans="1:8" x14ac:dyDescent="0.2">
      <c r="A921" t="s">
        <v>2161</v>
      </c>
      <c r="G921">
        <v>0</v>
      </c>
      <c r="H921" s="4">
        <v>20</v>
      </c>
    </row>
    <row r="922" spans="1:8" x14ac:dyDescent="0.2">
      <c r="A922" t="s">
        <v>2162</v>
      </c>
      <c r="G922">
        <v>0</v>
      </c>
      <c r="H922" s="4">
        <v>9.9995338</v>
      </c>
    </row>
    <row r="923" spans="1:8" x14ac:dyDescent="0.2">
      <c r="A923" t="s">
        <v>2163</v>
      </c>
      <c r="B923" s="1" t="str">
        <f>HYPERLINK("http://www.chemspider.com/Chemical-Structure.4588875.html","4588875")</f>
        <v>4588875</v>
      </c>
      <c r="G923">
        <v>0</v>
      </c>
      <c r="H923" s="4">
        <v>10</v>
      </c>
    </row>
    <row r="924" spans="1:8" x14ac:dyDescent="0.2">
      <c r="A924" t="s">
        <v>2164</v>
      </c>
      <c r="B924" s="1" t="str">
        <f>HYPERLINK("http://www.chemspider.com/Chemical-Structure.1821.html","1821")</f>
        <v>1821</v>
      </c>
      <c r="C924" s="1" t="str">
        <f>HYPERLINK("https://www.ebi.ac.uk/chembl/compound/inspect/CHEMBL247378","CHEMBL247378")</f>
        <v>CHEMBL247378</v>
      </c>
      <c r="D924" t="s">
        <v>1</v>
      </c>
      <c r="E924" t="s">
        <v>2165</v>
      </c>
      <c r="F924" t="s">
        <v>2166</v>
      </c>
      <c r="G924">
        <v>0</v>
      </c>
      <c r="H924" s="4">
        <v>10</v>
      </c>
    </row>
    <row r="925" spans="1:8" x14ac:dyDescent="0.2">
      <c r="A925" t="s">
        <v>2167</v>
      </c>
      <c r="B925" s="1" t="str">
        <f>HYPERLINK("http://www.chemspider.com/Chemical-Structure.343402.html","343402")</f>
        <v>343402</v>
      </c>
      <c r="C925" s="1" t="str">
        <f>HYPERLINK("https://www.ebi.ac.uk/chembl/compound/inspect/CHEMBL325041","CHEMBL325041")</f>
        <v>CHEMBL325041</v>
      </c>
      <c r="D925" t="s">
        <v>9</v>
      </c>
      <c r="E925" t="s">
        <v>2168</v>
      </c>
      <c r="F925" t="s">
        <v>2169</v>
      </c>
      <c r="G925">
        <v>1947</v>
      </c>
      <c r="H925" s="4">
        <v>10.00053827</v>
      </c>
    </row>
    <row r="926" spans="1:8" x14ac:dyDescent="0.2">
      <c r="A926" t="s">
        <v>2170</v>
      </c>
      <c r="B926" s="1" t="str">
        <f>HYPERLINK("http://www.chemspider.com/Chemical-Structure.50.html","50")</f>
        <v>50</v>
      </c>
      <c r="C926" s="1" t="str">
        <f>HYPERLINK("https://www.ebi.ac.uk/chembl/compound/inspect/CHEMBL1686","CHEMBL1686")</f>
        <v>CHEMBL1686</v>
      </c>
      <c r="D926" t="s">
        <v>1</v>
      </c>
      <c r="E926" t="s">
        <v>2171</v>
      </c>
      <c r="F926" t="s">
        <v>2172</v>
      </c>
      <c r="G926">
        <v>7744</v>
      </c>
      <c r="H926" s="4">
        <v>50</v>
      </c>
    </row>
    <row r="927" spans="1:8" x14ac:dyDescent="0.2">
      <c r="A927" t="s">
        <v>2173</v>
      </c>
      <c r="B927" s="1" t="str">
        <f>HYPERLINK("http://www.chemspider.com/Chemical-Structure.972.html","972")</f>
        <v>972</v>
      </c>
      <c r="C927" s="1" t="str">
        <f>HYPERLINK("https://www.ebi.ac.uk/chembl/compound/inspect/CHEMBL1162488","CHEMBL1162488")</f>
        <v>CHEMBL1162488</v>
      </c>
      <c r="D927" t="s">
        <v>1</v>
      </c>
      <c r="E927" t="s">
        <v>2174</v>
      </c>
      <c r="F927" t="s">
        <v>2175</v>
      </c>
      <c r="G927">
        <v>0</v>
      </c>
      <c r="H927" s="4">
        <v>10</v>
      </c>
    </row>
    <row r="928" spans="1:8" x14ac:dyDescent="0.2">
      <c r="A928" t="s">
        <v>2176</v>
      </c>
      <c r="G928">
        <v>0</v>
      </c>
      <c r="H928" s="4">
        <v>10</v>
      </c>
    </row>
    <row r="929" spans="1:8" x14ac:dyDescent="0.2">
      <c r="A929" t="s">
        <v>2177</v>
      </c>
      <c r="G929">
        <v>0</v>
      </c>
      <c r="H929" s="4">
        <v>10</v>
      </c>
    </row>
    <row r="930" spans="1:8" x14ac:dyDescent="0.2">
      <c r="A930" t="s">
        <v>2178</v>
      </c>
      <c r="G930">
        <v>0</v>
      </c>
      <c r="H930" s="4">
        <v>10</v>
      </c>
    </row>
    <row r="931" spans="1:8" x14ac:dyDescent="0.2">
      <c r="A931" t="s">
        <v>2179</v>
      </c>
      <c r="B931" s="1" t="str">
        <f>HYPERLINK("http://www.chemspider.com/Chemical-Structure.3693.html","3693")</f>
        <v>3693</v>
      </c>
      <c r="C931" s="1" t="str">
        <f>HYPERLINK("https://www.ebi.ac.uk/chembl/compound/inspect/CHEMBL571","CHEMBL571")</f>
        <v>CHEMBL571</v>
      </c>
      <c r="D931" t="s">
        <v>9</v>
      </c>
      <c r="E931" t="s">
        <v>2180</v>
      </c>
      <c r="F931" t="s">
        <v>2181</v>
      </c>
      <c r="G931">
        <v>132</v>
      </c>
      <c r="H931" s="4">
        <v>10</v>
      </c>
    </row>
    <row r="932" spans="1:8" x14ac:dyDescent="0.2">
      <c r="A932" t="s">
        <v>2182</v>
      </c>
      <c r="B932" s="1" t="str">
        <f>HYPERLINK("http://www.chemspider.com/Chemical-Structure.3544.html","3544")</f>
        <v>3544</v>
      </c>
      <c r="C932" s="1" t="str">
        <f>HYPERLINK("https://www.ebi.ac.uk/chembl/compound/inspect/CHEMBL521","CHEMBL521")</f>
        <v>CHEMBL521</v>
      </c>
      <c r="D932" t="s">
        <v>9</v>
      </c>
      <c r="E932" t="s">
        <v>2183</v>
      </c>
      <c r="F932" t="s">
        <v>2184</v>
      </c>
      <c r="G932">
        <v>839</v>
      </c>
      <c r="H932" s="4">
        <v>10</v>
      </c>
    </row>
    <row r="933" spans="1:8" x14ac:dyDescent="0.2">
      <c r="A933" t="s">
        <v>2185</v>
      </c>
      <c r="B933" s="1" t="str">
        <f>HYPERLINK("http://www.chemspider.com/Chemical-Structure.6745.html","6745")</f>
        <v>6745</v>
      </c>
      <c r="C933" s="1" t="str">
        <f>HYPERLINK("https://www.ebi.ac.uk/chembl/compound/inspect/CHEMBL1616045","CHEMBL1616045")</f>
        <v>CHEMBL1616045</v>
      </c>
      <c r="D933" t="s">
        <v>1</v>
      </c>
      <c r="G933">
        <v>0</v>
      </c>
      <c r="H933" s="4">
        <v>50</v>
      </c>
    </row>
    <row r="934" spans="1:8" x14ac:dyDescent="0.2">
      <c r="A934" t="s">
        <v>2186</v>
      </c>
      <c r="B934" s="1" t="str">
        <f>HYPERLINK("http://www.chemspider.com/Chemical-Structure.3009.html","3009")</f>
        <v>3009</v>
      </c>
      <c r="C934" s="1" t="str">
        <f>HYPERLINK("https://www.ebi.ac.uk/chembl/compound/inspect/CHEMBL109","CHEMBL109")</f>
        <v>CHEMBL109</v>
      </c>
      <c r="D934" t="s">
        <v>9</v>
      </c>
      <c r="E934" t="s">
        <v>2187</v>
      </c>
      <c r="F934" t="s">
        <v>2188</v>
      </c>
      <c r="G934">
        <v>7753</v>
      </c>
      <c r="H934" s="4">
        <v>10</v>
      </c>
    </row>
    <row r="935" spans="1:8" x14ac:dyDescent="0.2">
      <c r="A935" t="s">
        <v>2189</v>
      </c>
      <c r="B935" s="1" t="str">
        <f>HYPERLINK("http://www.chemspider.com/Chemical-Structure.456.html","456")</f>
        <v>456</v>
      </c>
      <c r="C935" s="1" t="str">
        <f>HYPERLINK("https://www.ebi.ac.uk/chembl/compound/inspect/CHEMBL433238","CHEMBL433238")</f>
        <v>CHEMBL433238</v>
      </c>
      <c r="D935" t="s">
        <v>1</v>
      </c>
      <c r="F935" t="s">
        <v>2190</v>
      </c>
      <c r="G935">
        <v>0</v>
      </c>
      <c r="H935" s="4">
        <v>10</v>
      </c>
    </row>
    <row r="936" spans="1:8" x14ac:dyDescent="0.2">
      <c r="A936" t="s">
        <v>2191</v>
      </c>
      <c r="B936" s="1" t="str">
        <f>HYPERLINK("http://www.chemspider.com/Chemical-Structure.380.html","380")</f>
        <v>380</v>
      </c>
      <c r="C936" s="1" t="str">
        <f>HYPERLINK("https://www.ebi.ac.uk/chembl/compound/inspect/CHEMBL2009502","CHEMBL2009502")</f>
        <v>CHEMBL2009502</v>
      </c>
      <c r="D936" t="s">
        <v>1</v>
      </c>
      <c r="G936">
        <v>0</v>
      </c>
      <c r="H936" s="4">
        <v>10</v>
      </c>
    </row>
    <row r="937" spans="1:8" x14ac:dyDescent="0.2">
      <c r="A937" t="s">
        <v>2192</v>
      </c>
      <c r="B937" s="1" t="str">
        <f>HYPERLINK("http://www.chemspider.com/Chemical-Structure.1116.html","1116")</f>
        <v>1116</v>
      </c>
      <c r="C937" s="1" t="str">
        <f>HYPERLINK("https://www.ebi.ac.uk/chembl/compound/inspect/CHEMBL484901","CHEMBL484901")</f>
        <v>CHEMBL484901</v>
      </c>
      <c r="D937" t="s">
        <v>1</v>
      </c>
      <c r="F937" t="s">
        <v>2193</v>
      </c>
      <c r="G937">
        <v>0</v>
      </c>
      <c r="H937" s="4">
        <v>10</v>
      </c>
    </row>
    <row r="938" spans="1:8" x14ac:dyDescent="0.2">
      <c r="A938" t="s">
        <v>2194</v>
      </c>
      <c r="B938" s="1" t="str">
        <f>HYPERLINK("http://www.chemspider.com/Chemical-Structure.969.html","969")</f>
        <v>969</v>
      </c>
      <c r="C938" s="1" t="str">
        <f>HYPERLINK("https://www.ebi.ac.uk/chembl/compound/inspect/CHEMBL25080","CHEMBL25080")</f>
        <v>CHEMBL25080</v>
      </c>
      <c r="D938" t="s">
        <v>1</v>
      </c>
      <c r="E938" t="s">
        <v>2195</v>
      </c>
      <c r="F938" t="s">
        <v>2196</v>
      </c>
      <c r="G938">
        <v>0</v>
      </c>
      <c r="H938" s="4">
        <v>10</v>
      </c>
    </row>
    <row r="939" spans="1:8" x14ac:dyDescent="0.2">
      <c r="A939" t="s">
        <v>2197</v>
      </c>
      <c r="B939" s="1" t="str">
        <f>HYPERLINK("http://www.chemspider.com/Chemical-Structure.5325.html","5325")</f>
        <v>5325</v>
      </c>
      <c r="C939" s="1" t="str">
        <f>HYPERLINK("https://www.ebi.ac.uk/chembl/compound/inspect/CHEMBL292500","CHEMBL292500")</f>
        <v>CHEMBL292500</v>
      </c>
      <c r="D939" t="s">
        <v>1</v>
      </c>
      <c r="F939" t="s">
        <v>2198</v>
      </c>
      <c r="G939">
        <v>0</v>
      </c>
      <c r="H939" s="4">
        <v>9.9</v>
      </c>
    </row>
    <row r="940" spans="1:8" x14ac:dyDescent="0.2">
      <c r="A940" t="s">
        <v>2199</v>
      </c>
      <c r="B940" s="1" t="str">
        <f>HYPERLINK("http://www.chemspider.com/Chemical-Structure.3694.html","3694")</f>
        <v>3694</v>
      </c>
      <c r="C940" s="1" t="str">
        <f>HYPERLINK("https://www.ebi.ac.uk/chembl/compound/inspect/CHEMBL469","CHEMBL469")</f>
        <v>CHEMBL469</v>
      </c>
      <c r="D940" t="s">
        <v>9</v>
      </c>
      <c r="E940" t="s">
        <v>2200</v>
      </c>
      <c r="F940" t="s">
        <v>2201</v>
      </c>
      <c r="G940">
        <v>534</v>
      </c>
      <c r="H940" s="4">
        <v>10</v>
      </c>
    </row>
    <row r="941" spans="1:8" x14ac:dyDescent="0.2">
      <c r="A941" t="s">
        <v>2202</v>
      </c>
      <c r="B941" s="1" t="str">
        <f>HYPERLINK("http://www.chemspider.com/Chemical-Structure.2006319.html","2006319")</f>
        <v>2006319</v>
      </c>
      <c r="C941" s="1" t="str">
        <f>HYPERLINK("https://www.ebi.ac.uk/chembl/compound/inspect/CHEMBL1256620","CHEMBL1256620")</f>
        <v>CHEMBL1256620</v>
      </c>
      <c r="D941" t="s">
        <v>1</v>
      </c>
      <c r="E941" t="s">
        <v>2203</v>
      </c>
      <c r="F941" t="s">
        <v>2204</v>
      </c>
      <c r="G941">
        <v>7747</v>
      </c>
      <c r="H941" s="4">
        <v>10</v>
      </c>
    </row>
    <row r="942" spans="1:8" x14ac:dyDescent="0.2">
      <c r="A942" t="s">
        <v>2205</v>
      </c>
      <c r="B942" s="1" t="str">
        <f>HYPERLINK("http://www.chemspider.com/Chemical-Structure.3328.html","3328")</f>
        <v>3328</v>
      </c>
      <c r="C942" s="1" t="str">
        <f>HYPERLINK("https://www.ebi.ac.uk/chembl/compound/inspect/CHEMBL940","CHEMBL940")</f>
        <v>CHEMBL940</v>
      </c>
      <c r="D942" t="s">
        <v>9</v>
      </c>
      <c r="E942" t="s">
        <v>2206</v>
      </c>
      <c r="F942" t="s">
        <v>2207</v>
      </c>
      <c r="G942">
        <v>590</v>
      </c>
      <c r="H942" s="4">
        <v>10</v>
      </c>
    </row>
    <row r="943" spans="1:8" x14ac:dyDescent="0.2">
      <c r="A943" t="s">
        <v>2208</v>
      </c>
      <c r="B943" s="1" t="str">
        <f>HYPERLINK("http://www.chemspider.com/Chemical-Structure.259.html","259")</f>
        <v>259</v>
      </c>
      <c r="C943" s="1" t="str">
        <f>HYPERLINK("https://www.ebi.ac.uk/chembl/compound/inspect/CHEMBL14227","CHEMBL14227")</f>
        <v>CHEMBL14227</v>
      </c>
      <c r="D943" t="s">
        <v>1</v>
      </c>
      <c r="E943" t="s">
        <v>2209</v>
      </c>
      <c r="F943" t="s">
        <v>2210</v>
      </c>
      <c r="G943">
        <v>7748</v>
      </c>
      <c r="H943" s="4">
        <v>50</v>
      </c>
    </row>
    <row r="944" spans="1:8" x14ac:dyDescent="0.2">
      <c r="A944" t="s">
        <v>2211</v>
      </c>
      <c r="B944" s="1" t="str">
        <f>HYPERLINK("http://www.chemspider.com/Chemical-Structure.134.html","134")</f>
        <v>134</v>
      </c>
      <c r="C944" s="1" t="str">
        <f>HYPERLINK("https://www.ebi.ac.uk/chembl/compound/inspect/CHEMBL601","CHEMBL601")</f>
        <v>CHEMBL601</v>
      </c>
      <c r="D944" t="s">
        <v>9</v>
      </c>
      <c r="E944" t="s">
        <v>2212</v>
      </c>
      <c r="F944" t="s">
        <v>2213</v>
      </c>
      <c r="G944">
        <v>7749</v>
      </c>
      <c r="H944" s="4">
        <v>10</v>
      </c>
    </row>
    <row r="945" spans="1:8" x14ac:dyDescent="0.2">
      <c r="A945" t="s">
        <v>2214</v>
      </c>
      <c r="B945" s="1" t="str">
        <f>HYPERLINK("http://www.chemspider.com/Chemical-Structure.14593.html","14593")</f>
        <v>14593</v>
      </c>
      <c r="C945" s="1" t="str">
        <f>HYPERLINK("https://www.ebi.ac.uk/chembl/compound/inspect/CHEMBL2164243","CHEMBL2164243")</f>
        <v>CHEMBL2164243</v>
      </c>
      <c r="D945" t="s">
        <v>1</v>
      </c>
      <c r="F945" t="s">
        <v>2215</v>
      </c>
      <c r="G945">
        <v>0</v>
      </c>
      <c r="H945" s="4">
        <v>50</v>
      </c>
    </row>
    <row r="946" spans="1:8" x14ac:dyDescent="0.2">
      <c r="A946" t="s">
        <v>2216</v>
      </c>
      <c r="B946" s="1" t="str">
        <f>HYPERLINK("http://www.chemspider.com/Chemical-Structure.1078.html","1078")</f>
        <v>1078</v>
      </c>
      <c r="C946" s="1" t="str">
        <f>HYPERLINK("https://www.ebi.ac.uk/chembl/compound/inspect/CHEMBL576","CHEMBL576")</f>
        <v>CHEMBL576</v>
      </c>
      <c r="D946" t="s">
        <v>1</v>
      </c>
      <c r="E946" t="s">
        <v>2217</v>
      </c>
      <c r="F946" t="s">
        <v>2218</v>
      </c>
      <c r="G946">
        <v>7751</v>
      </c>
      <c r="H946" s="4">
        <v>25</v>
      </c>
    </row>
    <row r="947" spans="1:8" x14ac:dyDescent="0.2">
      <c r="A947" t="s">
        <v>2219</v>
      </c>
      <c r="B947" s="1" t="str">
        <f>HYPERLINK("http://www.chemspider.com/Chemical-Structure.62903.html","62903")</f>
        <v>62903</v>
      </c>
      <c r="G947">
        <v>0</v>
      </c>
      <c r="H947" s="4">
        <v>10</v>
      </c>
    </row>
    <row r="948" spans="1:8" x14ac:dyDescent="0.2">
      <c r="A948" t="s">
        <v>2220</v>
      </c>
      <c r="B948" s="1" t="str">
        <f>HYPERLINK("http://www.chemspider.com/Chemical-Structure.2179.html","2179")</f>
        <v>2179</v>
      </c>
      <c r="C948" s="1" t="str">
        <f>HYPERLINK("https://www.ebi.ac.uk/chembl/compound/inspect/CHEMBL1238","CHEMBL1238")</f>
        <v>CHEMBL1238</v>
      </c>
      <c r="D948" t="s">
        <v>9</v>
      </c>
      <c r="E948" t="s">
        <v>2221</v>
      </c>
      <c r="F948" t="s">
        <v>2222</v>
      </c>
      <c r="G948">
        <v>7752</v>
      </c>
      <c r="H948" s="4">
        <v>10</v>
      </c>
    </row>
    <row r="949" spans="1:8" x14ac:dyDescent="0.2">
      <c r="A949" t="s">
        <v>2223</v>
      </c>
      <c r="B949" s="1" t="str">
        <f>HYPERLINK("http://www.chemspider.com/Chemical-Structure.4444105.html","4444105")</f>
        <v>4444105</v>
      </c>
      <c r="C949" s="1" t="str">
        <f>HYPERLINK("https://www.ebi.ac.uk/chembl/compound/inspect/CHEMBL267476","CHEMBL267476")</f>
        <v>CHEMBL267476</v>
      </c>
      <c r="D949" t="s">
        <v>1</v>
      </c>
      <c r="E949" t="s">
        <v>2224</v>
      </c>
      <c r="F949" t="s">
        <v>2225</v>
      </c>
      <c r="G949">
        <v>7761</v>
      </c>
      <c r="H949" s="4">
        <v>10</v>
      </c>
    </row>
    <row r="950" spans="1:8" x14ac:dyDescent="0.2">
      <c r="A950" t="s">
        <v>2226</v>
      </c>
      <c r="B950" s="1" t="str">
        <f>HYPERLINK("http://www.chemspider.com/Chemical-Structure.4444437.html","4444437")</f>
        <v>4444437</v>
      </c>
      <c r="C950" s="1" t="str">
        <f>HYPERLINK("https://www.ebi.ac.uk/chembl/compound/inspect/CHEMBL8739","CHEMBL8739")</f>
        <v>CHEMBL8739</v>
      </c>
      <c r="D950" t="s">
        <v>1</v>
      </c>
      <c r="E950" t="s">
        <v>2227</v>
      </c>
      <c r="F950" t="s">
        <v>2228</v>
      </c>
      <c r="G950">
        <v>7756</v>
      </c>
      <c r="H950" s="4">
        <v>10</v>
      </c>
    </row>
    <row r="951" spans="1:8" x14ac:dyDescent="0.2">
      <c r="A951" t="s">
        <v>2229</v>
      </c>
      <c r="B951" s="1" t="str">
        <f>HYPERLINK("http://www.chemspider.com/Chemical-Structure.553123.html","553123")</f>
        <v>553123</v>
      </c>
      <c r="C951" s="1" t="str">
        <f>HYPERLINK("https://www.ebi.ac.uk/chembl/compound/inspect/CHEMBL460657","CHEMBL460657")</f>
        <v>CHEMBL460657</v>
      </c>
      <c r="D951" t="s">
        <v>1</v>
      </c>
      <c r="E951" t="s">
        <v>2230</v>
      </c>
      <c r="F951" t="s">
        <v>2231</v>
      </c>
      <c r="G951">
        <v>7755</v>
      </c>
      <c r="H951" s="4">
        <v>10</v>
      </c>
    </row>
    <row r="952" spans="1:8" x14ac:dyDescent="0.2">
      <c r="A952" t="s">
        <v>2232</v>
      </c>
      <c r="B952" s="1" t="str">
        <f>HYPERLINK("http://www.chemspider.com/Chemical-Structure.116.html","116")</f>
        <v>116</v>
      </c>
      <c r="C952" s="1" t="str">
        <f>HYPERLINK("https://www.ebi.ac.uk/chembl/compound/inspect/CHEMBL96","CHEMBL96")</f>
        <v>CHEMBL96</v>
      </c>
      <c r="D952" t="s">
        <v>1</v>
      </c>
      <c r="E952" t="s">
        <v>2233</v>
      </c>
      <c r="F952" t="s">
        <v>2234</v>
      </c>
      <c r="G952">
        <v>7756</v>
      </c>
      <c r="H952" s="4">
        <v>10</v>
      </c>
    </row>
    <row r="953" spans="1:8" x14ac:dyDescent="0.2">
      <c r="A953" t="s">
        <v>2235</v>
      </c>
      <c r="B953" s="1" t="str">
        <f>HYPERLINK("http://www.chemspider.com/Chemical-Structure.8298.html","8298")</f>
        <v>8298</v>
      </c>
      <c r="C953" s="1" t="str">
        <f>HYPERLINK("https://www.ebi.ac.uk/chembl/compound/inspect/CHEMBL582878","CHEMBL582878")</f>
        <v>CHEMBL582878</v>
      </c>
      <c r="D953" t="s">
        <v>1</v>
      </c>
      <c r="F953" t="s">
        <v>2236</v>
      </c>
      <c r="G953">
        <v>0</v>
      </c>
      <c r="H953" s="4">
        <v>10</v>
      </c>
    </row>
    <row r="954" spans="1:8" x14ac:dyDescent="0.2">
      <c r="A954" t="s">
        <v>2237</v>
      </c>
      <c r="B954" s="1" t="str">
        <f>HYPERLINK("http://www.chemspider.com/Chemical-Structure.4611.html","4611")</f>
        <v>4611</v>
      </c>
      <c r="C954" s="1" t="str">
        <f>HYPERLINK("https://www.ebi.ac.uk/chembl/compound/inspect/CHEMBL1469","CHEMBL1469")</f>
        <v>CHEMBL1469</v>
      </c>
      <c r="D954" t="s">
        <v>9</v>
      </c>
      <c r="E954" t="s">
        <v>2238</v>
      </c>
      <c r="F954" t="s">
        <v>2239</v>
      </c>
      <c r="G954">
        <v>7758</v>
      </c>
      <c r="H954" s="4">
        <v>10</v>
      </c>
    </row>
    <row r="955" spans="1:8" x14ac:dyDescent="0.2">
      <c r="A955" t="s">
        <v>2240</v>
      </c>
      <c r="B955" s="1" t="str">
        <f>HYPERLINK("http://www.chemspider.com/Chemical-Structure.25051988.html","25051988")</f>
        <v>25051988</v>
      </c>
      <c r="C955" s="1" t="str">
        <f>HYPERLINK("https://www.ebi.ac.uk/chembl/compound/inspect/CHEMBL1229308","CHEMBL1229308")</f>
        <v>CHEMBL1229308</v>
      </c>
      <c r="D955" t="s">
        <v>1</v>
      </c>
      <c r="G955">
        <v>0</v>
      </c>
      <c r="H955" s="4">
        <v>10</v>
      </c>
    </row>
    <row r="956" spans="1:8" x14ac:dyDescent="0.2">
      <c r="A956" t="s">
        <v>2241</v>
      </c>
      <c r="B956" s="1" t="str">
        <f>HYPERLINK("http://www.chemspider.com/Chemical-Structure.28467540.html","28467540")</f>
        <v>28467540</v>
      </c>
      <c r="G956">
        <v>0</v>
      </c>
      <c r="H956" s="4">
        <v>50</v>
      </c>
    </row>
    <row r="957" spans="1:8" x14ac:dyDescent="0.2">
      <c r="A957" t="s">
        <v>2242</v>
      </c>
      <c r="B957" s="1" t="str">
        <f>HYPERLINK("http://www.chemspider.com/Chemical-Structure.21814.html","21814")</f>
        <v>21814</v>
      </c>
      <c r="C957" s="1" t="str">
        <f>HYPERLINK("https://www.ebi.ac.uk/chembl/compound/inspect/CHEMBL76232","CHEMBL76232")</f>
        <v>CHEMBL76232</v>
      </c>
      <c r="D957" t="s">
        <v>1</v>
      </c>
      <c r="E957" t="s">
        <v>2243</v>
      </c>
      <c r="F957" t="s">
        <v>2244</v>
      </c>
      <c r="G957">
        <v>0</v>
      </c>
      <c r="H957" s="4">
        <v>10</v>
      </c>
    </row>
    <row r="958" spans="1:8" x14ac:dyDescent="0.2">
      <c r="A958" t="s">
        <v>2245</v>
      </c>
      <c r="B958" s="1" t="str">
        <f>HYPERLINK("http://www.chemspider.com/Chemical-Structure.108351.html","108351")</f>
        <v>108351</v>
      </c>
      <c r="C958" s="1" t="str">
        <f>HYPERLINK("https://www.ebi.ac.uk/chembl/compound/inspect/CHEMBL1201780","CHEMBL1201780")</f>
        <v>CHEMBL1201780</v>
      </c>
      <c r="D958" t="s">
        <v>9</v>
      </c>
      <c r="E958" t="s">
        <v>2246</v>
      </c>
      <c r="F958" t="s">
        <v>2247</v>
      </c>
      <c r="G958">
        <v>7760</v>
      </c>
      <c r="H958" s="4">
        <v>10</v>
      </c>
    </row>
    <row r="959" spans="1:8" x14ac:dyDescent="0.2">
      <c r="A959" t="s">
        <v>2248</v>
      </c>
      <c r="B959" s="1" t="str">
        <f>HYPERLINK("http://www.chemspider.com/Chemical-Structure.112728.html","112728")</f>
        <v>112728</v>
      </c>
      <c r="C959" s="1" t="str">
        <f>HYPERLINK("https://www.ebi.ac.uk/chembl/compound/inspect/CHEMBL34259","CHEMBL34259")</f>
        <v>CHEMBL34259</v>
      </c>
      <c r="D959" t="s">
        <v>9</v>
      </c>
      <c r="E959" t="s">
        <v>2249</v>
      </c>
      <c r="F959" t="s">
        <v>2250</v>
      </c>
      <c r="G959">
        <v>2374</v>
      </c>
      <c r="H959" s="4">
        <v>10.00012413</v>
      </c>
    </row>
    <row r="960" spans="1:8" x14ac:dyDescent="0.2">
      <c r="A960" t="s">
        <v>2251</v>
      </c>
      <c r="B960" s="1" t="str">
        <f>HYPERLINK("http://www.chemspider.com/Chemical-Structure.3613.html","3613")</f>
        <v>3613</v>
      </c>
      <c r="C960" s="1" t="str">
        <f>HYPERLINK("https://www.ebi.ac.uk/chembl/compound/inspect/CHEMBL207225","CHEMBL207225")</f>
        <v>CHEMBL207225</v>
      </c>
      <c r="D960" t="s">
        <v>1</v>
      </c>
      <c r="E960" t="s">
        <v>2252</v>
      </c>
      <c r="F960" t="s">
        <v>2253</v>
      </c>
      <c r="G960">
        <v>7761</v>
      </c>
      <c r="H960" s="4" t="s">
        <v>3369</v>
      </c>
    </row>
    <row r="961" spans="1:8" x14ac:dyDescent="0.2">
      <c r="A961" t="s">
        <v>2254</v>
      </c>
      <c r="B961" s="1" t="str">
        <f>HYPERLINK("http://www.chemspider.com/Chemical-Structure.296914.html","296914")</f>
        <v>296914</v>
      </c>
      <c r="G961">
        <v>0</v>
      </c>
      <c r="H961" s="4">
        <v>10</v>
      </c>
    </row>
    <row r="962" spans="1:8" x14ac:dyDescent="0.2">
      <c r="A962" t="s">
        <v>2255</v>
      </c>
      <c r="B962" s="1" t="str">
        <f>HYPERLINK("http://www.chemspider.com/Chemical-Structure.392201.html","392201")</f>
        <v>392201</v>
      </c>
      <c r="C962" s="1" t="str">
        <f>HYPERLINK("https://www.ebi.ac.uk/chembl/compound/inspect/CHEMBL153658","CHEMBL153658")</f>
        <v>CHEMBL153658</v>
      </c>
      <c r="D962" t="s">
        <v>1</v>
      </c>
      <c r="F962" t="s">
        <v>2256</v>
      </c>
      <c r="G962">
        <v>0</v>
      </c>
      <c r="H962" s="4">
        <v>10</v>
      </c>
    </row>
    <row r="963" spans="1:8" x14ac:dyDescent="0.2">
      <c r="A963" t="s">
        <v>2257</v>
      </c>
      <c r="B963" s="1" t="str">
        <f>HYPERLINK("http://www.chemspider.com/Chemical-Structure.1941.html","1941")</f>
        <v>1941</v>
      </c>
      <c r="C963" s="1" t="str">
        <f>HYPERLINK("https://www.ebi.ac.uk/chembl/compound/inspect/CHEMBL1885632","CHEMBL1885632")</f>
        <v>CHEMBL1885632</v>
      </c>
      <c r="D963" t="s">
        <v>1</v>
      </c>
      <c r="E963" t="s">
        <v>2258</v>
      </c>
      <c r="F963" t="s">
        <v>2259</v>
      </c>
      <c r="G963">
        <v>0</v>
      </c>
      <c r="H963" s="4">
        <v>10</v>
      </c>
    </row>
    <row r="964" spans="1:8" x14ac:dyDescent="0.2">
      <c r="A964" t="s">
        <v>2260</v>
      </c>
      <c r="B964" s="1" t="str">
        <f>HYPERLINK("http://www.chemspider.com/Chemical-Structure.54833.html","54833")</f>
        <v>54833</v>
      </c>
      <c r="C964" s="1" t="str">
        <f>HYPERLINK("https://www.ebi.ac.uk/chembl/compound/inspect/CHEMBL1069","CHEMBL1069")</f>
        <v>CHEMBL1069</v>
      </c>
      <c r="D964" t="s">
        <v>9</v>
      </c>
      <c r="E964" t="s">
        <v>2261</v>
      </c>
      <c r="F964" t="s">
        <v>2262</v>
      </c>
      <c r="G964">
        <v>797</v>
      </c>
      <c r="H964" s="4">
        <v>10</v>
      </c>
    </row>
    <row r="965" spans="1:8" x14ac:dyDescent="0.2">
      <c r="A965" t="s">
        <v>2263</v>
      </c>
      <c r="B965" s="1" t="str">
        <f>HYPERLINK("http://www.chemspider.com/Chemical-Structure.5746.html","5746")</f>
        <v>5746</v>
      </c>
      <c r="C965" s="1" t="str">
        <f>HYPERLINK("https://www.ebi.ac.uk/chembl/compound/inspect/CHEMBL930","CHEMBL930")</f>
        <v>CHEMBL930</v>
      </c>
      <c r="D965" t="s">
        <v>9</v>
      </c>
      <c r="E965" t="s">
        <v>2264</v>
      </c>
      <c r="F965" t="s">
        <v>2265</v>
      </c>
      <c r="G965">
        <v>190</v>
      </c>
      <c r="H965" s="4">
        <v>10</v>
      </c>
    </row>
    <row r="966" spans="1:8" x14ac:dyDescent="0.2">
      <c r="A966" t="s">
        <v>2266</v>
      </c>
      <c r="B966" s="1" t="str">
        <f>HYPERLINK("http://www.chemspider.com/Chemical-Structure.117259.html","117259")</f>
        <v>117259</v>
      </c>
      <c r="C966" s="1" t="str">
        <f>HYPERLINK("https://www.ebi.ac.uk/chembl/compound/inspect/CHEMBL256147","CHEMBL256147")</f>
        <v>CHEMBL256147</v>
      </c>
      <c r="D966" t="s">
        <v>1</v>
      </c>
      <c r="E966" t="s">
        <v>2267</v>
      </c>
      <c r="F966" t="s">
        <v>2268</v>
      </c>
      <c r="G966">
        <v>0</v>
      </c>
      <c r="H966" s="4">
        <v>9.5</v>
      </c>
    </row>
    <row r="967" spans="1:8" x14ac:dyDescent="0.2">
      <c r="A967" t="s">
        <v>2269</v>
      </c>
      <c r="B967" s="1" t="str">
        <f>HYPERLINK("http://www.chemspider.com/Chemical-Structure.9367.html","9367")</f>
        <v>9367</v>
      </c>
      <c r="C967" s="1" t="str">
        <f>HYPERLINK("https://www.ebi.ac.uk/chembl/compound/inspect/CHEMBL444814","CHEMBL444814")</f>
        <v>CHEMBL444814</v>
      </c>
      <c r="D967" t="s">
        <v>1</v>
      </c>
      <c r="E967" t="s">
        <v>2270</v>
      </c>
      <c r="F967" t="s">
        <v>2271</v>
      </c>
      <c r="G967">
        <v>26</v>
      </c>
      <c r="H967" s="4">
        <v>10</v>
      </c>
    </row>
    <row r="968" spans="1:8" x14ac:dyDescent="0.2">
      <c r="A968" t="s">
        <v>2272</v>
      </c>
      <c r="B968" s="1" t="str">
        <f>HYPERLINK("http://www.chemspider.com/Chemical-Structure.6066.html","6066")</f>
        <v>6066</v>
      </c>
      <c r="C968" s="1" t="str">
        <f>HYPERLINK("https://www.ebi.ac.uk/chembl/compound/inspect/CHEMBL54976","CHEMBL54976")</f>
        <v>CHEMBL54976</v>
      </c>
      <c r="D968" t="s">
        <v>1</v>
      </c>
      <c r="E968" t="s">
        <v>2273</v>
      </c>
      <c r="F968" t="s">
        <v>2274</v>
      </c>
      <c r="G968">
        <v>41</v>
      </c>
      <c r="H968" s="4">
        <v>10</v>
      </c>
    </row>
    <row r="969" spans="1:8" x14ac:dyDescent="0.2">
      <c r="A969" t="s">
        <v>2275</v>
      </c>
      <c r="B969" s="1" t="str">
        <f>HYPERLINK("http://www.chemspider.com/Chemical-Structure.65145.html","65145")</f>
        <v>65145</v>
      </c>
      <c r="C969" s="1" t="str">
        <f>HYPERLINK("https://www.ebi.ac.uk/chembl/compound/inspect/CHEMBL29292","CHEMBL29292")</f>
        <v>CHEMBL29292</v>
      </c>
      <c r="D969" t="s">
        <v>1</v>
      </c>
      <c r="E969" t="s">
        <v>2276</v>
      </c>
      <c r="F969" t="s">
        <v>2277</v>
      </c>
      <c r="G969">
        <v>0</v>
      </c>
      <c r="H969" s="4">
        <v>10</v>
      </c>
    </row>
    <row r="970" spans="1:8" x14ac:dyDescent="0.2">
      <c r="A970" t="s">
        <v>2278</v>
      </c>
      <c r="B970" s="1" t="str">
        <f>HYPERLINK("http://www.chemspider.com/Chemical-Structure.4575429.html","4575429")</f>
        <v>4575429</v>
      </c>
      <c r="C970" s="1" t="str">
        <f>HYPERLINK("https://www.ebi.ac.uk/chembl/compound/inspect/CHEMBL577","CHEMBL577")</f>
        <v>CHEMBL577</v>
      </c>
      <c r="D970" t="s">
        <v>9</v>
      </c>
      <c r="E970" t="s">
        <v>2279</v>
      </c>
      <c r="F970" t="s">
        <v>2280</v>
      </c>
      <c r="G970">
        <v>68</v>
      </c>
      <c r="H970" s="4">
        <v>9.9990863989999994</v>
      </c>
    </row>
    <row r="971" spans="1:8" x14ac:dyDescent="0.2">
      <c r="A971" t="s">
        <v>2281</v>
      </c>
      <c r="B971" s="1" t="str">
        <f>HYPERLINK("http://www.chemspider.com/Chemical-Structure.15628.html","15628")</f>
        <v>15628</v>
      </c>
      <c r="C971" s="1" t="str">
        <f>HYPERLINK("https://www.ebi.ac.uk/chembl/compound/inspect/CHEMBL1165239","CHEMBL1165239")</f>
        <v>CHEMBL1165239</v>
      </c>
      <c r="D971" t="s">
        <v>1</v>
      </c>
      <c r="F971" t="s">
        <v>2282</v>
      </c>
      <c r="G971">
        <v>0</v>
      </c>
      <c r="H971" s="4">
        <v>10</v>
      </c>
    </row>
    <row r="972" spans="1:8" x14ac:dyDescent="0.2">
      <c r="A972" t="s">
        <v>2283</v>
      </c>
      <c r="B972" s="1" t="str">
        <f>HYPERLINK("http://www.chemspider.com/Chemical-Structure.128566.html","128566")</f>
        <v>128566</v>
      </c>
      <c r="C972" s="1" t="str">
        <f>HYPERLINK("https://www.ebi.ac.uk/chembl/compound/inspect/CHEMBL54922","CHEMBL54922")</f>
        <v>CHEMBL54922</v>
      </c>
      <c r="D972" t="s">
        <v>1</v>
      </c>
      <c r="E972" t="s">
        <v>2284</v>
      </c>
      <c r="F972" t="s">
        <v>2285</v>
      </c>
      <c r="G972">
        <v>2</v>
      </c>
      <c r="H972" s="4">
        <v>10</v>
      </c>
    </row>
    <row r="973" spans="1:8" x14ac:dyDescent="0.2">
      <c r="A973" t="s">
        <v>2286</v>
      </c>
      <c r="B973" s="1" t="str">
        <f>HYPERLINK("http://www.chemspider.com/Chemical-Structure.4925342.html","4925342")</f>
        <v>4925342</v>
      </c>
      <c r="G973">
        <v>0</v>
      </c>
      <c r="H973" s="4">
        <v>10</v>
      </c>
    </row>
    <row r="974" spans="1:8" x14ac:dyDescent="0.2">
      <c r="A974" t="s">
        <v>2287</v>
      </c>
      <c r="B974" s="1" t="str">
        <f>HYPERLINK("http://www.chemspider.com/Chemical-Structure.4445594.html","4445594")</f>
        <v>4445594</v>
      </c>
      <c r="C974" s="1" t="str">
        <f>HYPERLINK("https://www.ebi.ac.uk/chembl/compound/inspect/CHEMBL11662","CHEMBL11662")</f>
        <v>CHEMBL11662</v>
      </c>
      <c r="D974" t="s">
        <v>1</v>
      </c>
      <c r="E974" t="s">
        <v>2288</v>
      </c>
      <c r="F974" t="s">
        <v>2289</v>
      </c>
      <c r="G974">
        <v>3</v>
      </c>
      <c r="H974" s="4">
        <v>10</v>
      </c>
    </row>
    <row r="975" spans="1:8" x14ac:dyDescent="0.2">
      <c r="A975" t="s">
        <v>2290</v>
      </c>
      <c r="B975" s="1" t="str">
        <f>HYPERLINK("http://www.chemspider.com/Chemical-Structure.392447.html","392447")</f>
        <v>392447</v>
      </c>
      <c r="C975" s="1" t="str">
        <f>HYPERLINK("https://www.ebi.ac.uk/chembl/compound/inspect/CHEMBL27246","CHEMBL27246")</f>
        <v>CHEMBL27246</v>
      </c>
      <c r="D975" t="s">
        <v>1</v>
      </c>
      <c r="E975" t="s">
        <v>2291</v>
      </c>
      <c r="F975" t="s">
        <v>2292</v>
      </c>
      <c r="G975">
        <v>7764</v>
      </c>
      <c r="H975" s="4">
        <v>10</v>
      </c>
    </row>
    <row r="976" spans="1:8" x14ac:dyDescent="0.2">
      <c r="A976" t="s">
        <v>2293</v>
      </c>
      <c r="B976" s="1" t="str">
        <f>HYPERLINK("http://www.chemspider.com/Chemical-Structure.643824.html","643824")</f>
        <v>643824</v>
      </c>
      <c r="C976" s="1" t="str">
        <f>HYPERLINK("https://www.ebi.ac.uk/chembl/compound/inspect/CHEMBL1236602","CHEMBL1236602")</f>
        <v>CHEMBL1236602</v>
      </c>
      <c r="D976" t="s">
        <v>1</v>
      </c>
      <c r="F976" t="s">
        <v>2294</v>
      </c>
      <c r="G976">
        <v>0</v>
      </c>
      <c r="H976" s="4">
        <v>10</v>
      </c>
    </row>
    <row r="977" spans="1:8" x14ac:dyDescent="0.2">
      <c r="A977" t="s">
        <v>2295</v>
      </c>
      <c r="B977" s="1" t="str">
        <f>HYPERLINK("http://www.chemspider.com/Chemical-Structure.59391.html","59391")</f>
        <v>59391</v>
      </c>
      <c r="C977" s="1" t="str">
        <f>HYPERLINK("https://www.ebi.ac.uk/chembl/compound/inspect/CHEMBL1017","CHEMBL1017")</f>
        <v>CHEMBL1017</v>
      </c>
      <c r="D977" t="s">
        <v>9</v>
      </c>
      <c r="E977" t="s">
        <v>2296</v>
      </c>
      <c r="F977" t="s">
        <v>2297</v>
      </c>
      <c r="G977">
        <v>407</v>
      </c>
      <c r="H977" s="4">
        <v>10</v>
      </c>
    </row>
    <row r="978" spans="1:8" x14ac:dyDescent="0.2">
      <c r="A978" t="s">
        <v>2298</v>
      </c>
      <c r="B978" s="1" t="str">
        <f>HYPERLINK("http://www.chemspider.com/Chemical-Structure.3904.html","3904")</f>
        <v>3904</v>
      </c>
      <c r="C978" s="1" t="str">
        <f>HYPERLINK("https://www.ebi.ac.uk/chembl/compound/inspect/CHEMBL686","CHEMBL686")</f>
        <v>CHEMBL686</v>
      </c>
      <c r="D978" t="s">
        <v>9</v>
      </c>
      <c r="E978" t="s">
        <v>2299</v>
      </c>
      <c r="F978" t="s">
        <v>2300</v>
      </c>
      <c r="G978">
        <v>7765</v>
      </c>
      <c r="H978" s="4">
        <v>10</v>
      </c>
    </row>
    <row r="979" spans="1:8" x14ac:dyDescent="0.2">
      <c r="A979" t="s">
        <v>2301</v>
      </c>
      <c r="B979" s="1" t="str">
        <f>HYPERLINK("http://www.chemspider.com/Chemical-Structure.913.html","913")</f>
        <v>913</v>
      </c>
      <c r="C979" s="1" t="str">
        <f>HYPERLINK("https://www.ebi.ac.uk/chembl/compound/inspect/CHEMBL573","CHEMBL573")</f>
        <v>CHEMBL573</v>
      </c>
      <c r="D979" t="s">
        <v>9</v>
      </c>
      <c r="E979" t="s">
        <v>2302</v>
      </c>
      <c r="F979" t="s">
        <v>2303</v>
      </c>
      <c r="G979">
        <v>355</v>
      </c>
      <c r="H979" s="4">
        <v>10</v>
      </c>
    </row>
    <row r="980" spans="1:8" x14ac:dyDescent="0.2">
      <c r="A980" t="s">
        <v>2304</v>
      </c>
      <c r="B980" s="1" t="str">
        <f>HYPERLINK("http://www.chemspider.com/Chemical-Structure.9940.html","9940")</f>
        <v>9940</v>
      </c>
      <c r="C980" s="1" t="str">
        <f>HYPERLINK("https://www.ebi.ac.uk/chembl/compound/inspect/CHEMBL284104","CHEMBL284104")</f>
        <v>CHEMBL284104</v>
      </c>
      <c r="D980" t="s">
        <v>1</v>
      </c>
      <c r="E980" t="s">
        <v>2305</v>
      </c>
      <c r="F980" t="s">
        <v>2306</v>
      </c>
      <c r="G980">
        <v>7766</v>
      </c>
      <c r="H980" s="4">
        <v>10</v>
      </c>
    </row>
    <row r="981" spans="1:8" x14ac:dyDescent="0.2">
      <c r="A981" t="s">
        <v>2307</v>
      </c>
      <c r="B981" s="1" t="str">
        <f>HYPERLINK("http://www.chemspider.com/Chemical-Structure.3324.html","3324")</f>
        <v>3324</v>
      </c>
      <c r="C981" s="1" t="str">
        <f>HYPERLINK("https://www.ebi.ac.uk/chembl/compound/inspect/CHEMBL24510","CHEMBL24510")</f>
        <v>CHEMBL24510</v>
      </c>
      <c r="D981" t="s">
        <v>1</v>
      </c>
      <c r="E981" t="s">
        <v>2308</v>
      </c>
      <c r="F981" t="s">
        <v>2309</v>
      </c>
      <c r="G981">
        <v>7767</v>
      </c>
      <c r="H981" s="4">
        <v>10</v>
      </c>
    </row>
    <row r="982" spans="1:8" x14ac:dyDescent="0.2">
      <c r="A982" t="s">
        <v>2310</v>
      </c>
      <c r="B982" s="1" t="str">
        <f>HYPERLINK("http://www.chemspider.com/Chemical-Structure.10595814.html","10595814")</f>
        <v>10595814</v>
      </c>
      <c r="G982">
        <v>0</v>
      </c>
      <c r="H982" s="4">
        <v>20</v>
      </c>
    </row>
    <row r="983" spans="1:8" x14ac:dyDescent="0.2">
      <c r="A983" t="s">
        <v>2311</v>
      </c>
      <c r="B983" s="1" t="str">
        <f>HYPERLINK("http://www.chemspider.com/Chemical-Structure.1018.html","1018")</f>
        <v>1018</v>
      </c>
      <c r="C983" s="1" t="str">
        <f>HYPERLINK("https://www.ebi.ac.uk/chembl/compound/inspect/CHEMBL613","CHEMBL613")</f>
        <v>CHEMBL613</v>
      </c>
      <c r="D983" t="s">
        <v>1</v>
      </c>
      <c r="E983" t="s">
        <v>2312</v>
      </c>
      <c r="F983" t="s">
        <v>2313</v>
      </c>
      <c r="G983">
        <v>7768</v>
      </c>
      <c r="H983" s="4">
        <v>10</v>
      </c>
    </row>
    <row r="984" spans="1:8" x14ac:dyDescent="0.2">
      <c r="A984" t="s">
        <v>2314</v>
      </c>
      <c r="B984" s="1" t="str">
        <f>HYPERLINK("http://www.chemspider.com/Chemical-Structure.4516.html","4516")</f>
        <v>4516</v>
      </c>
      <c r="C984" s="1" t="str">
        <f>HYPERLINK("https://www.ebi.ac.uk/chembl/compound/inspect/CHEMBL1371937","CHEMBL1371937")</f>
        <v>CHEMBL1371937</v>
      </c>
      <c r="D984" t="s">
        <v>1</v>
      </c>
      <c r="E984" t="s">
        <v>2315</v>
      </c>
      <c r="F984" t="s">
        <v>2316</v>
      </c>
      <c r="G984">
        <v>10</v>
      </c>
      <c r="H984" s="4">
        <v>10</v>
      </c>
    </row>
    <row r="985" spans="1:8" x14ac:dyDescent="0.2">
      <c r="A985" t="s">
        <v>2317</v>
      </c>
      <c r="B985" s="1" t="str">
        <f>HYPERLINK("http://www.chemspider.com/Chemical-Structure.139674.html","139674")</f>
        <v>139674</v>
      </c>
      <c r="C985" s="1" t="str">
        <f>HYPERLINK("https://www.ebi.ac.uk/chembl/compound/inspect/CHEMBL1516","CHEMBL1516")</f>
        <v>CHEMBL1516</v>
      </c>
      <c r="D985" t="s">
        <v>1</v>
      </c>
      <c r="E985" t="s">
        <v>2318</v>
      </c>
      <c r="F985" t="s">
        <v>2319</v>
      </c>
      <c r="G985">
        <v>425</v>
      </c>
      <c r="H985" s="4">
        <v>12.5091885</v>
      </c>
    </row>
    <row r="986" spans="1:8" x14ac:dyDescent="0.2">
      <c r="A986" t="s">
        <v>2320</v>
      </c>
      <c r="B986" s="1" t="str">
        <f>HYPERLINK("http://www.chemspider.com/Chemical-Structure.3231.html","3231")</f>
        <v>3231</v>
      </c>
      <c r="C986" s="1" t="str">
        <f>HYPERLINK("https://www.ebi.ac.uk/chembl/compound/inspect/CHEMBL914","CHEMBL914")</f>
        <v>CHEMBL914</v>
      </c>
      <c r="D986" t="s">
        <v>9</v>
      </c>
      <c r="E986" t="s">
        <v>2321</v>
      </c>
      <c r="F986" t="s">
        <v>2322</v>
      </c>
      <c r="G986">
        <v>116</v>
      </c>
      <c r="H986" s="4">
        <v>10</v>
      </c>
    </row>
    <row r="987" spans="1:8" x14ac:dyDescent="0.2">
      <c r="A987" t="s">
        <v>2323</v>
      </c>
      <c r="B987" s="1" t="str">
        <f>HYPERLINK("http://www.chemspider.com/Chemical-Structure.282.html","282")</f>
        <v>282</v>
      </c>
      <c r="C987" s="1" t="str">
        <f>HYPERLINK("https://www.ebi.ac.uk/chembl/compound/inspect/CHEMBL172513","CHEMBL172513")</f>
        <v>CHEMBL172513</v>
      </c>
      <c r="D987" t="s">
        <v>1</v>
      </c>
      <c r="E987" t="s">
        <v>2324</v>
      </c>
      <c r="F987" t="s">
        <v>2325</v>
      </c>
      <c r="G987">
        <v>229</v>
      </c>
      <c r="H987" s="4">
        <v>10</v>
      </c>
    </row>
    <row r="988" spans="1:8" x14ac:dyDescent="0.2">
      <c r="A988" t="s">
        <v>2326</v>
      </c>
      <c r="B988" s="1" t="str">
        <f>HYPERLINK("http://www.chemspider.com/Chemical-Structure.1002.html","1002")</f>
        <v>1002</v>
      </c>
      <c r="C988" s="1" t="str">
        <f>HYPERLINK("https://www.ebi.ac.uk/chembl/compound/inspect/CHEMBL145167","CHEMBL145167")</f>
        <v>CHEMBL145167</v>
      </c>
      <c r="D988" t="s">
        <v>1</v>
      </c>
      <c r="G988">
        <v>0</v>
      </c>
      <c r="H988" s="4">
        <v>10</v>
      </c>
    </row>
    <row r="989" spans="1:8" x14ac:dyDescent="0.2">
      <c r="A989" t="s">
        <v>2327</v>
      </c>
      <c r="B989" s="1" t="str">
        <f>HYPERLINK("http://www.chemspider.com/Chemical-Structure.42.html","42")</f>
        <v>42</v>
      </c>
      <c r="G989">
        <v>0</v>
      </c>
      <c r="H989" s="4">
        <v>50</v>
      </c>
    </row>
    <row r="990" spans="1:8" x14ac:dyDescent="0.2">
      <c r="A990" t="s">
        <v>2328</v>
      </c>
      <c r="B990" s="1" t="str">
        <f>HYPERLINK("http://www.chemspider.com/Chemical-Structure.10021.html","10021")</f>
        <v>10021</v>
      </c>
      <c r="C990" s="1" t="str">
        <f>HYPERLINK("https://www.ebi.ac.uk/chembl/compound/inspect/CHEMBL453797","CHEMBL453797")</f>
        <v>CHEMBL453797</v>
      </c>
      <c r="D990" t="s">
        <v>1</v>
      </c>
      <c r="F990" t="s">
        <v>2329</v>
      </c>
      <c r="G990">
        <v>0</v>
      </c>
      <c r="H990" s="4">
        <v>10</v>
      </c>
    </row>
    <row r="991" spans="1:8" x14ac:dyDescent="0.2">
      <c r="A991" t="s">
        <v>2330</v>
      </c>
      <c r="B991" s="1" t="str">
        <f>HYPERLINK("http://www.chemspider.com/Chemical-Structure.2947.html","2947")</f>
        <v>2947</v>
      </c>
      <c r="C991" s="1" t="str">
        <f>HYPERLINK("https://www.ebi.ac.uk/chembl/compound/inspect/CHEMBL936","CHEMBL936")</f>
        <v>CHEMBL936</v>
      </c>
      <c r="D991" t="s">
        <v>9</v>
      </c>
      <c r="E991" t="s">
        <v>2331</v>
      </c>
      <c r="F991" t="s">
        <v>2332</v>
      </c>
      <c r="G991">
        <v>3</v>
      </c>
      <c r="H991" s="4">
        <v>9.9998789489999993</v>
      </c>
    </row>
    <row r="992" spans="1:8" x14ac:dyDescent="0.2">
      <c r="A992" t="s">
        <v>2333</v>
      </c>
      <c r="B992" s="1" t="str">
        <f>HYPERLINK("http://www.chemspider.com/Chemical-Structure.4750.html","4750")</f>
        <v>4750</v>
      </c>
      <c r="C992" s="1" t="str">
        <f>HYPERLINK("https://www.ebi.ac.uk/chembl/compound/inspect/CHEMBL86715","CHEMBL86715")</f>
        <v>CHEMBL86715</v>
      </c>
      <c r="D992" t="s">
        <v>9</v>
      </c>
      <c r="E992" t="s">
        <v>2334</v>
      </c>
      <c r="F992" t="s">
        <v>2335</v>
      </c>
      <c r="G992">
        <v>0</v>
      </c>
      <c r="H992" s="4">
        <v>10</v>
      </c>
    </row>
    <row r="993" spans="1:8" x14ac:dyDescent="0.2">
      <c r="A993" t="s">
        <v>2336</v>
      </c>
      <c r="B993" s="1" t="str">
        <f>HYPERLINK("http://www.chemspider.com/Chemical-Structure.5371.html","5371")</f>
        <v>5371</v>
      </c>
      <c r="C993" s="1" t="str">
        <f>HYPERLINK("https://www.ebi.ac.uk/chembl/compound/inspect/CHEMBL1490","CHEMBL1490")</f>
        <v>CHEMBL1490</v>
      </c>
      <c r="D993" t="s">
        <v>9</v>
      </c>
      <c r="E993" t="s">
        <v>2337</v>
      </c>
      <c r="F993" t="s">
        <v>2338</v>
      </c>
      <c r="G993">
        <v>2</v>
      </c>
      <c r="H993" s="4">
        <v>10.00006277</v>
      </c>
    </row>
    <row r="994" spans="1:8" x14ac:dyDescent="0.2">
      <c r="A994" t="s">
        <v>2339</v>
      </c>
      <c r="B994" s="1" t="str">
        <f>HYPERLINK("http://www.chemspider.com/Chemical-Structure.13849981.html","13849981")</f>
        <v>13849981</v>
      </c>
      <c r="C994" s="1" t="str">
        <f>HYPERLINK("https://www.ebi.ac.uk/chembl/compound/inspect/CHEMBL25306","CHEMBL25306")</f>
        <v>CHEMBL25306</v>
      </c>
      <c r="D994" t="s">
        <v>1</v>
      </c>
      <c r="E994" t="s">
        <v>2340</v>
      </c>
      <c r="F994" t="s">
        <v>2341</v>
      </c>
      <c r="G994">
        <v>0</v>
      </c>
      <c r="H994" s="4">
        <v>10</v>
      </c>
    </row>
    <row r="995" spans="1:8" x14ac:dyDescent="0.2">
      <c r="A995" t="s">
        <v>2342</v>
      </c>
      <c r="B995" s="1" t="str">
        <f>HYPERLINK("http://www.chemspider.com/Chemical-Structure.4447568.html","4447568")</f>
        <v>4447568</v>
      </c>
      <c r="C995" s="1" t="str">
        <f>HYPERLINK("https://www.ebi.ac.uk/chembl/compound/inspect/CHEMBL25424","CHEMBL25424")</f>
        <v>CHEMBL25424</v>
      </c>
      <c r="D995" t="s">
        <v>1</v>
      </c>
      <c r="E995" t="s">
        <v>2343</v>
      </c>
      <c r="F995" t="s">
        <v>2344</v>
      </c>
      <c r="G995">
        <v>0</v>
      </c>
      <c r="H995" s="4">
        <v>10</v>
      </c>
    </row>
    <row r="996" spans="1:8" x14ac:dyDescent="0.2">
      <c r="A996" t="s">
        <v>2345</v>
      </c>
      <c r="B996" s="1" t="str">
        <f>HYPERLINK("http://www.chemspider.com/Chemical-Structure.64839.html","64839")</f>
        <v>64839</v>
      </c>
      <c r="C996" s="1" t="str">
        <f>HYPERLINK("https://www.ebi.ac.uk/chembl/compound/inspect/CHEMBL498847","CHEMBL498847")</f>
        <v>CHEMBL498847</v>
      </c>
      <c r="D996" t="s">
        <v>1</v>
      </c>
      <c r="E996" t="s">
        <v>2346</v>
      </c>
      <c r="F996" t="s">
        <v>2347</v>
      </c>
      <c r="G996">
        <v>8</v>
      </c>
      <c r="H996" s="4">
        <v>10</v>
      </c>
    </row>
    <row r="997" spans="1:8" x14ac:dyDescent="0.2">
      <c r="A997" t="s">
        <v>2348</v>
      </c>
      <c r="B997" s="1" t="str">
        <f>HYPERLINK("http://www.chemspider.com/Chemical-Structure.388391.html","388391")</f>
        <v>388391</v>
      </c>
      <c r="G997">
        <v>0</v>
      </c>
      <c r="H997" s="4">
        <v>10</v>
      </c>
    </row>
    <row r="998" spans="1:8" x14ac:dyDescent="0.2">
      <c r="A998" t="s">
        <v>2349</v>
      </c>
      <c r="B998" s="1" t="str">
        <f>HYPERLINK("http://www.chemspider.com/Chemical-Structure.21391692.html","21391692")</f>
        <v>21391692</v>
      </c>
      <c r="C998" s="1" t="str">
        <f>HYPERLINK("https://www.ebi.ac.uk/chembl/compound/inspect/CHEMBL1865120","CHEMBL1865120")</f>
        <v>CHEMBL1865120</v>
      </c>
      <c r="D998" t="s">
        <v>1</v>
      </c>
      <c r="F998" t="s">
        <v>2350</v>
      </c>
      <c r="G998">
        <v>0</v>
      </c>
      <c r="H998" s="4">
        <v>10</v>
      </c>
    </row>
    <row r="999" spans="1:8" x14ac:dyDescent="0.2">
      <c r="A999" t="s">
        <v>2351</v>
      </c>
      <c r="B999" s="1" t="str">
        <f>HYPERLINK("http://www.chemspider.com/Chemical-Structure.10756.html","10756")</f>
        <v>10756</v>
      </c>
      <c r="C999" s="1" t="str">
        <f>HYPERLINK("https://www.ebi.ac.uk/chembl/compound/inspect/CHEMBL507795","CHEMBL507795")</f>
        <v>CHEMBL507795</v>
      </c>
      <c r="D999" t="s">
        <v>1</v>
      </c>
      <c r="E999" t="s">
        <v>2352</v>
      </c>
      <c r="F999" t="s">
        <v>2353</v>
      </c>
      <c r="G999">
        <v>0</v>
      </c>
      <c r="H999" s="4">
        <v>10</v>
      </c>
    </row>
    <row r="1000" spans="1:8" x14ac:dyDescent="0.2">
      <c r="A1000" t="s">
        <v>2354</v>
      </c>
      <c r="B1000" s="1" t="str">
        <f>HYPERLINK("http://www.chemspider.com/Chemical-Structure.197564.html","197564")</f>
        <v>197564</v>
      </c>
      <c r="C1000" s="1" t="str">
        <f>HYPERLINK("https://www.ebi.ac.uk/chembl/compound/inspect/CHEMBL1705958","CHEMBL1705958")</f>
        <v>CHEMBL1705958</v>
      </c>
      <c r="D1000" t="s">
        <v>1</v>
      </c>
      <c r="F1000" t="s">
        <v>2355</v>
      </c>
      <c r="G1000">
        <v>0</v>
      </c>
      <c r="H1000" s="4">
        <v>10</v>
      </c>
    </row>
    <row r="1001" spans="1:8" x14ac:dyDescent="0.2">
      <c r="A1001" t="s">
        <v>2356</v>
      </c>
      <c r="G1001">
        <v>0</v>
      </c>
      <c r="H1001" s="4">
        <v>20</v>
      </c>
    </row>
    <row r="1002" spans="1:8" x14ac:dyDescent="0.2">
      <c r="A1002" t="s">
        <v>2357</v>
      </c>
      <c r="B1002" s="1" t="str">
        <f>HYPERLINK("http://www.chemspider.com/Chemical-Structure.4524739.html","4524739")</f>
        <v>4524739</v>
      </c>
      <c r="C1002" s="1" t="str">
        <f>HYPERLINK("https://www.ebi.ac.uk/chembl/compound/inspect/CHEMBL379808","CHEMBL379808")</f>
        <v>CHEMBL379808</v>
      </c>
      <c r="D1002" t="s">
        <v>1</v>
      </c>
      <c r="E1002" t="s">
        <v>2358</v>
      </c>
      <c r="F1002" t="s">
        <v>2359</v>
      </c>
      <c r="G1002">
        <v>7769</v>
      </c>
      <c r="H1002" s="4">
        <v>10</v>
      </c>
    </row>
    <row r="1003" spans="1:8" x14ac:dyDescent="0.2">
      <c r="A1003" t="s">
        <v>2360</v>
      </c>
      <c r="B1003" s="1" t="str">
        <f>HYPERLINK("http://www.chemspider.com/Chemical-Structure.26382557.html","26382557")</f>
        <v>26382557</v>
      </c>
      <c r="C1003" s="1" t="str">
        <f>HYPERLINK("https://www.ebi.ac.uk/chembl/compound/inspect/CHEMBL1622130","CHEMBL1622130")</f>
        <v>CHEMBL1622130</v>
      </c>
      <c r="D1003" t="s">
        <v>1</v>
      </c>
      <c r="G1003">
        <v>0</v>
      </c>
      <c r="H1003" s="4">
        <v>10</v>
      </c>
    </row>
    <row r="1004" spans="1:8" x14ac:dyDescent="0.2">
      <c r="A1004" t="s">
        <v>2361</v>
      </c>
      <c r="B1004" s="1" t="str">
        <f>HYPERLINK("http://www.chemspider.com/Chemical-Structure.9419005.html","9419005")</f>
        <v>9419005</v>
      </c>
      <c r="C1004" s="1" t="str">
        <f>HYPERLINK("https://www.ebi.ac.uk/chembl/compound/inspect/CHEMBL385517","CHEMBL385517")</f>
        <v>CHEMBL385517</v>
      </c>
      <c r="D1004" t="s">
        <v>9</v>
      </c>
      <c r="E1004" t="s">
        <v>2362</v>
      </c>
      <c r="F1004" t="s">
        <v>2363</v>
      </c>
      <c r="G1004">
        <v>335</v>
      </c>
      <c r="H1004" s="4">
        <v>9.9993306329999996</v>
      </c>
    </row>
    <row r="1005" spans="1:8" x14ac:dyDescent="0.2">
      <c r="A1005" t="s">
        <v>2364</v>
      </c>
      <c r="B1005" s="1" t="str">
        <f>HYPERLINK("http://www.chemspider.com/Chemical-Structure.10430995.html","10430995")</f>
        <v>10430995</v>
      </c>
      <c r="C1005" s="1" t="str">
        <f>HYPERLINK("https://www.ebi.ac.uk/chembl/compound/inspect/CHEMBL240963","CHEMBL240963")</f>
        <v>CHEMBL240963</v>
      </c>
      <c r="D1005" t="s">
        <v>1</v>
      </c>
      <c r="E1005" t="s">
        <v>2365</v>
      </c>
      <c r="F1005" t="s">
        <v>2366</v>
      </c>
      <c r="G1005">
        <v>2</v>
      </c>
      <c r="H1005" s="4">
        <v>10</v>
      </c>
    </row>
    <row r="1006" spans="1:8" x14ac:dyDescent="0.2">
      <c r="A1006" t="s">
        <v>2367</v>
      </c>
      <c r="B1006" s="1" t="str">
        <f>HYPERLINK("http://www.chemspider.com/Chemical-Structure.8106544.html","8106544")</f>
        <v>8106544</v>
      </c>
      <c r="C1006" s="1" t="str">
        <f>HYPERLINK("https://www.ebi.ac.uk/chembl/compound/inspect/CHEMBL1201371","CHEMBL1201371")</f>
        <v>CHEMBL1201371</v>
      </c>
      <c r="D1006" t="s">
        <v>1</v>
      </c>
      <c r="E1006" t="s">
        <v>2368</v>
      </c>
      <c r="F1006" t="s">
        <v>2369</v>
      </c>
      <c r="G1006">
        <v>0</v>
      </c>
      <c r="H1006" s="4">
        <v>10</v>
      </c>
    </row>
    <row r="1007" spans="1:8" x14ac:dyDescent="0.2">
      <c r="A1007" t="s">
        <v>2370</v>
      </c>
      <c r="B1007" s="1" t="str">
        <f>HYPERLINK("http://www.chemspider.com/Chemical-Structure.4947911.html","4947911")</f>
        <v>4947911</v>
      </c>
      <c r="G1007">
        <v>0</v>
      </c>
      <c r="H1007" s="4">
        <v>7.5</v>
      </c>
    </row>
    <row r="1008" spans="1:8" x14ac:dyDescent="0.2">
      <c r="A1008" t="s">
        <v>2371</v>
      </c>
      <c r="B1008" s="1" t="str">
        <f>HYPERLINK("http://www.chemspider.com/Chemical-Structure.5215.html","5215")</f>
        <v>5215</v>
      </c>
      <c r="C1008" s="1" t="str">
        <f>HYPERLINK("https://www.ebi.ac.uk/chembl/compound/inspect/CHEMBL268313","CHEMBL268313")</f>
        <v>CHEMBL268313</v>
      </c>
      <c r="D1008" t="s">
        <v>1</v>
      </c>
      <c r="F1008" t="s">
        <v>2372</v>
      </c>
      <c r="G1008">
        <v>0</v>
      </c>
      <c r="H1008" s="4">
        <v>10</v>
      </c>
    </row>
    <row r="1009" spans="1:8" x14ac:dyDescent="0.2">
      <c r="A1009" t="s">
        <v>2373</v>
      </c>
      <c r="G1009">
        <v>0</v>
      </c>
      <c r="H1009" s="4">
        <v>20</v>
      </c>
    </row>
    <row r="1010" spans="1:8" x14ac:dyDescent="0.2">
      <c r="A1010" t="s">
        <v>2374</v>
      </c>
      <c r="B1010" s="1" t="str">
        <f>HYPERLINK("http://www.chemspider.com/Chemical-Structure.25027421.html","25027421")</f>
        <v>25027421</v>
      </c>
      <c r="G1010">
        <v>0</v>
      </c>
      <c r="H1010" s="4">
        <v>10</v>
      </c>
    </row>
    <row r="1011" spans="1:8" x14ac:dyDescent="0.2">
      <c r="A1011" t="s">
        <v>2375</v>
      </c>
      <c r="B1011" s="1" t="str">
        <f>HYPERLINK("http://www.chemspider.com/Chemical-Structure.2866.html","2866")</f>
        <v>2866</v>
      </c>
      <c r="C1011" s="1" t="str">
        <f>HYPERLINK("https://www.ebi.ac.uk/chembl/compound/inspect/CHEMBL70927","CHEMBL70927")</f>
        <v>CHEMBL70927</v>
      </c>
      <c r="D1011" t="s">
        <v>9</v>
      </c>
      <c r="E1011" t="s">
        <v>2376</v>
      </c>
      <c r="F1011" t="s">
        <v>2377</v>
      </c>
      <c r="G1011">
        <v>79</v>
      </c>
      <c r="H1011" s="4">
        <v>10</v>
      </c>
    </row>
    <row r="1012" spans="1:8" x14ac:dyDescent="0.2">
      <c r="A1012" t="s">
        <v>2378</v>
      </c>
      <c r="B1012" s="1" t="str">
        <f>HYPERLINK("http://www.chemspider.com/Chemical-Structure.21395718.html","21395718")</f>
        <v>21395718</v>
      </c>
      <c r="C1012" s="1" t="str">
        <f>HYPERLINK("https://www.ebi.ac.uk/chembl/compound/inspect/CHEMBL1578149","CHEMBL1578149")</f>
        <v>CHEMBL1578149</v>
      </c>
      <c r="D1012" t="s">
        <v>1</v>
      </c>
      <c r="F1012" t="s">
        <v>2379</v>
      </c>
      <c r="G1012">
        <v>0</v>
      </c>
      <c r="H1012" s="4">
        <v>10.1</v>
      </c>
    </row>
    <row r="1013" spans="1:8" x14ac:dyDescent="0.2">
      <c r="A1013" t="s">
        <v>2380</v>
      </c>
      <c r="B1013" s="1" t="str">
        <f>HYPERLINK("http://www.chemspider.com/Chemical-Structure.1710.html","1710")</f>
        <v>1710</v>
      </c>
      <c r="C1013" s="1" t="str">
        <f>HYPERLINK("https://www.ebi.ac.uk/chembl/compound/inspect/CHEMBL16","CHEMBL16")</f>
        <v>CHEMBL16</v>
      </c>
      <c r="D1013" t="s">
        <v>9</v>
      </c>
      <c r="E1013" t="s">
        <v>2381</v>
      </c>
      <c r="F1013" t="s">
        <v>2382</v>
      </c>
      <c r="G1013">
        <v>111</v>
      </c>
      <c r="H1013" s="4">
        <v>10</v>
      </c>
    </row>
    <row r="1014" spans="1:8" x14ac:dyDescent="0.2">
      <c r="A1014" t="s">
        <v>2383</v>
      </c>
      <c r="B1014" s="1" t="str">
        <f>HYPERLINK("http://www.chemspider.com/Chemical-Structure.10257122.html","10257122")</f>
        <v>10257122</v>
      </c>
      <c r="C1014" s="1" t="str">
        <f>HYPERLINK("https://www.ebi.ac.uk/chembl/compound/inspect/CHEMBL1440","CHEMBL1440")</f>
        <v>CHEMBL1440</v>
      </c>
      <c r="D1014" t="s">
        <v>9</v>
      </c>
      <c r="E1014" t="s">
        <v>2384</v>
      </c>
      <c r="F1014" t="s">
        <v>2385</v>
      </c>
      <c r="G1014">
        <v>97</v>
      </c>
      <c r="H1014" s="4">
        <v>10</v>
      </c>
    </row>
    <row r="1015" spans="1:8" x14ac:dyDescent="0.2">
      <c r="A1015" t="s">
        <v>2386</v>
      </c>
      <c r="B1015" s="1" t="str">
        <f>HYPERLINK("http://www.chemspider.com/Chemical-Structure.10482174.html","10482174")</f>
        <v>10482174</v>
      </c>
      <c r="C1015" s="1" t="str">
        <f>HYPERLINK("https://www.ebi.ac.uk/chembl/compound/inspect/CHEMBL1517","CHEMBL1517")</f>
        <v>CHEMBL1517</v>
      </c>
      <c r="D1015" t="s">
        <v>9</v>
      </c>
      <c r="E1015" t="s">
        <v>2387</v>
      </c>
      <c r="F1015" t="s">
        <v>2388</v>
      </c>
      <c r="G1015">
        <v>5</v>
      </c>
      <c r="H1015" s="4">
        <v>10</v>
      </c>
    </row>
    <row r="1016" spans="1:8" x14ac:dyDescent="0.2">
      <c r="A1016" t="s">
        <v>2389</v>
      </c>
      <c r="B1016" s="1" t="str">
        <f>HYPERLINK("http://www.chemspider.com/Chemical-Structure.23160007.html","23160007")</f>
        <v>23160007</v>
      </c>
      <c r="G1016">
        <v>0</v>
      </c>
      <c r="H1016" s="4">
        <v>10</v>
      </c>
    </row>
    <row r="1017" spans="1:8" x14ac:dyDescent="0.2">
      <c r="A1017" t="s">
        <v>2390</v>
      </c>
      <c r="B1017" s="1" t="str">
        <f>HYPERLINK("http://www.chemspider.com/Chemical-Structure.240582.html","240582")</f>
        <v>240582</v>
      </c>
      <c r="G1017">
        <v>0</v>
      </c>
      <c r="H1017" s="4">
        <v>10</v>
      </c>
    </row>
    <row r="1018" spans="1:8" x14ac:dyDescent="0.2">
      <c r="A1018" t="s">
        <v>2391</v>
      </c>
      <c r="B1018" s="1" t="str">
        <f>HYPERLINK("http://www.chemspider.com/Chemical-Structure.5391.html","5391")</f>
        <v>5391</v>
      </c>
      <c r="C1018" s="1" t="str">
        <f>HYPERLINK("https://www.ebi.ac.uk/chembl/compound/inspect/CHEMBL1200604","CHEMBL1200604")</f>
        <v>CHEMBL1200604</v>
      </c>
      <c r="D1018" t="s">
        <v>9</v>
      </c>
      <c r="E1018" t="s">
        <v>2392</v>
      </c>
      <c r="F1018" t="s">
        <v>2393</v>
      </c>
      <c r="G1018">
        <v>16</v>
      </c>
      <c r="H1018" s="4">
        <v>10</v>
      </c>
    </row>
    <row r="1019" spans="1:8" x14ac:dyDescent="0.2">
      <c r="A1019" t="s">
        <v>2394</v>
      </c>
      <c r="B1019" s="1" t="str">
        <f>HYPERLINK("http://www.chemspider.com/Chemical-Structure.3164.html","3164")</f>
        <v>3164</v>
      </c>
      <c r="C1019" s="1" t="str">
        <f>HYPERLINK("https://www.ebi.ac.uk/chembl/compound/inspect/CHEMBL25539","CHEMBL25539")</f>
        <v>CHEMBL25539</v>
      </c>
      <c r="D1019" t="s">
        <v>1</v>
      </c>
      <c r="F1019" t="s">
        <v>2395</v>
      </c>
      <c r="G1019">
        <v>0</v>
      </c>
      <c r="H1019" s="4">
        <v>10</v>
      </c>
    </row>
    <row r="1020" spans="1:8" x14ac:dyDescent="0.2">
      <c r="A1020" t="s">
        <v>2396</v>
      </c>
      <c r="B1020" s="1" t="str">
        <f>HYPERLINK("http://www.chemspider.com/Chemical-Structure.99348.html","99348")</f>
        <v>99348</v>
      </c>
      <c r="C1020" s="1" t="str">
        <f>HYPERLINK("https://www.ebi.ac.uk/chembl/compound/inspect/CHEMBL1318346","CHEMBL1318346")</f>
        <v>CHEMBL1318346</v>
      </c>
      <c r="D1020" t="s">
        <v>1</v>
      </c>
      <c r="F1020" t="s">
        <v>2397</v>
      </c>
      <c r="G1020">
        <v>0</v>
      </c>
      <c r="H1020" s="4">
        <v>10</v>
      </c>
    </row>
    <row r="1021" spans="1:8" x14ac:dyDescent="0.2">
      <c r="A1021" t="s">
        <v>2398</v>
      </c>
      <c r="B1021" s="1" t="str">
        <f>HYPERLINK("http://www.chemspider.com/Chemical-Structure.13850135.html","13850135")</f>
        <v>13850135</v>
      </c>
      <c r="C1021" s="1" t="str">
        <f>HYPERLINK("https://www.ebi.ac.uk/chembl/compound/inspect/CHEMBL395827","CHEMBL395827")</f>
        <v>CHEMBL395827</v>
      </c>
      <c r="D1021" t="s">
        <v>1</v>
      </c>
      <c r="E1021" t="s">
        <v>2399</v>
      </c>
      <c r="F1021" t="s">
        <v>2400</v>
      </c>
      <c r="G1021">
        <v>0</v>
      </c>
      <c r="H1021" s="4">
        <v>10</v>
      </c>
    </row>
    <row r="1022" spans="1:8" x14ac:dyDescent="0.2">
      <c r="A1022" t="s">
        <v>2401</v>
      </c>
      <c r="B1022" s="1" t="str">
        <f>HYPERLINK("http://www.chemspider.com/Chemical-Structure.2997.html","2997")</f>
        <v>2997</v>
      </c>
      <c r="C1022" s="1" t="str">
        <f>HYPERLINK("https://www.ebi.ac.uk/chembl/compound/inspect/CHEMBL932","CHEMBL932")</f>
        <v>CHEMBL932</v>
      </c>
      <c r="D1022" t="s">
        <v>9</v>
      </c>
      <c r="E1022" t="s">
        <v>2402</v>
      </c>
      <c r="F1022" t="s">
        <v>2403</v>
      </c>
      <c r="G1022">
        <v>109</v>
      </c>
      <c r="H1022" s="4">
        <v>10</v>
      </c>
    </row>
    <row r="1023" spans="1:8" x14ac:dyDescent="0.2">
      <c r="A1023" t="s">
        <v>2404</v>
      </c>
      <c r="B1023" s="1" t="str">
        <f>HYPERLINK("http://www.chemspider.com/Chemical-Structure.4949231.html","4949231")</f>
        <v>4949231</v>
      </c>
      <c r="C1023" s="1" t="str">
        <f>HYPERLINK("https://www.ebi.ac.uk/chembl/compound/inspect/CHEMBL356066","CHEMBL356066")</f>
        <v>CHEMBL356066</v>
      </c>
      <c r="D1023" t="s">
        <v>1</v>
      </c>
      <c r="E1023" t="s">
        <v>2405</v>
      </c>
      <c r="F1023" t="s">
        <v>2406</v>
      </c>
      <c r="G1023">
        <v>0</v>
      </c>
      <c r="H1023" s="4">
        <v>50</v>
      </c>
    </row>
    <row r="1024" spans="1:8" x14ac:dyDescent="0.2">
      <c r="A1024" t="s">
        <v>2407</v>
      </c>
      <c r="B1024" s="1" t="str">
        <f>HYPERLINK("http://www.chemspider.com/Chemical-Structure.4029.html","4029")</f>
        <v>4029</v>
      </c>
      <c r="C1024" s="1" t="str">
        <f>HYPERLINK("https://www.ebi.ac.uk/chembl/compound/inspect/CHEMBL137","CHEMBL137")</f>
        <v>CHEMBL137</v>
      </c>
      <c r="D1024" t="s">
        <v>9</v>
      </c>
      <c r="E1024" t="s">
        <v>2408</v>
      </c>
      <c r="F1024" t="s">
        <v>2409</v>
      </c>
      <c r="G1024">
        <v>538</v>
      </c>
      <c r="H1024" s="4">
        <v>10</v>
      </c>
    </row>
    <row r="1025" spans="1:8" x14ac:dyDescent="0.2">
      <c r="A1025" t="s">
        <v>2410</v>
      </c>
      <c r="B1025" s="1" t="str">
        <f>HYPERLINK("http://www.chemspider.com/Chemical-Structure.7933.html","7933")</f>
        <v>7933</v>
      </c>
      <c r="C1025" s="1" t="str">
        <f>HYPERLINK("https://www.ebi.ac.uk/chembl/compound/inspect/CHEMBL1201356","CHEMBL1201356")</f>
        <v>CHEMBL1201356</v>
      </c>
      <c r="D1025" t="s">
        <v>9</v>
      </c>
      <c r="E1025" t="s">
        <v>2411</v>
      </c>
      <c r="F1025" t="s">
        <v>2412</v>
      </c>
      <c r="G1025">
        <v>4</v>
      </c>
      <c r="H1025" s="4">
        <v>13.4</v>
      </c>
    </row>
    <row r="1026" spans="1:8" x14ac:dyDescent="0.2">
      <c r="A1026" t="s">
        <v>2413</v>
      </c>
      <c r="B1026" s="1" t="str">
        <f>HYPERLINK("http://www.chemspider.com/Chemical-Structure.13433.html","13433")</f>
        <v>13433</v>
      </c>
      <c r="C1026" s="1" t="str">
        <f>HYPERLINK("https://www.ebi.ac.uk/chembl/compound/inspect/CHEMBL44884","CHEMBL44884")</f>
        <v>CHEMBL44884</v>
      </c>
      <c r="D1026" t="s">
        <v>9</v>
      </c>
      <c r="E1026" t="s">
        <v>2414</v>
      </c>
      <c r="F1026" t="s">
        <v>2415</v>
      </c>
      <c r="G1026">
        <v>103</v>
      </c>
      <c r="H1026" s="4">
        <v>10</v>
      </c>
    </row>
    <row r="1027" spans="1:8" x14ac:dyDescent="0.2">
      <c r="A1027" t="s">
        <v>2416</v>
      </c>
      <c r="B1027" s="1" t="str">
        <f>HYPERLINK("http://www.chemspider.com/Chemical-Structure.5576.html","5576")</f>
        <v>5576</v>
      </c>
      <c r="C1027" s="1" t="str">
        <f>HYPERLINK("https://www.ebi.ac.uk/chembl/compound/inspect/CHEMBL1682","CHEMBL1682")</f>
        <v>CHEMBL1682</v>
      </c>
      <c r="D1027" t="s">
        <v>9</v>
      </c>
      <c r="E1027" t="s">
        <v>2417</v>
      </c>
      <c r="F1027" t="s">
        <v>2418</v>
      </c>
      <c r="G1027">
        <v>25</v>
      </c>
      <c r="H1027" s="4">
        <v>10</v>
      </c>
    </row>
    <row r="1028" spans="1:8" x14ac:dyDescent="0.2">
      <c r="A1028" t="s">
        <v>2419</v>
      </c>
      <c r="B1028" s="1" t="str">
        <f>HYPERLINK("http://www.chemspider.com/Chemical-Structure.6015.html","6015")</f>
        <v>6015</v>
      </c>
      <c r="C1028" s="1" t="str">
        <f>HYPERLINK("https://www.ebi.ac.uk/chembl/compound/inspect/CHEMBL689","CHEMBL689")</f>
        <v>CHEMBL689</v>
      </c>
      <c r="D1028" t="s">
        <v>9</v>
      </c>
      <c r="E1028" t="s">
        <v>2420</v>
      </c>
      <c r="F1028" t="s">
        <v>2421</v>
      </c>
      <c r="G1028">
        <v>264</v>
      </c>
      <c r="H1028" s="4">
        <v>10</v>
      </c>
    </row>
    <row r="1029" spans="1:8" x14ac:dyDescent="0.2">
      <c r="A1029" t="s">
        <v>2422</v>
      </c>
      <c r="B1029" s="1" t="str">
        <f>HYPERLINK("http://www.chemspider.com/Chemical-Structure.58649.html","58649")</f>
        <v>58649</v>
      </c>
      <c r="G1029">
        <v>0</v>
      </c>
      <c r="H1029" s="4">
        <v>10</v>
      </c>
    </row>
    <row r="1030" spans="1:8" x14ac:dyDescent="0.2">
      <c r="A1030" t="s">
        <v>2423</v>
      </c>
      <c r="B1030" s="1" t="str">
        <f>HYPERLINK("http://www.chemspider.com/Chemical-Structure.393012.html","393012")</f>
        <v>393012</v>
      </c>
      <c r="C1030" s="1" t="str">
        <f>HYPERLINK("https://www.ebi.ac.uk/chembl/compound/inspect/CHEMBL986","CHEMBL986")</f>
        <v>CHEMBL986</v>
      </c>
      <c r="D1030" t="s">
        <v>9</v>
      </c>
      <c r="E1030" t="s">
        <v>2424</v>
      </c>
      <c r="F1030" t="s">
        <v>2425</v>
      </c>
      <c r="G1030">
        <v>123</v>
      </c>
      <c r="H1030" s="4">
        <v>10</v>
      </c>
    </row>
    <row r="1031" spans="1:8" x14ac:dyDescent="0.2">
      <c r="A1031" t="s">
        <v>2426</v>
      </c>
      <c r="B1031" s="1" t="str">
        <f>HYPERLINK("http://www.chemspider.com/Chemical-Structure.13849989.html","13849989")</f>
        <v>13849989</v>
      </c>
      <c r="C1031" s="1" t="str">
        <f>HYPERLINK("https://www.ebi.ac.uk/chembl/compound/inspect/CHEMBL25719","CHEMBL25719")</f>
        <v>CHEMBL25719</v>
      </c>
      <c r="D1031" t="s">
        <v>1</v>
      </c>
      <c r="E1031" t="s">
        <v>2427</v>
      </c>
      <c r="F1031" t="s">
        <v>2428</v>
      </c>
      <c r="G1031">
        <v>0</v>
      </c>
      <c r="H1031" s="4">
        <v>10</v>
      </c>
    </row>
    <row r="1032" spans="1:8" x14ac:dyDescent="0.2">
      <c r="A1032" t="s">
        <v>2429</v>
      </c>
      <c r="B1032" s="1" t="str">
        <f>HYPERLINK("http://www.chemspider.com/Chemical-Structure.392816.html","392816")</f>
        <v>392816</v>
      </c>
      <c r="C1032" s="1" t="str">
        <f>HYPERLINK("https://www.ebi.ac.uk/chembl/compound/inspect/CHEMBL25308","CHEMBL25308")</f>
        <v>CHEMBL25308</v>
      </c>
      <c r="D1032" t="s">
        <v>1</v>
      </c>
      <c r="E1032" t="s">
        <v>2430</v>
      </c>
      <c r="F1032" t="s">
        <v>2431</v>
      </c>
      <c r="G1032">
        <v>1</v>
      </c>
      <c r="H1032" s="4">
        <v>10</v>
      </c>
    </row>
    <row r="1033" spans="1:8" x14ac:dyDescent="0.2">
      <c r="A1033" t="s">
        <v>2432</v>
      </c>
      <c r="B1033" s="1" t="str">
        <f>HYPERLINK("http://www.chemspider.com/Chemical-Structure.3581.html","3581")</f>
        <v>3581</v>
      </c>
      <c r="C1033" s="1" t="str">
        <f>HYPERLINK("https://www.ebi.ac.uk/chembl/compound/inspect/CHEMBL155625","CHEMBL155625")</f>
        <v>CHEMBL155625</v>
      </c>
      <c r="D1033" t="s">
        <v>1</v>
      </c>
      <c r="F1033" t="s">
        <v>2433</v>
      </c>
      <c r="G1033">
        <v>0</v>
      </c>
      <c r="H1033" s="4">
        <v>10</v>
      </c>
    </row>
    <row r="1034" spans="1:8" x14ac:dyDescent="0.2">
      <c r="A1034" t="s">
        <v>2434</v>
      </c>
      <c r="B1034" s="1" t="str">
        <f>HYPERLINK("http://www.chemspider.com/Chemical-Structure.7229.html","7229")</f>
        <v>7229</v>
      </c>
      <c r="C1034" s="1" t="str">
        <f>HYPERLINK("https://www.ebi.ac.uk/chembl/compound/inspect/CHEMBL1235535","CHEMBL1235535")</f>
        <v>CHEMBL1235535</v>
      </c>
      <c r="D1034" t="s">
        <v>1</v>
      </c>
      <c r="E1034" t="s">
        <v>2435</v>
      </c>
      <c r="F1034" t="s">
        <v>2436</v>
      </c>
      <c r="G1034">
        <v>720</v>
      </c>
      <c r="H1034" s="4">
        <v>10</v>
      </c>
    </row>
    <row r="1035" spans="1:8" x14ac:dyDescent="0.2">
      <c r="A1035" t="s">
        <v>2437</v>
      </c>
      <c r="B1035" s="1" t="str">
        <f>HYPERLINK("http://www.chemspider.com/Chemical-Structure.108713.html","108713")</f>
        <v>108713</v>
      </c>
      <c r="G1035">
        <v>0</v>
      </c>
      <c r="H1035" s="4">
        <v>10</v>
      </c>
    </row>
    <row r="1036" spans="1:8" x14ac:dyDescent="0.2">
      <c r="A1036" t="s">
        <v>2438</v>
      </c>
      <c r="B1036" s="1" t="str">
        <f>HYPERLINK("http://www.chemspider.com/Chemical-Structure.25026854.html","25026854")</f>
        <v>25026854</v>
      </c>
      <c r="C1036" s="1" t="str">
        <f>HYPERLINK("https://www.ebi.ac.uk/chembl/compound/inspect/CHEMBL1372483","CHEMBL1372483")</f>
        <v>CHEMBL1372483</v>
      </c>
      <c r="D1036" t="s">
        <v>1</v>
      </c>
      <c r="F1036" t="s">
        <v>2439</v>
      </c>
      <c r="G1036">
        <v>0</v>
      </c>
      <c r="H1036" s="4">
        <v>10</v>
      </c>
    </row>
    <row r="1037" spans="1:8" x14ac:dyDescent="0.2">
      <c r="A1037" t="s">
        <v>2440</v>
      </c>
      <c r="B1037" s="1" t="str">
        <f>HYPERLINK("http://www.chemspider.com/Chemical-Structure.11439687.html","11439687")</f>
        <v>11439687</v>
      </c>
      <c r="G1037">
        <v>0</v>
      </c>
      <c r="H1037" s="4">
        <v>9.9995937670000004</v>
      </c>
    </row>
    <row r="1038" spans="1:8" x14ac:dyDescent="0.2">
      <c r="A1038" t="s">
        <v>2441</v>
      </c>
      <c r="B1038" s="1" t="str">
        <f>HYPERLINK("http://www.chemspider.com/Chemical-Structure.91930.html","91930")</f>
        <v>91930</v>
      </c>
      <c r="C1038" s="1" t="str">
        <f>HYPERLINK("https://www.ebi.ac.uk/chembl/compound/inspect/CHEMBL533841","CHEMBL533841")</f>
        <v>CHEMBL533841</v>
      </c>
      <c r="D1038" t="s">
        <v>1</v>
      </c>
      <c r="E1038" t="s">
        <v>2442</v>
      </c>
      <c r="F1038" t="s">
        <v>2443</v>
      </c>
      <c r="G1038">
        <v>0</v>
      </c>
      <c r="H1038" s="4">
        <v>10</v>
      </c>
    </row>
    <row r="1039" spans="1:8" x14ac:dyDescent="0.2">
      <c r="A1039" t="s">
        <v>2444</v>
      </c>
      <c r="B1039" s="1" t="str">
        <f>HYPERLINK("http://www.chemspider.com/Chemical-Structure.392539.html","392539")</f>
        <v>392539</v>
      </c>
      <c r="C1039" s="1" t="str">
        <f>HYPERLINK("https://www.ebi.ac.uk/chembl/compound/inspect/CHEMBL1232562","CHEMBL1232562")</f>
        <v>CHEMBL1232562</v>
      </c>
      <c r="D1039" t="s">
        <v>1</v>
      </c>
      <c r="E1039" t="s">
        <v>2445</v>
      </c>
      <c r="F1039" t="s">
        <v>2446</v>
      </c>
      <c r="G1039">
        <v>0</v>
      </c>
      <c r="H1039" s="4">
        <v>10</v>
      </c>
    </row>
    <row r="1040" spans="1:8" x14ac:dyDescent="0.2">
      <c r="A1040" t="s">
        <v>2447</v>
      </c>
      <c r="B1040" s="1" t="str">
        <f>HYPERLINK("http://www.chemspider.com/Chemical-Structure.192962.html","192962")</f>
        <v>192962</v>
      </c>
      <c r="C1040" s="1" t="str">
        <f>HYPERLINK("https://www.ebi.ac.uk/chembl/compound/inspect/CHEMBL221542","CHEMBL221542")</f>
        <v>CHEMBL221542</v>
      </c>
      <c r="D1040" t="s">
        <v>1</v>
      </c>
      <c r="E1040" t="s">
        <v>2448</v>
      </c>
      <c r="F1040" t="s">
        <v>2449</v>
      </c>
      <c r="G1040">
        <v>0</v>
      </c>
      <c r="H1040" s="4">
        <v>10</v>
      </c>
    </row>
    <row r="1041" spans="1:8" x14ac:dyDescent="0.2">
      <c r="A1041" t="s">
        <v>2450</v>
      </c>
      <c r="B1041" s="1" t="str">
        <f>HYPERLINK("http://www.chemspider.com/Chemical-Structure.4444352.html","4444352")</f>
        <v>4444352</v>
      </c>
      <c r="C1041" s="1" t="str">
        <f>HYPERLINK("https://www.ebi.ac.uk/chembl/compound/inspect/CHEMBL400247","CHEMBL400247")</f>
        <v>CHEMBL400247</v>
      </c>
      <c r="D1041" t="s">
        <v>1</v>
      </c>
      <c r="E1041" t="s">
        <v>2451</v>
      </c>
      <c r="F1041" t="s">
        <v>2452</v>
      </c>
      <c r="G1041">
        <v>1</v>
      </c>
      <c r="H1041" s="4">
        <v>10</v>
      </c>
    </row>
    <row r="1042" spans="1:8" x14ac:dyDescent="0.2">
      <c r="A1042" t="s">
        <v>2453</v>
      </c>
      <c r="B1042" s="1" t="str">
        <f>HYPERLINK("http://www.chemspider.com/Chemical-Structure.573766.html","573766")</f>
        <v>573766</v>
      </c>
      <c r="C1042" s="1" t="str">
        <f>HYPERLINK("https://www.ebi.ac.uk/chembl/compound/inspect/CHEMBL20730","CHEMBL20730")</f>
        <v>CHEMBL20730</v>
      </c>
      <c r="D1042" t="s">
        <v>1</v>
      </c>
      <c r="E1042" t="s">
        <v>2454</v>
      </c>
      <c r="F1042" t="s">
        <v>2455</v>
      </c>
      <c r="G1042">
        <v>0</v>
      </c>
      <c r="H1042" s="4">
        <v>10</v>
      </c>
    </row>
    <row r="1043" spans="1:8" x14ac:dyDescent="0.2">
      <c r="A1043" t="s">
        <v>2456</v>
      </c>
      <c r="B1043" s="1" t="str">
        <f>HYPERLINK("http://www.chemspider.com/Chemical-Structure.9519.html","9519")</f>
        <v>9519</v>
      </c>
      <c r="C1043" s="1" t="str">
        <f>HYPERLINK("https://www.ebi.ac.uk/chembl/compound/inspect/CHEMBL1478","CHEMBL1478")</f>
        <v>CHEMBL1478</v>
      </c>
      <c r="D1043" t="s">
        <v>1</v>
      </c>
      <c r="E1043" t="s">
        <v>2457</v>
      </c>
      <c r="F1043" t="s">
        <v>2458</v>
      </c>
      <c r="G1043">
        <v>7770</v>
      </c>
      <c r="H1043" s="4">
        <v>10</v>
      </c>
    </row>
    <row r="1044" spans="1:8" x14ac:dyDescent="0.2">
      <c r="A1044" t="s">
        <v>2459</v>
      </c>
      <c r="B1044" s="1" t="str">
        <f>HYPERLINK("http://www.chemspider.com/Chemical-Structure.9728.html","9728")</f>
        <v>9728</v>
      </c>
      <c r="C1044" s="1" t="str">
        <f>HYPERLINK("https://www.ebi.ac.uk/chembl/compound/inspect/CHEMBL240597","CHEMBL240597")</f>
        <v>CHEMBL240597</v>
      </c>
      <c r="D1044" t="s">
        <v>9</v>
      </c>
      <c r="E1044" t="s">
        <v>2460</v>
      </c>
      <c r="F1044" t="s">
        <v>2461</v>
      </c>
      <c r="G1044">
        <v>1</v>
      </c>
      <c r="H1044" s="4">
        <v>10</v>
      </c>
    </row>
    <row r="1045" spans="1:8" x14ac:dyDescent="0.2">
      <c r="A1045" t="s">
        <v>2462</v>
      </c>
      <c r="B1045" s="1" t="str">
        <f>HYPERLINK("http://www.chemspider.com/Chemical-Structure.29131.html","29131")</f>
        <v>29131</v>
      </c>
      <c r="C1045" s="1" t="str">
        <f>HYPERLINK("https://www.ebi.ac.uk/chembl/compound/inspect/CHEMBL1551","CHEMBL1551")</f>
        <v>CHEMBL1551</v>
      </c>
      <c r="D1045" t="s">
        <v>9</v>
      </c>
      <c r="E1045" t="s">
        <v>2463</v>
      </c>
      <c r="F1045" t="s">
        <v>2464</v>
      </c>
      <c r="G1045">
        <v>41</v>
      </c>
      <c r="H1045" s="4">
        <v>10</v>
      </c>
    </row>
    <row r="1046" spans="1:8" x14ac:dyDescent="0.2">
      <c r="A1046" t="s">
        <v>2465</v>
      </c>
      <c r="B1046" s="1" t="str">
        <f>HYPERLINK("http://www.chemspider.com/Chemical-Structure.4446908.html","4446908")</f>
        <v>4446908</v>
      </c>
      <c r="C1046" s="1" t="str">
        <f>HYPERLINK("https://www.ebi.ac.uk/chembl/compound/inspect/CHEMBL272621","CHEMBL272621")</f>
        <v>CHEMBL272621</v>
      </c>
      <c r="D1046" t="s">
        <v>1</v>
      </c>
      <c r="E1046" t="s">
        <v>2466</v>
      </c>
      <c r="F1046" t="s">
        <v>2467</v>
      </c>
      <c r="G1046">
        <v>0</v>
      </c>
      <c r="H1046" s="4">
        <v>10</v>
      </c>
    </row>
    <row r="1047" spans="1:8" x14ac:dyDescent="0.2">
      <c r="A1047" t="s">
        <v>2468</v>
      </c>
      <c r="B1047" s="1" t="str">
        <f>HYPERLINK("http://www.chemspider.com/Chemical-Structure.4470740.html","4470740")</f>
        <v>4470740</v>
      </c>
      <c r="C1047" s="1" t="str">
        <f>HYPERLINK("https://www.ebi.ac.uk/chembl/compound/inspect/CHEMBL1051","CHEMBL1051")</f>
        <v>CHEMBL1051</v>
      </c>
      <c r="D1047" t="s">
        <v>1</v>
      </c>
      <c r="G1047">
        <v>0</v>
      </c>
      <c r="H1047" s="4">
        <v>10.3</v>
      </c>
    </row>
    <row r="1048" spans="1:8" x14ac:dyDescent="0.2">
      <c r="A1048" t="s">
        <v>2469</v>
      </c>
      <c r="B1048" s="1" t="str">
        <f>HYPERLINK("http://www.chemspider.com/Chemical-Structure.228597.html","228597")</f>
        <v>228597</v>
      </c>
      <c r="G1048">
        <v>0</v>
      </c>
      <c r="H1048" s="4">
        <v>10</v>
      </c>
    </row>
    <row r="1049" spans="1:8" x14ac:dyDescent="0.2">
      <c r="A1049" t="s">
        <v>2470</v>
      </c>
      <c r="B1049" s="1" t="str">
        <f>HYPERLINK("http://www.chemspider.com/Chemical-Structure.4515036.html","4515036")</f>
        <v>4515036</v>
      </c>
      <c r="C1049" s="1" t="str">
        <f>HYPERLINK("https://www.ebi.ac.uk/chembl/compound/inspect/CHEMBL115","CHEMBL115")</f>
        <v>CHEMBL115</v>
      </c>
      <c r="D1049" t="s">
        <v>9</v>
      </c>
      <c r="E1049" t="s">
        <v>2471</v>
      </c>
      <c r="F1049" t="s">
        <v>2472</v>
      </c>
      <c r="G1049">
        <v>199</v>
      </c>
      <c r="H1049" s="4">
        <v>10</v>
      </c>
    </row>
    <row r="1050" spans="1:8" x14ac:dyDescent="0.2">
      <c r="A1050" t="s">
        <v>2473</v>
      </c>
      <c r="B1050" s="1" t="str">
        <f>HYPERLINK("http://www.chemspider.com/Chemical-Structure.106361.html","106361")</f>
        <v>106361</v>
      </c>
      <c r="C1050" s="1" t="str">
        <f>HYPERLINK("https://www.ebi.ac.uk/chembl/compound/inspect/CHEMBL404313","CHEMBL404313")</f>
        <v>CHEMBL404313</v>
      </c>
      <c r="D1050" t="s">
        <v>1</v>
      </c>
      <c r="E1050" t="s">
        <v>2474</v>
      </c>
      <c r="F1050" t="s">
        <v>2475</v>
      </c>
      <c r="G1050">
        <v>7784</v>
      </c>
      <c r="H1050" s="4">
        <v>10</v>
      </c>
    </row>
    <row r="1051" spans="1:8" x14ac:dyDescent="0.2">
      <c r="A1051" t="s">
        <v>2476</v>
      </c>
      <c r="B1051" s="1" t="str">
        <f>HYPERLINK("http://www.chemspider.com/Chemical-Structure.17459988.html","17459988")</f>
        <v>17459988</v>
      </c>
      <c r="C1051" s="1" t="str">
        <f>HYPERLINK("https://www.ebi.ac.uk/chembl/compound/inspect/CHEMBL354048","CHEMBL354048")</f>
        <v>CHEMBL354048</v>
      </c>
      <c r="D1051" t="s">
        <v>1</v>
      </c>
      <c r="E1051" t="s">
        <v>2477</v>
      </c>
      <c r="G1051">
        <v>0</v>
      </c>
      <c r="H1051" s="4">
        <v>10</v>
      </c>
    </row>
    <row r="1052" spans="1:8" x14ac:dyDescent="0.2">
      <c r="A1052" t="s">
        <v>2478</v>
      </c>
      <c r="B1052" s="1" t="str">
        <f>HYPERLINK("http://www.chemspider.com/Chemical-Structure.81667.html","81667")</f>
        <v>81667</v>
      </c>
      <c r="C1052" s="1" t="str">
        <f>HYPERLINK("https://www.ebi.ac.uk/chembl/compound/inspect/CHEMBL588619","CHEMBL588619")</f>
        <v>CHEMBL588619</v>
      </c>
      <c r="D1052" t="s">
        <v>1</v>
      </c>
      <c r="E1052" t="s">
        <v>2479</v>
      </c>
      <c r="F1052" t="s">
        <v>2480</v>
      </c>
      <c r="G1052">
        <v>0</v>
      </c>
      <c r="H1052" s="4">
        <v>10</v>
      </c>
    </row>
    <row r="1053" spans="1:8" x14ac:dyDescent="0.2">
      <c r="A1053" t="s">
        <v>2481</v>
      </c>
      <c r="B1053" s="1" t="str">
        <f>HYPERLINK("http://www.chemspider.com/Chemical-Structure.83744.html","83744")</f>
        <v>83744</v>
      </c>
      <c r="C1053" s="1" t="str">
        <f>HYPERLINK("https://www.ebi.ac.uk/chembl/compound/inspect/CHEMBL31410","CHEMBL31410")</f>
        <v>CHEMBL31410</v>
      </c>
      <c r="D1053" t="s">
        <v>1</v>
      </c>
      <c r="E1053" t="s">
        <v>2482</v>
      </c>
      <c r="F1053" t="s">
        <v>2483</v>
      </c>
      <c r="G1053">
        <v>0</v>
      </c>
      <c r="H1053" s="4">
        <v>10</v>
      </c>
    </row>
    <row r="1054" spans="1:8" x14ac:dyDescent="0.2">
      <c r="A1054" t="s">
        <v>2484</v>
      </c>
      <c r="B1054" s="1" t="str">
        <f>HYPERLINK("http://www.chemspider.com/Chemical-Structure.8622.html","8622")</f>
        <v>8622</v>
      </c>
      <c r="C1054" s="1" t="str">
        <f>HYPERLINK("https://www.ebi.ac.uk/chembl/compound/inspect/CHEMBL15245","CHEMBL15245")</f>
        <v>CHEMBL15245</v>
      </c>
      <c r="D1054" t="s">
        <v>1</v>
      </c>
      <c r="E1054" t="s">
        <v>2485</v>
      </c>
      <c r="F1054" t="s">
        <v>2486</v>
      </c>
      <c r="G1054">
        <v>55</v>
      </c>
      <c r="H1054" s="4">
        <v>10</v>
      </c>
    </row>
    <row r="1055" spans="1:8" x14ac:dyDescent="0.2">
      <c r="A1055" t="s">
        <v>2487</v>
      </c>
      <c r="B1055" s="1" t="str">
        <f>HYPERLINK("http://www.chemspider.com/Chemical-Structure.10062.html","10062")</f>
        <v>10062</v>
      </c>
      <c r="C1055" s="1" t="str">
        <f>HYPERLINK("https://www.ebi.ac.uk/chembl/compound/inspect/CHEMBL168","CHEMBL168")</f>
        <v>CHEMBL168</v>
      </c>
      <c r="D1055" t="s">
        <v>1</v>
      </c>
      <c r="E1055" t="s">
        <v>2488</v>
      </c>
      <c r="F1055" t="s">
        <v>2489</v>
      </c>
      <c r="G1055">
        <v>0</v>
      </c>
      <c r="H1055" s="4">
        <v>10</v>
      </c>
    </row>
    <row r="1056" spans="1:8" x14ac:dyDescent="0.2">
      <c r="A1056" t="s">
        <v>2490</v>
      </c>
      <c r="B1056" s="1" t="str">
        <f>HYPERLINK("http://www.chemspider.com/Chemical-Structure.58472.html","58472")</f>
        <v>58472</v>
      </c>
      <c r="C1056" s="1" t="str">
        <f>HYPERLINK("https://www.ebi.ac.uk/chembl/compound/inspect/CHEMBL169","CHEMBL169")</f>
        <v>CHEMBL169</v>
      </c>
      <c r="D1056" t="s">
        <v>1</v>
      </c>
      <c r="E1056" t="s">
        <v>2491</v>
      </c>
      <c r="F1056" t="s">
        <v>2492</v>
      </c>
      <c r="G1056">
        <v>7774</v>
      </c>
      <c r="H1056" s="4">
        <v>10</v>
      </c>
    </row>
    <row r="1057" spans="1:8" x14ac:dyDescent="0.2">
      <c r="A1057" t="s">
        <v>2493</v>
      </c>
      <c r="B1057" s="1" t="str">
        <f>HYPERLINK("http://www.chemspider.com/Chemical-Structure.9048715.html","9048715")</f>
        <v>9048715</v>
      </c>
      <c r="G1057">
        <v>0</v>
      </c>
      <c r="H1057" s="4">
        <v>10</v>
      </c>
    </row>
    <row r="1058" spans="1:8" x14ac:dyDescent="0.2">
      <c r="A1058" t="s">
        <v>2494</v>
      </c>
      <c r="B1058" s="1" t="str">
        <f>HYPERLINK("http://www.chemspider.com/Chemical-Structure.16744099.html","16744099")</f>
        <v>16744099</v>
      </c>
      <c r="G1058">
        <v>0</v>
      </c>
      <c r="H1058" s="4">
        <v>10.1</v>
      </c>
    </row>
    <row r="1059" spans="1:8" x14ac:dyDescent="0.2">
      <c r="A1059" t="s">
        <v>2495</v>
      </c>
      <c r="B1059" s="1" t="str">
        <f>HYPERLINK("http://www.chemspider.com/Chemical-Structure.192176.html","192176")</f>
        <v>192176</v>
      </c>
      <c r="C1059" s="1" t="str">
        <f>HYPERLINK("https://www.ebi.ac.uk/chembl/compound/inspect/CHEMBL205596","CHEMBL205596")</f>
        <v>CHEMBL205596</v>
      </c>
      <c r="D1059" t="s">
        <v>1</v>
      </c>
      <c r="E1059" t="s">
        <v>2496</v>
      </c>
      <c r="F1059" t="s">
        <v>2497</v>
      </c>
      <c r="G1059">
        <v>7786</v>
      </c>
      <c r="H1059" s="4">
        <v>10</v>
      </c>
    </row>
    <row r="1060" spans="1:8" x14ac:dyDescent="0.2">
      <c r="A1060" t="s">
        <v>2498</v>
      </c>
      <c r="B1060" s="1" t="str">
        <f>HYPERLINK("http://www.chemspider.com/Chemical-Structure.29341886.html","29341886")</f>
        <v>29341886</v>
      </c>
      <c r="G1060">
        <v>0</v>
      </c>
      <c r="H1060" s="4">
        <v>50</v>
      </c>
    </row>
    <row r="1061" spans="1:8" x14ac:dyDescent="0.2">
      <c r="A1061" t="s">
        <v>2499</v>
      </c>
      <c r="B1061" s="1" t="str">
        <f>HYPERLINK("http://www.chemspider.com/Chemical-Structure.65784.html","65784")</f>
        <v>65784</v>
      </c>
      <c r="C1061" s="1" t="str">
        <f>HYPERLINK("https://www.ebi.ac.uk/chembl/compound/inspect/CHEMBL8771","CHEMBL8771")</f>
        <v>CHEMBL8771</v>
      </c>
      <c r="D1061" t="s">
        <v>1</v>
      </c>
      <c r="E1061" t="s">
        <v>2500</v>
      </c>
      <c r="F1061" t="s">
        <v>2501</v>
      </c>
      <c r="G1061">
        <v>114953</v>
      </c>
      <c r="H1061" s="4">
        <v>10</v>
      </c>
    </row>
    <row r="1062" spans="1:8" x14ac:dyDescent="0.2">
      <c r="A1062" t="s">
        <v>2502</v>
      </c>
      <c r="B1062" s="1" t="str">
        <f>HYPERLINK("http://www.chemspider.com/Chemical-Structure.46764.html","46764")</f>
        <v>46764</v>
      </c>
      <c r="C1062" s="1" t="str">
        <f>HYPERLINK("https://www.ebi.ac.uk/chembl/compound/inspect/CHEMBL1029","CHEMBL1029")</f>
        <v>CHEMBL1029</v>
      </c>
      <c r="D1062" t="s">
        <v>9</v>
      </c>
      <c r="E1062" t="s">
        <v>2503</v>
      </c>
      <c r="F1062" t="s">
        <v>2504</v>
      </c>
      <c r="G1062">
        <v>28</v>
      </c>
      <c r="H1062" s="4">
        <v>11.6</v>
      </c>
    </row>
    <row r="1063" spans="1:8" x14ac:dyDescent="0.2">
      <c r="A1063" t="s">
        <v>2505</v>
      </c>
      <c r="B1063" s="1" t="str">
        <f>HYPERLINK("http://www.chemspider.com/Chemical-Structure.390074.html","390074")</f>
        <v>390074</v>
      </c>
      <c r="C1063" s="1" t="str">
        <f>HYPERLINK("https://www.ebi.ac.uk/chembl/compound/inspect/CHEMBL1561","CHEMBL1561")</f>
        <v>CHEMBL1561</v>
      </c>
      <c r="D1063" t="s">
        <v>9</v>
      </c>
      <c r="E1063" t="s">
        <v>2506</v>
      </c>
      <c r="F1063" t="s">
        <v>2507</v>
      </c>
      <c r="G1063">
        <v>18</v>
      </c>
      <c r="H1063" s="4">
        <v>10</v>
      </c>
    </row>
    <row r="1064" spans="1:8" x14ac:dyDescent="0.2">
      <c r="A1064" t="s">
        <v>2508</v>
      </c>
      <c r="B1064" s="1" t="str">
        <f>HYPERLINK("http://www.chemspider.com/Chemical-Structure.13168.html","13168")</f>
        <v>13168</v>
      </c>
      <c r="C1064" s="1" t="str">
        <f>HYPERLINK("https://www.ebi.ac.uk/chembl/compound/inspect/CHEMBL1200623","CHEMBL1200623")</f>
        <v>CHEMBL1200623</v>
      </c>
      <c r="D1064" t="s">
        <v>9</v>
      </c>
      <c r="E1064" t="s">
        <v>2509</v>
      </c>
      <c r="F1064" t="s">
        <v>2510</v>
      </c>
      <c r="G1064">
        <v>0</v>
      </c>
      <c r="H1064" s="4">
        <v>10</v>
      </c>
    </row>
    <row r="1065" spans="1:8" x14ac:dyDescent="0.2">
      <c r="A1065" t="s">
        <v>2511</v>
      </c>
      <c r="B1065" s="1" t="str">
        <f>HYPERLINK("http://www.chemspider.com/Chemical-Structure.199375.html","199375")</f>
        <v>199375</v>
      </c>
      <c r="C1065" s="1" t="str">
        <f>HYPERLINK("https://www.ebi.ac.uk/chembl/compound/inspect/CHEMBL1079446","CHEMBL1079446")</f>
        <v>CHEMBL1079446</v>
      </c>
      <c r="D1065" t="s">
        <v>1</v>
      </c>
      <c r="E1065" t="s">
        <v>2512</v>
      </c>
      <c r="F1065" t="s">
        <v>2513</v>
      </c>
      <c r="G1065">
        <v>0</v>
      </c>
      <c r="H1065" s="4">
        <v>10.1</v>
      </c>
    </row>
    <row r="1066" spans="1:8" x14ac:dyDescent="0.2">
      <c r="A1066" t="s">
        <v>2514</v>
      </c>
      <c r="B1066" s="1" t="str">
        <f>HYPERLINK("http://www.chemspider.com/Chemical-Structure.23582.html","23582")</f>
        <v>23582</v>
      </c>
      <c r="G1066">
        <v>0</v>
      </c>
      <c r="H1066" s="4">
        <v>10</v>
      </c>
    </row>
    <row r="1067" spans="1:8" x14ac:dyDescent="0.2">
      <c r="A1067" t="s">
        <v>2515</v>
      </c>
      <c r="B1067" s="1" t="str">
        <f>HYPERLINK("http://www.chemspider.com/Chemical-Structure.23582.html","23582")</f>
        <v>23582</v>
      </c>
      <c r="G1067">
        <v>0</v>
      </c>
      <c r="H1067" s="4">
        <v>10</v>
      </c>
    </row>
    <row r="1068" spans="1:8" x14ac:dyDescent="0.2">
      <c r="A1068" t="s">
        <v>2516</v>
      </c>
      <c r="B1068" s="1" t="str">
        <f>HYPERLINK("http://www.chemspider.com/Chemical-Structure.21395695.html","21395695")</f>
        <v>21395695</v>
      </c>
      <c r="C1068" s="1" t="str">
        <f>HYPERLINK("https://www.ebi.ac.uk/chembl/compound/inspect/CHEMBL35349","CHEMBL35349")</f>
        <v>CHEMBL35349</v>
      </c>
      <c r="D1068" t="s">
        <v>1</v>
      </c>
      <c r="F1068" t="s">
        <v>2517</v>
      </c>
      <c r="G1068">
        <v>0</v>
      </c>
      <c r="H1068" s="4">
        <v>10</v>
      </c>
    </row>
    <row r="1069" spans="1:8" x14ac:dyDescent="0.2">
      <c r="A1069" t="s">
        <v>2518</v>
      </c>
      <c r="B1069" s="1" t="str">
        <f>HYPERLINK("http://www.chemspider.com/Chemical-Structure.2010.html","2010")</f>
        <v>2010</v>
      </c>
      <c r="C1069" s="1" t="str">
        <f>HYPERLINK("https://www.ebi.ac.uk/chembl/compound/inspect/CHEMBL1467","CHEMBL1467")</f>
        <v>CHEMBL1467</v>
      </c>
      <c r="D1069" t="s">
        <v>9</v>
      </c>
      <c r="E1069" t="s">
        <v>2076</v>
      </c>
      <c r="F1069" t="s">
        <v>2077</v>
      </c>
      <c r="G1069">
        <v>291</v>
      </c>
      <c r="H1069" s="4">
        <v>10</v>
      </c>
    </row>
    <row r="1070" spans="1:8" x14ac:dyDescent="0.2">
      <c r="A1070" t="s">
        <v>2519</v>
      </c>
      <c r="B1070" s="1" t="str">
        <f>HYPERLINK("http://www.chemspider.com/Chemical-Structure.1021.html","1021")</f>
        <v>1021</v>
      </c>
      <c r="C1070" s="1" t="str">
        <f>HYPERLINK("https://www.ebi.ac.uk/chembl/compound/inspect/CHEMBL102970","CHEMBL102970")</f>
        <v>CHEMBL102970</v>
      </c>
      <c r="D1070" t="s">
        <v>1</v>
      </c>
      <c r="E1070" t="s">
        <v>2520</v>
      </c>
      <c r="F1070" t="s">
        <v>2521</v>
      </c>
      <c r="G1070">
        <v>79</v>
      </c>
      <c r="H1070" s="4">
        <v>10</v>
      </c>
    </row>
    <row r="1071" spans="1:8" x14ac:dyDescent="0.2">
      <c r="A1071" t="s">
        <v>2522</v>
      </c>
      <c r="B1071" s="1" t="str">
        <f>HYPERLINK("http://www.chemspider.com/Chemical-Structure.1025.html","1025")</f>
        <v>1025</v>
      </c>
      <c r="C1071" s="1" t="str">
        <f>HYPERLINK("https://www.ebi.ac.uk/chembl/compound/inspect/CHEMBL1364","CHEMBL1364")</f>
        <v>CHEMBL1364</v>
      </c>
      <c r="D1071" t="s">
        <v>9</v>
      </c>
      <c r="E1071" t="s">
        <v>2523</v>
      </c>
      <c r="F1071" t="s">
        <v>2524</v>
      </c>
      <c r="G1071">
        <v>130</v>
      </c>
      <c r="H1071" s="4">
        <v>10</v>
      </c>
    </row>
    <row r="1072" spans="1:8" x14ac:dyDescent="0.2">
      <c r="A1072" t="s">
        <v>2525</v>
      </c>
      <c r="B1072" s="1" t="str">
        <f>HYPERLINK("http://www.chemspider.com/Chemical-Structure.3383.html","3383")</f>
        <v>3383</v>
      </c>
      <c r="C1072" s="1" t="str">
        <f>HYPERLINK("https://www.ebi.ac.uk/chembl/compound/inspect/CHEMBL51483","CHEMBL51483")</f>
        <v>CHEMBL51483</v>
      </c>
      <c r="D1072" t="s">
        <v>1</v>
      </c>
      <c r="E1072" t="s">
        <v>2526</v>
      </c>
      <c r="F1072" t="s">
        <v>2527</v>
      </c>
      <c r="G1072">
        <v>64</v>
      </c>
      <c r="H1072" s="4">
        <v>10</v>
      </c>
    </row>
    <row r="1073" spans="1:8" x14ac:dyDescent="0.2">
      <c r="A1073" t="s">
        <v>2528</v>
      </c>
      <c r="B1073" s="1" t="str">
        <f>HYPERLINK("http://www.chemspider.com/Chemical-Structure.12693.html","12693")</f>
        <v>12693</v>
      </c>
      <c r="C1073" s="1" t="str">
        <f>HYPERLINK("https://www.ebi.ac.uk/chembl/compound/inspect/CHEMBL453196","CHEMBL453196")</f>
        <v>CHEMBL453196</v>
      </c>
      <c r="D1073" t="s">
        <v>1</v>
      </c>
      <c r="E1073" t="s">
        <v>2529</v>
      </c>
      <c r="F1073" t="s">
        <v>2530</v>
      </c>
      <c r="G1073">
        <v>0</v>
      </c>
      <c r="H1073" s="4">
        <v>10</v>
      </c>
    </row>
    <row r="1074" spans="1:8" x14ac:dyDescent="0.2">
      <c r="A1074" t="s">
        <v>2531</v>
      </c>
      <c r="B1074" s="1" t="str">
        <f>HYPERLINK("http://www.chemspider.com/Chemical-Structure.4444537.html","4444537")</f>
        <v>4444537</v>
      </c>
      <c r="C1074" s="1" t="str">
        <f>HYPERLINK("https://www.ebi.ac.uk/chembl/compound/inspect/CHEMBL953","CHEMBL953")</f>
        <v>CHEMBL953</v>
      </c>
      <c r="D1074" t="s">
        <v>9</v>
      </c>
      <c r="E1074" t="s">
        <v>2532</v>
      </c>
      <c r="F1074" t="s">
        <v>2533</v>
      </c>
      <c r="G1074">
        <v>89</v>
      </c>
      <c r="H1074" s="4">
        <v>9.9998444400000004</v>
      </c>
    </row>
    <row r="1075" spans="1:8" x14ac:dyDescent="0.2">
      <c r="A1075" t="s">
        <v>2534</v>
      </c>
      <c r="B1075" s="1" t="str">
        <f>HYPERLINK("http://www.chemspider.com/Chemical-Structure.8228.html","8228")</f>
        <v>8228</v>
      </c>
      <c r="C1075" s="1" t="str">
        <f>HYPERLINK("https://www.ebi.ac.uk/chembl/compound/inspect/CHEMBL177880","CHEMBL177880")</f>
        <v>CHEMBL177880</v>
      </c>
      <c r="D1075" t="s">
        <v>1</v>
      </c>
      <c r="E1075" t="s">
        <v>2535</v>
      </c>
      <c r="F1075" t="s">
        <v>2536</v>
      </c>
      <c r="G1075">
        <v>7776</v>
      </c>
      <c r="H1075" s="4">
        <v>10</v>
      </c>
    </row>
    <row r="1076" spans="1:8" x14ac:dyDescent="0.2">
      <c r="A1076" t="s">
        <v>2537</v>
      </c>
      <c r="B1076" s="1" t="str">
        <f>HYPERLINK("http://www.chemspider.com/Chemical-Structure.4774.html","4774")</f>
        <v>4774</v>
      </c>
      <c r="C1076" s="1" t="str">
        <f>HYPERLINK("https://www.ebi.ac.uk/chembl/compound/inspect/CHEMBL526","CHEMBL526")</f>
        <v>CHEMBL526</v>
      </c>
      <c r="D1076" t="s">
        <v>9</v>
      </c>
      <c r="E1076" t="s">
        <v>2538</v>
      </c>
      <c r="F1076" t="s">
        <v>2539</v>
      </c>
      <c r="G1076">
        <v>1314</v>
      </c>
      <c r="H1076" s="4">
        <v>10</v>
      </c>
    </row>
    <row r="1077" spans="1:8" x14ac:dyDescent="0.2">
      <c r="A1077" t="s">
        <v>2540</v>
      </c>
      <c r="B1077" s="1" t="str">
        <f>HYPERLINK("http://www.chemspider.com/Chemical-Structure.4067.html","4067")</f>
        <v>4067</v>
      </c>
      <c r="C1077" s="1" t="str">
        <f>HYPERLINK("https://www.ebi.ac.uk/chembl/compound/inspect/CHEMBL58","CHEMBL58")</f>
        <v>CHEMBL58</v>
      </c>
      <c r="D1077" t="s">
        <v>9</v>
      </c>
      <c r="E1077" t="s">
        <v>2541</v>
      </c>
      <c r="F1077" t="s">
        <v>2542</v>
      </c>
      <c r="G1077">
        <v>540</v>
      </c>
      <c r="H1077" s="4">
        <v>10.000827109999999</v>
      </c>
    </row>
    <row r="1078" spans="1:8" x14ac:dyDescent="0.2">
      <c r="A1078" t="s">
        <v>2543</v>
      </c>
      <c r="B1078" s="1" t="str">
        <f>HYPERLINK("http://www.chemspider.com/Chemical-Structure.6431.html","6431")</f>
        <v>6431</v>
      </c>
      <c r="C1078" s="1" t="str">
        <f>HYPERLINK("https://www.ebi.ac.uk/chembl/compound/inspect/CHEMBL294264","CHEMBL294264")</f>
        <v>CHEMBL294264</v>
      </c>
      <c r="D1078" t="s">
        <v>1</v>
      </c>
      <c r="E1078" t="s">
        <v>2544</v>
      </c>
      <c r="F1078" t="s">
        <v>2545</v>
      </c>
      <c r="G1078">
        <v>0</v>
      </c>
      <c r="H1078" s="4">
        <v>10</v>
      </c>
    </row>
    <row r="1079" spans="1:8" x14ac:dyDescent="0.2">
      <c r="A1079" t="s">
        <v>2546</v>
      </c>
      <c r="B1079" s="1" t="str">
        <f>HYPERLINK("http://www.chemspider.com/Chemical-Structure.9762.html","9762")</f>
        <v>9762</v>
      </c>
      <c r="C1079" s="1" t="str">
        <f>HYPERLINK("https://www.ebi.ac.uk/chembl/compound/inspect/CHEMBL418068","CHEMBL418068")</f>
        <v>CHEMBL418068</v>
      </c>
      <c r="D1079" t="s">
        <v>1</v>
      </c>
      <c r="E1079" t="s">
        <v>2547</v>
      </c>
      <c r="F1079" t="s">
        <v>2548</v>
      </c>
      <c r="G1079">
        <v>3</v>
      </c>
      <c r="H1079" s="4">
        <v>10</v>
      </c>
    </row>
    <row r="1080" spans="1:8" x14ac:dyDescent="0.2">
      <c r="A1080" t="s">
        <v>2549</v>
      </c>
      <c r="B1080" s="1" t="str">
        <f>HYPERLINK("http://www.chemspider.com/Chemical-Structure.3107.html","3107")</f>
        <v>3107</v>
      </c>
      <c r="C1080" s="1" t="str">
        <f>HYPERLINK("https://www.ebi.ac.uk/chembl/compound/inspect/CHEMBL289277","CHEMBL289277")</f>
        <v>CHEMBL289277</v>
      </c>
      <c r="D1080" t="s">
        <v>1</v>
      </c>
      <c r="E1080" t="s">
        <v>2550</v>
      </c>
      <c r="F1080" t="s">
        <v>2551</v>
      </c>
      <c r="G1080">
        <v>4</v>
      </c>
      <c r="H1080" s="4">
        <v>10</v>
      </c>
    </row>
    <row r="1081" spans="1:8" x14ac:dyDescent="0.2">
      <c r="A1081" t="s">
        <v>2552</v>
      </c>
      <c r="B1081" s="1" t="str">
        <f>HYPERLINK("http://www.chemspider.com/Chemical-Structure.9793.html","9793")</f>
        <v>9793</v>
      </c>
      <c r="C1081" s="1" t="str">
        <f>HYPERLINK("https://www.ebi.ac.uk/chembl/compound/inspect/CHEMBL41092","CHEMBL41092")</f>
        <v>CHEMBL41092</v>
      </c>
      <c r="D1081" t="s">
        <v>1</v>
      </c>
      <c r="F1081" t="s">
        <v>2553</v>
      </c>
      <c r="G1081">
        <v>0</v>
      </c>
      <c r="H1081" s="4">
        <v>10</v>
      </c>
    </row>
    <row r="1082" spans="1:8" x14ac:dyDescent="0.2">
      <c r="A1082" t="s">
        <v>2554</v>
      </c>
      <c r="B1082" s="1" t="str">
        <f>HYPERLINK("http://www.chemspider.com/Chemical-Structure.9790.html","9790")</f>
        <v>9790</v>
      </c>
      <c r="C1082" s="1" t="str">
        <f>HYPERLINK("https://www.ebi.ac.uk/chembl/compound/inspect/CHEMBL295316","CHEMBL295316")</f>
        <v>CHEMBL295316</v>
      </c>
      <c r="D1082" t="s">
        <v>1</v>
      </c>
      <c r="E1082" t="s">
        <v>2555</v>
      </c>
      <c r="F1082" t="s">
        <v>2556</v>
      </c>
      <c r="G1082">
        <v>0</v>
      </c>
      <c r="H1082" s="4">
        <v>50</v>
      </c>
    </row>
    <row r="1083" spans="1:8" x14ac:dyDescent="0.2">
      <c r="A1083" t="s">
        <v>2557</v>
      </c>
      <c r="B1083" s="1" t="str">
        <f>HYPERLINK("http://www.chemspider.com/Chemical-Structure.66696.html","66696")</f>
        <v>66696</v>
      </c>
      <c r="C1083" s="1" t="str">
        <f>HYPERLINK("https://www.ebi.ac.uk/chembl/compound/inspect/CHEMBL1368601","CHEMBL1368601")</f>
        <v>CHEMBL1368601</v>
      </c>
      <c r="D1083" t="s">
        <v>1</v>
      </c>
      <c r="F1083" t="s">
        <v>2558</v>
      </c>
      <c r="G1083">
        <v>0</v>
      </c>
      <c r="H1083" s="4">
        <v>5</v>
      </c>
    </row>
    <row r="1084" spans="1:8" x14ac:dyDescent="0.2">
      <c r="A1084" t="s">
        <v>2559</v>
      </c>
      <c r="B1084" s="1" t="str">
        <f>HYPERLINK("http://www.chemspider.com/Chemical-Structure.404518.html","404518")</f>
        <v>404518</v>
      </c>
      <c r="C1084" s="1" t="str">
        <f>HYPERLINK("https://www.ebi.ac.uk/chembl/compound/inspect/CHEMBL1230640","CHEMBL1230640")</f>
        <v>CHEMBL1230640</v>
      </c>
      <c r="D1084" t="s">
        <v>1</v>
      </c>
      <c r="F1084" t="s">
        <v>2560</v>
      </c>
      <c r="G1084">
        <v>0</v>
      </c>
      <c r="H1084" s="4">
        <v>50</v>
      </c>
    </row>
    <row r="1085" spans="1:8" x14ac:dyDescent="0.2">
      <c r="A1085" t="s">
        <v>2561</v>
      </c>
      <c r="B1085" s="1" t="str">
        <f>HYPERLINK("http://www.chemspider.com/Chemical-Structure.16736799.html","16736799")</f>
        <v>16736799</v>
      </c>
      <c r="C1085" s="1" t="str">
        <f>HYPERLINK("https://www.ebi.ac.uk/chembl/compound/inspect/CHEMBL1505471","CHEMBL1505471")</f>
        <v>CHEMBL1505471</v>
      </c>
      <c r="D1085" t="s">
        <v>1</v>
      </c>
      <c r="E1085" t="s">
        <v>2562</v>
      </c>
      <c r="F1085" t="s">
        <v>2563</v>
      </c>
      <c r="G1085">
        <v>0</v>
      </c>
      <c r="H1085" s="4">
        <v>10</v>
      </c>
    </row>
    <row r="1086" spans="1:8" x14ac:dyDescent="0.2">
      <c r="A1086" t="s">
        <v>2564</v>
      </c>
      <c r="B1086" s="1" t="str">
        <f>HYPERLINK("http://www.chemspider.com/Chemical-Structure.61386.html","61386")</f>
        <v>61386</v>
      </c>
      <c r="C1086" s="1" t="str">
        <f>HYPERLINK("https://www.ebi.ac.uk/chembl/compound/inspect/CHEMBL452477","CHEMBL452477")</f>
        <v>CHEMBL452477</v>
      </c>
      <c r="D1086" t="s">
        <v>1</v>
      </c>
      <c r="E1086" t="s">
        <v>2565</v>
      </c>
      <c r="F1086" t="s">
        <v>2566</v>
      </c>
      <c r="G1086">
        <v>0</v>
      </c>
      <c r="H1086" s="4">
        <v>10</v>
      </c>
    </row>
    <row r="1087" spans="1:8" x14ac:dyDescent="0.2">
      <c r="A1087" t="s">
        <v>2567</v>
      </c>
      <c r="B1087" s="1" t="str">
        <f>HYPERLINK("http://www.chemspider.com/Chemical-Structure.4624.html","4624")</f>
        <v>4624</v>
      </c>
      <c r="C1087" s="1" t="str">
        <f>HYPERLINK("https://www.ebi.ac.uk/chembl/compound/inspect/CHEMBL45068","CHEMBL45068")</f>
        <v>CHEMBL45068</v>
      </c>
      <c r="D1087" t="s">
        <v>1</v>
      </c>
      <c r="E1087" t="s">
        <v>2568</v>
      </c>
      <c r="F1087" t="s">
        <v>2569</v>
      </c>
      <c r="G1087">
        <v>0</v>
      </c>
      <c r="H1087" s="4">
        <v>10</v>
      </c>
    </row>
    <row r="1088" spans="1:8" x14ac:dyDescent="0.2">
      <c r="A1088" t="s">
        <v>2570</v>
      </c>
      <c r="B1088" s="1" t="str">
        <f>HYPERLINK("http://www.chemspider.com/Chemical-Structure.553829.html","553829")</f>
        <v>553829</v>
      </c>
      <c r="C1088" s="1" t="str">
        <f>HYPERLINK("https://www.ebi.ac.uk/chembl/compound/inspect/CHEMBL129795","CHEMBL129795")</f>
        <v>CHEMBL129795</v>
      </c>
      <c r="D1088" t="s">
        <v>1</v>
      </c>
      <c r="E1088" t="s">
        <v>2571</v>
      </c>
      <c r="F1088" t="s">
        <v>2572</v>
      </c>
      <c r="G1088">
        <v>0</v>
      </c>
      <c r="H1088" s="4">
        <v>10</v>
      </c>
    </row>
    <row r="1089" spans="1:8" x14ac:dyDescent="0.2">
      <c r="A1089" t="s">
        <v>2573</v>
      </c>
      <c r="B1089" s="1" t="str">
        <f>HYPERLINK("http://www.chemspider.com/Chemical-Structure.3090.html","3090")</f>
        <v>3090</v>
      </c>
      <c r="C1089" s="1" t="str">
        <f>HYPERLINK("https://www.ebi.ac.uk/chembl/compound/inspect/CHEMBL1104","CHEMBL1104")</f>
        <v>CHEMBL1104</v>
      </c>
      <c r="D1089" t="s">
        <v>9</v>
      </c>
      <c r="E1089" t="s">
        <v>2574</v>
      </c>
      <c r="F1089" t="s">
        <v>2575</v>
      </c>
      <c r="G1089">
        <v>3</v>
      </c>
      <c r="H1089" s="4">
        <v>10</v>
      </c>
    </row>
    <row r="1090" spans="1:8" x14ac:dyDescent="0.2">
      <c r="A1090" t="s">
        <v>2576</v>
      </c>
      <c r="B1090" s="1" t="str">
        <f>HYPERLINK("http://www.chemspider.com/Chemical-Structure.5210.html","5210")</f>
        <v>5210</v>
      </c>
      <c r="C1090" s="1" t="str">
        <f>HYPERLINK("https://www.ebi.ac.uk/chembl/compound/inspect/CHEMBL1760","CHEMBL1760")</f>
        <v>CHEMBL1760</v>
      </c>
      <c r="D1090" t="s">
        <v>9</v>
      </c>
      <c r="E1090" t="s">
        <v>2577</v>
      </c>
      <c r="F1090" t="s">
        <v>2578</v>
      </c>
      <c r="G1090">
        <v>56</v>
      </c>
      <c r="H1090" s="4">
        <v>10</v>
      </c>
    </row>
    <row r="1091" spans="1:8" x14ac:dyDescent="0.2">
      <c r="A1091" t="s">
        <v>2579</v>
      </c>
      <c r="B1091" s="1" t="str">
        <f>HYPERLINK("http://www.chemspider.com/Chemical-Structure.3944.html","3944")</f>
        <v>3944</v>
      </c>
      <c r="C1091" s="1" t="str">
        <f>HYPERLINK("https://www.ebi.ac.uk/chembl/compound/inspect/CHEMBL776","CHEMBL776")</f>
        <v>CHEMBL776</v>
      </c>
      <c r="D1091" t="s">
        <v>9</v>
      </c>
      <c r="E1091" t="s">
        <v>2580</v>
      </c>
      <c r="F1091" t="s">
        <v>2581</v>
      </c>
      <c r="G1091">
        <v>0</v>
      </c>
      <c r="H1091" s="4">
        <v>10</v>
      </c>
    </row>
    <row r="1092" spans="1:8" x14ac:dyDescent="0.2">
      <c r="A1092" t="s">
        <v>2582</v>
      </c>
      <c r="B1092" s="1" t="str">
        <f>HYPERLINK("http://www.chemspider.com/Chemical-Structure.1265933.html","1265933")</f>
        <v>1265933</v>
      </c>
      <c r="C1092" s="1" t="str">
        <f>HYPERLINK("https://www.ebi.ac.uk/chembl/compound/inspect/CHEMBL87333","CHEMBL87333")</f>
        <v>CHEMBL87333</v>
      </c>
      <c r="D1092" t="s">
        <v>1</v>
      </c>
      <c r="E1092" t="s">
        <v>2583</v>
      </c>
      <c r="F1092" t="s">
        <v>2584</v>
      </c>
      <c r="G1092">
        <v>0</v>
      </c>
      <c r="H1092" s="4">
        <v>50</v>
      </c>
    </row>
    <row r="1093" spans="1:8" x14ac:dyDescent="0.2">
      <c r="A1093" t="s">
        <v>2585</v>
      </c>
      <c r="B1093" s="1" t="str">
        <f>HYPERLINK("http://www.chemspider.com/Chemical-Structure.392875.html","392875")</f>
        <v>392875</v>
      </c>
      <c r="C1093" s="1" t="str">
        <f>HYPERLINK("https://www.ebi.ac.uk/chembl/compound/inspect/CHEMBL165","CHEMBL165")</f>
        <v>CHEMBL165</v>
      </c>
      <c r="D1093" t="s">
        <v>1</v>
      </c>
      <c r="E1093" t="s">
        <v>2586</v>
      </c>
      <c r="F1093" t="s">
        <v>2587</v>
      </c>
      <c r="G1093">
        <v>215</v>
      </c>
      <c r="H1093" s="4">
        <v>10</v>
      </c>
    </row>
    <row r="1094" spans="1:8" x14ac:dyDescent="0.2">
      <c r="A1094" t="s">
        <v>2588</v>
      </c>
      <c r="B1094" s="1" t="str">
        <f>HYPERLINK("http://www.chemspider.com/Chemical-Structure.28580666.html","28580666")</f>
        <v>28580666</v>
      </c>
      <c r="G1094">
        <v>0</v>
      </c>
      <c r="H1094" s="4">
        <v>20</v>
      </c>
    </row>
    <row r="1095" spans="1:8" x14ac:dyDescent="0.2">
      <c r="A1095" t="s">
        <v>2589</v>
      </c>
      <c r="B1095" s="1" t="str">
        <f>HYPERLINK("http://www.chemspider.com/Chemical-Structure.71.html","71")</f>
        <v>71</v>
      </c>
      <c r="C1095" s="1" t="str">
        <f>HYPERLINK("https://www.ebi.ac.uk/chembl/compound/inspect/CHEMBL37537","CHEMBL37537")</f>
        <v>CHEMBL37537</v>
      </c>
      <c r="D1095" t="s">
        <v>1</v>
      </c>
      <c r="E1095" t="s">
        <v>2590</v>
      </c>
      <c r="F1095" t="s">
        <v>2591</v>
      </c>
      <c r="G1095">
        <v>7791</v>
      </c>
      <c r="H1095" s="4" t="s">
        <v>3369</v>
      </c>
    </row>
    <row r="1096" spans="1:8" x14ac:dyDescent="0.2">
      <c r="A1096" t="s">
        <v>2592</v>
      </c>
      <c r="B1096" s="1" t="str">
        <f>HYPERLINK("http://www.chemspider.com/Chemical-Structure.926.html","926")</f>
        <v>926</v>
      </c>
      <c r="C1096" s="1" t="str">
        <f>HYPERLINK("https://www.ebi.ac.uk/chembl/compound/inspect/CHEMBL432","CHEMBL432")</f>
        <v>CHEMBL432</v>
      </c>
      <c r="D1096" t="s">
        <v>1</v>
      </c>
      <c r="F1096" t="s">
        <v>2593</v>
      </c>
      <c r="G1096">
        <v>0</v>
      </c>
      <c r="H1096" s="4">
        <v>10</v>
      </c>
    </row>
    <row r="1097" spans="1:8" x14ac:dyDescent="0.2">
      <c r="A1097" t="s">
        <v>2594</v>
      </c>
      <c r="B1097" s="1" t="str">
        <f>HYPERLINK("http://www.chemspider.com/Chemical-Structure.815.html","815")</f>
        <v>815</v>
      </c>
      <c r="C1097" s="1" t="str">
        <f>HYPERLINK("https://www.ebi.ac.uk/chembl/compound/inspect/CHEMBL1740","CHEMBL1740")</f>
        <v>CHEMBL1740</v>
      </c>
      <c r="D1097" t="s">
        <v>1</v>
      </c>
      <c r="E1097" t="s">
        <v>2595</v>
      </c>
      <c r="F1097" t="s">
        <v>2596</v>
      </c>
      <c r="G1097">
        <v>0</v>
      </c>
      <c r="H1097" s="4">
        <v>10</v>
      </c>
    </row>
    <row r="1098" spans="1:8" x14ac:dyDescent="0.2">
      <c r="A1098" t="s">
        <v>2597</v>
      </c>
      <c r="B1098" s="1" t="str">
        <f>HYPERLINK("http://www.chemspider.com/Chemical-Structure.3647.html","3647")</f>
        <v>3647</v>
      </c>
      <c r="C1098" s="1" t="str">
        <f>HYPERLINK("https://www.ebi.ac.uk/chembl/compound/inspect/CHEMBL434","CHEMBL434")</f>
        <v>CHEMBL434</v>
      </c>
      <c r="D1098" t="s">
        <v>9</v>
      </c>
      <c r="E1098" t="s">
        <v>2598</v>
      </c>
      <c r="F1098" t="s">
        <v>2599</v>
      </c>
      <c r="G1098">
        <v>18</v>
      </c>
      <c r="H1098" s="4">
        <v>10.00317781</v>
      </c>
    </row>
    <row r="1099" spans="1:8" x14ac:dyDescent="0.2">
      <c r="A1099" t="s">
        <v>2600</v>
      </c>
      <c r="B1099" s="1" t="str">
        <f>HYPERLINK("http://www.chemspider.com/Chemical-Structure.4375.html","4375")</f>
        <v>4375</v>
      </c>
      <c r="C1099" s="1" t="str">
        <f>HYPERLINK("https://www.ebi.ac.uk/chembl/compound/inspect/CHEMBL52","CHEMBL52")</f>
        <v>CHEMBL52</v>
      </c>
      <c r="D1099" t="s">
        <v>9</v>
      </c>
      <c r="E1099" t="s">
        <v>2601</v>
      </c>
      <c r="F1099" t="s">
        <v>2602</v>
      </c>
      <c r="G1099">
        <v>7777</v>
      </c>
      <c r="H1099" s="4">
        <v>10</v>
      </c>
    </row>
    <row r="1100" spans="1:8" x14ac:dyDescent="0.2">
      <c r="A1100" t="s">
        <v>2603</v>
      </c>
      <c r="B1100" s="1" t="str">
        <f>HYPERLINK("http://www.chemspider.com/Chemical-Structure.3995.html","3995")</f>
        <v>3995</v>
      </c>
      <c r="C1100" s="1" t="str">
        <f>HYPERLINK("https://www.ebi.ac.uk/chembl/compound/inspect/CHEMBL718","CHEMBL718")</f>
        <v>CHEMBL718</v>
      </c>
      <c r="D1100" t="s">
        <v>1</v>
      </c>
      <c r="E1100" t="s">
        <v>2604</v>
      </c>
      <c r="F1100" t="s">
        <v>2605</v>
      </c>
      <c r="G1100">
        <v>35</v>
      </c>
      <c r="H1100" s="4">
        <v>10</v>
      </c>
    </row>
    <row r="1101" spans="1:8" x14ac:dyDescent="0.2">
      <c r="A1101" t="s">
        <v>2606</v>
      </c>
      <c r="B1101" s="1" t="str">
        <f>HYPERLINK("http://www.chemspider.com/Chemical-Structure.2465.html","2465")</f>
        <v>2465</v>
      </c>
      <c r="C1101" s="1" t="str">
        <f>HYPERLINK("https://www.ebi.ac.uk/chembl/compound/inspect/CHEMBL1179357","CHEMBL1179357")</f>
        <v>CHEMBL1179357</v>
      </c>
      <c r="D1101" t="s">
        <v>1</v>
      </c>
      <c r="F1101" t="s">
        <v>2607</v>
      </c>
      <c r="G1101">
        <v>0</v>
      </c>
      <c r="H1101" s="4">
        <v>10</v>
      </c>
    </row>
    <row r="1102" spans="1:8" x14ac:dyDescent="0.2">
      <c r="A1102" t="s">
        <v>2608</v>
      </c>
      <c r="B1102" s="1" t="str">
        <f>HYPERLINK("http://www.chemspider.com/Chemical-Structure.532.html","532")</f>
        <v>532</v>
      </c>
      <c r="C1102" s="1" t="str">
        <f>HYPERLINK("https://www.ebi.ac.uk/chembl/compound/inspect/CHEMBL1284","CHEMBL1284")</f>
        <v>CHEMBL1284</v>
      </c>
      <c r="D1102" t="s">
        <v>1</v>
      </c>
      <c r="E1102" t="s">
        <v>2609</v>
      </c>
      <c r="F1102" t="s">
        <v>2610</v>
      </c>
      <c r="G1102">
        <v>7778</v>
      </c>
      <c r="H1102" s="4">
        <v>50</v>
      </c>
    </row>
    <row r="1103" spans="1:8" x14ac:dyDescent="0.2">
      <c r="A1103" t="s">
        <v>2611</v>
      </c>
      <c r="B1103" s="1" t="str">
        <f>HYPERLINK("http://www.chemspider.com/Chemical-Structure.388544.html","388544")</f>
        <v>388544</v>
      </c>
      <c r="G1103">
        <v>0</v>
      </c>
      <c r="H1103" s="4">
        <v>10</v>
      </c>
    </row>
    <row r="1104" spans="1:8" x14ac:dyDescent="0.2">
      <c r="A1104" t="s">
        <v>2612</v>
      </c>
      <c r="B1104" s="1" t="str">
        <f>HYPERLINK("http://www.chemspider.com/Chemical-Structure.661.html","661")</f>
        <v>661</v>
      </c>
      <c r="C1104" s="1" t="str">
        <f>HYPERLINK("https://www.ebi.ac.uk/chembl/compound/inspect/CHEMBL59","CHEMBL59")</f>
        <v>CHEMBL59</v>
      </c>
      <c r="D1104" t="s">
        <v>9</v>
      </c>
      <c r="E1104" t="s">
        <v>2613</v>
      </c>
      <c r="F1104" t="s">
        <v>2614</v>
      </c>
      <c r="G1104">
        <v>364</v>
      </c>
      <c r="H1104" s="4">
        <v>10.000409619999999</v>
      </c>
    </row>
    <row r="1105" spans="1:8" x14ac:dyDescent="0.2">
      <c r="A1105" t="s">
        <v>2615</v>
      </c>
      <c r="B1105" s="1" t="str">
        <f>HYPERLINK("http://www.chemspider.com/Chemical-Structure.630110.html","630110")</f>
        <v>630110</v>
      </c>
      <c r="C1105" s="1" t="str">
        <f>HYPERLINK("https://www.ebi.ac.uk/chembl/compound/inspect/CHEMBL1452561","CHEMBL1452561")</f>
        <v>CHEMBL1452561</v>
      </c>
      <c r="D1105" t="s">
        <v>1</v>
      </c>
      <c r="F1105" t="s">
        <v>2616</v>
      </c>
      <c r="G1105">
        <v>0</v>
      </c>
      <c r="H1105" s="4">
        <v>10</v>
      </c>
    </row>
    <row r="1106" spans="1:8" x14ac:dyDescent="0.2">
      <c r="A1106" t="s">
        <v>2617</v>
      </c>
      <c r="B1106" s="1" t="str">
        <f>HYPERLINK("http://www.chemspider.com/Chemical-Structure.5611.html","5611")</f>
        <v>5611</v>
      </c>
      <c r="C1106" s="1" t="str">
        <f>HYPERLINK("https://www.ebi.ac.uk/chembl/compound/inspect/CHEMBL679","CHEMBL679")</f>
        <v>CHEMBL679</v>
      </c>
      <c r="D1106" t="s">
        <v>9</v>
      </c>
      <c r="E1106" t="s">
        <v>2618</v>
      </c>
      <c r="F1106" t="s">
        <v>2619</v>
      </c>
      <c r="G1106">
        <v>527</v>
      </c>
      <c r="H1106" s="4">
        <v>10</v>
      </c>
    </row>
    <row r="1107" spans="1:8" x14ac:dyDescent="0.2">
      <c r="A1107" t="s">
        <v>2620</v>
      </c>
      <c r="B1107" s="1" t="str">
        <f>HYPERLINK("http://www.chemspider.com/Chemical-Structure.600426.html","600426")</f>
        <v>600426</v>
      </c>
      <c r="C1107" s="1" t="str">
        <f>HYPERLINK("https://www.ebi.ac.uk/chembl/compound/inspect/CHEMBL145","CHEMBL145")</f>
        <v>CHEMBL145</v>
      </c>
      <c r="D1107" t="s">
        <v>1</v>
      </c>
      <c r="E1107" t="s">
        <v>2621</v>
      </c>
      <c r="F1107" t="s">
        <v>2622</v>
      </c>
      <c r="G1107">
        <v>7780</v>
      </c>
      <c r="H1107" s="4">
        <v>0.12345679</v>
      </c>
    </row>
    <row r="1108" spans="1:8" x14ac:dyDescent="0.2">
      <c r="A1108" t="s">
        <v>2623</v>
      </c>
      <c r="B1108" s="1" t="str">
        <f>HYPERLINK("http://www.chemspider.com/Chemical-Structure.1405788.html","1405788")</f>
        <v>1405788</v>
      </c>
      <c r="C1108" s="1" t="str">
        <f>HYPERLINK("https://www.ebi.ac.uk/chembl/compound/inspect/CHEMBL284616","CHEMBL284616")</f>
        <v>CHEMBL284616</v>
      </c>
      <c r="D1108" t="s">
        <v>1</v>
      </c>
      <c r="E1108" t="s">
        <v>2624</v>
      </c>
      <c r="F1108" t="s">
        <v>2625</v>
      </c>
      <c r="G1108">
        <v>7781</v>
      </c>
      <c r="H1108" s="4">
        <v>10</v>
      </c>
    </row>
    <row r="1109" spans="1:8" x14ac:dyDescent="0.2">
      <c r="A1109" t="s">
        <v>2626</v>
      </c>
      <c r="B1109" s="1" t="str">
        <f>HYPERLINK("http://www.chemspider.com/Chemical-Structure.3712.html","3712")</f>
        <v>3712</v>
      </c>
      <c r="C1109" s="1" t="str">
        <f>HYPERLINK("https://www.ebi.ac.uk/chembl/compound/inspect/CHEMBL299155","CHEMBL299155")</f>
        <v>CHEMBL299155</v>
      </c>
      <c r="D1109" t="s">
        <v>1</v>
      </c>
      <c r="E1109" t="s">
        <v>2627</v>
      </c>
      <c r="F1109" t="s">
        <v>2628</v>
      </c>
      <c r="G1109">
        <v>0</v>
      </c>
      <c r="H1109" s="4">
        <v>10</v>
      </c>
    </row>
    <row r="1110" spans="1:8" x14ac:dyDescent="0.2">
      <c r="A1110" t="s">
        <v>2629</v>
      </c>
      <c r="B1110" s="1" t="str">
        <f>HYPERLINK("http://www.chemspider.com/Chemical-Structure.5036130.html","5036130")</f>
        <v>5036130</v>
      </c>
      <c r="C1110" s="1" t="str">
        <f>HYPERLINK("https://www.ebi.ac.uk/chembl/compound/inspect/CHEMBL25856","CHEMBL25856")</f>
        <v>CHEMBL25856</v>
      </c>
      <c r="D1110" t="s">
        <v>1</v>
      </c>
      <c r="E1110" t="s">
        <v>2630</v>
      </c>
      <c r="F1110" t="s">
        <v>2631</v>
      </c>
      <c r="G1110">
        <v>3</v>
      </c>
      <c r="H1110" s="4">
        <v>10</v>
      </c>
    </row>
    <row r="1111" spans="1:8" x14ac:dyDescent="0.2">
      <c r="A1111" t="s">
        <v>2632</v>
      </c>
      <c r="B1111" s="1" t="str">
        <f>HYPERLINK("http://www.chemspider.com/Chemical-Structure.5770.html","5770")</f>
        <v>5770</v>
      </c>
      <c r="C1111" s="1" t="str">
        <f>HYPERLINK("https://www.ebi.ac.uk/chembl/compound/inspect/CHEMBL691","CHEMBL691")</f>
        <v>CHEMBL691</v>
      </c>
      <c r="D1111" t="s">
        <v>9</v>
      </c>
      <c r="E1111" t="s">
        <v>2633</v>
      </c>
      <c r="F1111" t="s">
        <v>2634</v>
      </c>
      <c r="G1111">
        <v>2810</v>
      </c>
      <c r="H1111" s="4">
        <v>9.9991266759999995</v>
      </c>
    </row>
    <row r="1112" spans="1:8" x14ac:dyDescent="0.2">
      <c r="A1112" t="s">
        <v>2635</v>
      </c>
      <c r="B1112" s="1" t="str">
        <f>HYPERLINK("http://www.chemspider.com/Chemical-Structure.5554.html","5554")</f>
        <v>5554</v>
      </c>
      <c r="C1112" s="1" t="str">
        <f>HYPERLINK("https://www.ebi.ac.uk/chembl/compound/inspect/CHEMBL135","CHEMBL135")</f>
        <v>CHEMBL135</v>
      </c>
      <c r="D1112" t="s">
        <v>9</v>
      </c>
      <c r="E1112" t="s">
        <v>2636</v>
      </c>
      <c r="F1112" t="s">
        <v>2637</v>
      </c>
      <c r="G1112">
        <v>2381</v>
      </c>
      <c r="H1112" s="4">
        <v>10</v>
      </c>
    </row>
    <row r="1113" spans="1:8" x14ac:dyDescent="0.2">
      <c r="A1113" t="s">
        <v>2638</v>
      </c>
      <c r="B1113" s="1" t="str">
        <f>HYPERLINK("http://www.chemspider.com/Chemical-Structure.13194.html","13194")</f>
        <v>13194</v>
      </c>
      <c r="C1113" s="1" t="str">
        <f>HYPERLINK("https://www.ebi.ac.uk/chembl/compound/inspect/CHEMBL1511","CHEMBL1511")</f>
        <v>CHEMBL1511</v>
      </c>
      <c r="D1113" t="s">
        <v>9</v>
      </c>
      <c r="E1113" t="s">
        <v>2639</v>
      </c>
      <c r="F1113" t="s">
        <v>2640</v>
      </c>
      <c r="G1113">
        <v>2401</v>
      </c>
      <c r="H1113" s="4">
        <v>10</v>
      </c>
    </row>
    <row r="1114" spans="1:8" x14ac:dyDescent="0.2">
      <c r="A1114" t="s">
        <v>2641</v>
      </c>
      <c r="B1114" s="1" t="str">
        <f>HYPERLINK("http://www.chemspider.com/Chemical-Structure.10489895.html","10489895")</f>
        <v>10489895</v>
      </c>
      <c r="C1114" s="1" t="str">
        <f>HYPERLINK("https://www.ebi.ac.uk/chembl/compound/inspect/CHEMBL1254766","CHEMBL1254766")</f>
        <v>CHEMBL1254766</v>
      </c>
      <c r="D1114" t="s">
        <v>1</v>
      </c>
      <c r="E1114" t="s">
        <v>2642</v>
      </c>
      <c r="F1114" t="s">
        <v>2643</v>
      </c>
      <c r="G1114">
        <v>0</v>
      </c>
      <c r="H1114" s="4">
        <v>9.9</v>
      </c>
    </row>
    <row r="1115" spans="1:8" x14ac:dyDescent="0.2">
      <c r="A1115" t="s">
        <v>2644</v>
      </c>
      <c r="B1115" s="1" t="str">
        <f>HYPERLINK("http://www.chemspider.com/Chemical-Structure.10296888.html","10296888")</f>
        <v>10296888</v>
      </c>
      <c r="C1115" s="1" t="str">
        <f>HYPERLINK("https://www.ebi.ac.uk/chembl/compound/inspect/CHEMBL14285","CHEMBL14285")</f>
        <v>CHEMBL14285</v>
      </c>
      <c r="D1115" t="s">
        <v>1</v>
      </c>
      <c r="F1115" t="s">
        <v>2645</v>
      </c>
      <c r="G1115">
        <v>0</v>
      </c>
      <c r="H1115" s="4">
        <v>10</v>
      </c>
    </row>
    <row r="1116" spans="1:8" x14ac:dyDescent="0.2">
      <c r="A1116" t="s">
        <v>2646</v>
      </c>
      <c r="B1116" s="1" t="str">
        <f>HYPERLINK("http://www.chemspider.com/Chemical-Structure.141.html","141")</f>
        <v>141</v>
      </c>
      <c r="C1116" s="1" t="str">
        <f>HYPERLINK("https://www.ebi.ac.uk/chembl/compound/inspect/CHEMBL162789","CHEMBL162789")</f>
        <v>CHEMBL162789</v>
      </c>
      <c r="D1116" t="s">
        <v>1</v>
      </c>
      <c r="G1116">
        <v>0</v>
      </c>
      <c r="H1116" s="4">
        <v>10</v>
      </c>
    </row>
    <row r="1117" spans="1:8" x14ac:dyDescent="0.2">
      <c r="A1117" t="s">
        <v>2647</v>
      </c>
      <c r="B1117" s="1" t="str">
        <f>HYPERLINK("http://www.chemspider.com/Chemical-Structure.388413.html","388413")</f>
        <v>388413</v>
      </c>
      <c r="C1117" s="1" t="str">
        <f>HYPERLINK("https://www.ebi.ac.uk/chembl/compound/inspect/CHEMBL350221","CHEMBL350221")</f>
        <v>CHEMBL350221</v>
      </c>
      <c r="D1117" t="s">
        <v>1</v>
      </c>
      <c r="E1117" t="s">
        <v>2648</v>
      </c>
      <c r="F1117" t="s">
        <v>2649</v>
      </c>
      <c r="G1117">
        <v>1</v>
      </c>
      <c r="H1117" s="4">
        <v>10</v>
      </c>
    </row>
    <row r="1118" spans="1:8" x14ac:dyDescent="0.2">
      <c r="A1118" t="s">
        <v>2650</v>
      </c>
      <c r="B1118" s="1" t="str">
        <f>HYPERLINK("http://www.chemspider.com/Chemical-Structure.59535.html","59535")</f>
        <v>59535</v>
      </c>
      <c r="G1118">
        <v>0</v>
      </c>
      <c r="H1118" s="4">
        <v>10</v>
      </c>
    </row>
    <row r="1119" spans="1:8" x14ac:dyDescent="0.2">
      <c r="A1119" t="s">
        <v>2651</v>
      </c>
      <c r="B1119" s="1" t="str">
        <f>HYPERLINK("http://www.chemspider.com/Chemical-Structure.3933.html","3933")</f>
        <v>3933</v>
      </c>
      <c r="C1119" s="1" t="str">
        <f>HYPERLINK("https://www.ebi.ac.uk/chembl/compound/inspect/CHEMBL704","CHEMBL704")</f>
        <v>CHEMBL704</v>
      </c>
      <c r="D1119" t="s">
        <v>9</v>
      </c>
      <c r="E1119" t="s">
        <v>2652</v>
      </c>
      <c r="F1119" t="s">
        <v>2653</v>
      </c>
      <c r="G1119">
        <v>218</v>
      </c>
      <c r="H1119" s="4">
        <v>10</v>
      </c>
    </row>
    <row r="1120" spans="1:8" x14ac:dyDescent="0.2">
      <c r="A1120" t="s">
        <v>2654</v>
      </c>
      <c r="B1120" s="1" t="str">
        <f>HYPERLINK("http://www.chemspider.com/Chemical-Structure.4480.html","4480")</f>
        <v>4480</v>
      </c>
      <c r="C1120" s="1" t="str">
        <f>HYPERLINK("https://www.ebi.ac.uk/chembl/compound/inspect/CHEMBL1228","CHEMBL1228")</f>
        <v>CHEMBL1228</v>
      </c>
      <c r="D1120" t="s">
        <v>9</v>
      </c>
      <c r="E1120" t="s">
        <v>2655</v>
      </c>
      <c r="F1120" t="s">
        <v>2656</v>
      </c>
      <c r="G1120">
        <v>0</v>
      </c>
      <c r="H1120" s="4">
        <v>10</v>
      </c>
    </row>
    <row r="1121" spans="1:8" x14ac:dyDescent="0.2">
      <c r="A1121" t="s">
        <v>2657</v>
      </c>
      <c r="B1121" s="1" t="str">
        <f>HYPERLINK("http://www.chemspider.com/Chemical-Structure.10662422.html","10662422")</f>
        <v>10662422</v>
      </c>
      <c r="C1121" s="1" t="str">
        <f>HYPERLINK("https://www.ebi.ac.uk/chembl/compound/inspect/CHEMBL1201346","CHEMBL1201346")</f>
        <v>CHEMBL1201346</v>
      </c>
      <c r="D1121" t="s">
        <v>9</v>
      </c>
      <c r="E1121" t="s">
        <v>2658</v>
      </c>
      <c r="F1121" t="s">
        <v>2659</v>
      </c>
      <c r="G1121">
        <v>13</v>
      </c>
      <c r="H1121" s="4">
        <v>10</v>
      </c>
    </row>
    <row r="1122" spans="1:8" x14ac:dyDescent="0.2">
      <c r="A1122" t="s">
        <v>2660</v>
      </c>
      <c r="B1122" s="1" t="str">
        <f>HYPERLINK("http://www.chemspider.com/Chemical-Structure.5037081.html","5037081")</f>
        <v>5037081</v>
      </c>
      <c r="C1122" s="1" t="str">
        <f>HYPERLINK("https://www.ebi.ac.uk/chembl/compound/inspect/CHEMBL39878","CHEMBL39878")</f>
        <v>CHEMBL39878</v>
      </c>
      <c r="D1122" t="s">
        <v>1</v>
      </c>
      <c r="F1122" t="s">
        <v>2661</v>
      </c>
      <c r="G1122">
        <v>0</v>
      </c>
      <c r="H1122" s="4">
        <v>10</v>
      </c>
    </row>
    <row r="1123" spans="1:8" x14ac:dyDescent="0.2">
      <c r="A1123" t="s">
        <v>2662</v>
      </c>
      <c r="B1123" s="1" t="str">
        <f>HYPERLINK("http://www.chemspider.com/Chemical-Structure.3561.html","3561")</f>
        <v>3561</v>
      </c>
      <c r="C1123" s="1" t="str">
        <f>HYPERLINK("https://www.ebi.ac.uk/chembl/compound/inspect/CHEMBL305187","CHEMBL305187")</f>
        <v>CHEMBL305187</v>
      </c>
      <c r="D1123" t="s">
        <v>1</v>
      </c>
      <c r="E1123" t="s">
        <v>2663</v>
      </c>
      <c r="F1123" t="s">
        <v>2664</v>
      </c>
      <c r="G1123">
        <v>3</v>
      </c>
      <c r="H1123" s="4">
        <v>9.5</v>
      </c>
    </row>
    <row r="1124" spans="1:8" x14ac:dyDescent="0.2">
      <c r="A1124" t="s">
        <v>2665</v>
      </c>
      <c r="B1124" s="1" t="str">
        <f>HYPERLINK("http://www.chemspider.com/Chemical-Structure.4420.html","4420")</f>
        <v>4420</v>
      </c>
      <c r="C1124" s="1" t="str">
        <f>HYPERLINK("https://www.ebi.ac.uk/chembl/compound/inspect/CHEMBL53929","CHEMBL53929")</f>
        <v>CHEMBL53929</v>
      </c>
      <c r="D1124" t="s">
        <v>1</v>
      </c>
      <c r="E1124" t="s">
        <v>2666</v>
      </c>
      <c r="F1124" t="s">
        <v>2667</v>
      </c>
      <c r="G1124">
        <v>0</v>
      </c>
      <c r="H1124" s="4">
        <v>10</v>
      </c>
    </row>
    <row r="1125" spans="1:8" x14ac:dyDescent="0.2">
      <c r="A1125" t="s">
        <v>2668</v>
      </c>
      <c r="B1125" s="1" t="str">
        <f>HYPERLINK("http://www.chemspider.com/Chemical-Structure.6904.html","6904")</f>
        <v>6904</v>
      </c>
      <c r="C1125" s="1" t="str">
        <f>HYPERLINK("https://www.ebi.ac.uk/chembl/compound/inspect/CHEMBL33720","CHEMBL33720")</f>
        <v>CHEMBL33720</v>
      </c>
      <c r="D1125" t="s">
        <v>1</v>
      </c>
      <c r="E1125" t="s">
        <v>2669</v>
      </c>
      <c r="F1125" t="s">
        <v>2670</v>
      </c>
      <c r="G1125">
        <v>0</v>
      </c>
      <c r="H1125" s="4">
        <v>10</v>
      </c>
    </row>
    <row r="1126" spans="1:8" x14ac:dyDescent="0.2">
      <c r="A1126" t="s">
        <v>2671</v>
      </c>
      <c r="B1126" s="1" t="str">
        <f>HYPERLINK("http://www.chemspider.com/Chemical-Structure.4470656.html","4470656")</f>
        <v>4470656</v>
      </c>
      <c r="C1126" s="1" t="str">
        <f>HYPERLINK("https://www.ebi.ac.uk/chembl/compound/inspect/CHEMBL1201247","CHEMBL1201247")</f>
        <v>CHEMBL1201247</v>
      </c>
      <c r="D1126" t="s">
        <v>9</v>
      </c>
      <c r="E1126" t="s">
        <v>2672</v>
      </c>
      <c r="F1126" t="s">
        <v>2673</v>
      </c>
      <c r="G1126">
        <v>347</v>
      </c>
      <c r="H1126" s="4">
        <v>9.6</v>
      </c>
    </row>
    <row r="1127" spans="1:8" x14ac:dyDescent="0.2">
      <c r="A1127" t="s">
        <v>2674</v>
      </c>
      <c r="B1127" s="1" t="str">
        <f>HYPERLINK("http://www.chemspider.com/Chemical-Structure.124.html","124")</f>
        <v>124</v>
      </c>
      <c r="C1127" s="1" t="str">
        <f>HYPERLINK("https://www.ebi.ac.uk/chembl/compound/inspect/CHEMBL1772","CHEMBL1772")</f>
        <v>CHEMBL1772</v>
      </c>
      <c r="D1127" t="s">
        <v>1</v>
      </c>
      <c r="F1127" t="s">
        <v>2675</v>
      </c>
      <c r="G1127">
        <v>0</v>
      </c>
      <c r="H1127" s="4">
        <v>10</v>
      </c>
    </row>
    <row r="1128" spans="1:8" x14ac:dyDescent="0.2">
      <c r="A1128" t="s">
        <v>2676</v>
      </c>
      <c r="B1128" s="1" t="str">
        <f>HYPERLINK("http://www.chemspider.com/Chemical-Structure.5408.html","5408")</f>
        <v>5408</v>
      </c>
      <c r="C1128" s="1" t="str">
        <f>HYPERLINK("https://www.ebi.ac.uk/chembl/compound/inspect/CHEMBL11608","CHEMBL11608")</f>
        <v>CHEMBL11608</v>
      </c>
      <c r="D1128" t="s">
        <v>1</v>
      </c>
      <c r="E1128" t="s">
        <v>2677</v>
      </c>
      <c r="F1128" t="s">
        <v>2678</v>
      </c>
      <c r="G1128">
        <v>11</v>
      </c>
      <c r="H1128" s="4">
        <v>10</v>
      </c>
    </row>
    <row r="1129" spans="1:8" x14ac:dyDescent="0.2">
      <c r="A1129" t="s">
        <v>2679</v>
      </c>
      <c r="B1129" s="1" t="str">
        <f>HYPERLINK("http://www.chemspider.com/Chemical-Structure.61609.html","61609")</f>
        <v>61609</v>
      </c>
      <c r="C1129" s="1" t="str">
        <f>HYPERLINK("https://www.ebi.ac.uk/chembl/compound/inspect/CHEMBL505789","CHEMBL505789")</f>
        <v>CHEMBL505789</v>
      </c>
      <c r="D1129" t="s">
        <v>1</v>
      </c>
      <c r="E1129" t="s">
        <v>2680</v>
      </c>
      <c r="F1129" t="s">
        <v>2681</v>
      </c>
      <c r="G1129">
        <v>0</v>
      </c>
      <c r="H1129" s="4">
        <v>10</v>
      </c>
    </row>
    <row r="1130" spans="1:8" x14ac:dyDescent="0.2">
      <c r="A1130" t="s">
        <v>2682</v>
      </c>
      <c r="B1130" s="1" t="str">
        <f>HYPERLINK("http://www.chemspider.com/Chemical-Structure.64252.html","64252")</f>
        <v>64252</v>
      </c>
      <c r="C1130" s="1" t="str">
        <f>HYPERLINK("https://www.ebi.ac.uk/chembl/compound/inspect/CHEMBL1076637","CHEMBL1076637")</f>
        <v>CHEMBL1076637</v>
      </c>
      <c r="D1130" t="s">
        <v>1</v>
      </c>
      <c r="F1130" t="s">
        <v>2683</v>
      </c>
      <c r="G1130">
        <v>0</v>
      </c>
      <c r="H1130" s="4">
        <v>10</v>
      </c>
    </row>
    <row r="1131" spans="1:8" x14ac:dyDescent="0.2">
      <c r="A1131" t="s">
        <v>2684</v>
      </c>
      <c r="G1131">
        <v>0</v>
      </c>
      <c r="H1131" s="4">
        <v>10</v>
      </c>
    </row>
    <row r="1132" spans="1:8" x14ac:dyDescent="0.2">
      <c r="A1132" t="s">
        <v>2685</v>
      </c>
      <c r="B1132" s="1" t="str">
        <f>HYPERLINK("http://www.chemspider.com/Chemical-Structure.390103.html","390103")</f>
        <v>390103</v>
      </c>
      <c r="C1132" s="1" t="str">
        <f>HYPERLINK("https://www.ebi.ac.uk/chembl/compound/inspect/CHEMBL1200862","CHEMBL1200862")</f>
        <v>CHEMBL1200862</v>
      </c>
      <c r="D1132" t="s">
        <v>9</v>
      </c>
      <c r="E1132" t="s">
        <v>2686</v>
      </c>
      <c r="F1132" t="s">
        <v>2687</v>
      </c>
      <c r="G1132">
        <v>4</v>
      </c>
      <c r="H1132" s="4">
        <v>10</v>
      </c>
    </row>
    <row r="1133" spans="1:8" x14ac:dyDescent="0.2">
      <c r="A1133" t="s">
        <v>2688</v>
      </c>
      <c r="B1133" s="1" t="str">
        <f>HYPERLINK("http://www.chemspider.com/Chemical-Structure.65254.html","65254")</f>
        <v>65254</v>
      </c>
      <c r="C1133" s="1" t="str">
        <f>HYPERLINK("https://www.ebi.ac.uk/chembl/compound/inspect/CHEMBL16901","CHEMBL16901")</f>
        <v>CHEMBL16901</v>
      </c>
      <c r="D1133" t="s">
        <v>1</v>
      </c>
      <c r="E1133" t="s">
        <v>2689</v>
      </c>
      <c r="F1133" t="s">
        <v>2690</v>
      </c>
      <c r="G1133">
        <v>3</v>
      </c>
      <c r="H1133" s="4">
        <v>10.1</v>
      </c>
    </row>
    <row r="1134" spans="1:8" x14ac:dyDescent="0.2">
      <c r="A1134" t="s">
        <v>2691</v>
      </c>
      <c r="B1134" s="1" t="str">
        <f>HYPERLINK("http://www.chemspider.com/Chemical-Structure.65251.html","65251")</f>
        <v>65251</v>
      </c>
      <c r="C1134" s="1" t="str">
        <f>HYPERLINK("https://www.ebi.ac.uk/chembl/compound/inspect/CHEMBL180920","CHEMBL180920")</f>
        <v>CHEMBL180920</v>
      </c>
      <c r="D1134" t="s">
        <v>1</v>
      </c>
      <c r="E1134" t="s">
        <v>2692</v>
      </c>
      <c r="F1134" t="s">
        <v>2693</v>
      </c>
      <c r="G1134">
        <v>0</v>
      </c>
      <c r="H1134" s="4">
        <v>10</v>
      </c>
    </row>
    <row r="1135" spans="1:8" x14ac:dyDescent="0.2">
      <c r="A1135" t="s">
        <v>2694</v>
      </c>
      <c r="B1135" s="1" t="str">
        <f>HYPERLINK("http://www.chemspider.com/Chemical-Structure.3734.html","3734")</f>
        <v>3734</v>
      </c>
      <c r="C1135" s="1" t="str">
        <f>HYPERLINK("https://www.ebi.ac.uk/chembl/compound/inspect/CHEMBL429","CHEMBL429")</f>
        <v>CHEMBL429</v>
      </c>
      <c r="D1135" t="s">
        <v>9</v>
      </c>
      <c r="E1135" t="s">
        <v>2695</v>
      </c>
      <c r="F1135" t="s">
        <v>2696</v>
      </c>
      <c r="G1135">
        <v>44</v>
      </c>
      <c r="H1135" s="4">
        <v>10</v>
      </c>
    </row>
    <row r="1136" spans="1:8" x14ac:dyDescent="0.2">
      <c r="A1136" t="s">
        <v>2697</v>
      </c>
      <c r="B1136" s="1" t="str">
        <f>HYPERLINK("http://www.chemspider.com/Chemical-Structure.1999.html","1999")</f>
        <v>1999</v>
      </c>
      <c r="C1136" s="1" t="str">
        <f>HYPERLINK("https://www.ebi.ac.uk/chembl/compound/inspect/CHEMBL714","CHEMBL714")</f>
        <v>CHEMBL714</v>
      </c>
      <c r="D1136" t="s">
        <v>9</v>
      </c>
      <c r="E1136" t="s">
        <v>2698</v>
      </c>
      <c r="F1136" t="s">
        <v>2699</v>
      </c>
      <c r="G1136">
        <v>542</v>
      </c>
      <c r="H1136" s="4">
        <v>9.9</v>
      </c>
    </row>
    <row r="1137" spans="1:8" x14ac:dyDescent="0.2">
      <c r="A1137" t="s">
        <v>2700</v>
      </c>
      <c r="B1137" s="1" t="str">
        <f>HYPERLINK("http://www.chemspider.com/Chemical-Structure.4968.html","4968")</f>
        <v>4968</v>
      </c>
      <c r="C1137" s="1" t="str">
        <f>HYPERLINK("https://www.ebi.ac.uk/chembl/compound/inspect/CHEMBL1263","CHEMBL1263")</f>
        <v>CHEMBL1263</v>
      </c>
      <c r="D1137" t="s">
        <v>9</v>
      </c>
      <c r="E1137" t="s">
        <v>2701</v>
      </c>
      <c r="F1137" t="s">
        <v>2702</v>
      </c>
      <c r="G1137">
        <v>881</v>
      </c>
      <c r="H1137" s="4">
        <v>10</v>
      </c>
    </row>
    <row r="1138" spans="1:8" x14ac:dyDescent="0.2">
      <c r="A1138" t="s">
        <v>2703</v>
      </c>
      <c r="B1138" s="1" t="str">
        <f>HYPERLINK("http://www.chemspider.com/Chemical-Structure.391967.html","391967")</f>
        <v>391967</v>
      </c>
      <c r="C1138" s="1" t="str">
        <f>HYPERLINK("https://www.ebi.ac.uk/chembl/compound/inspect/CHEMBL1382","CHEMBL1382")</f>
        <v>CHEMBL1382</v>
      </c>
      <c r="D1138" t="s">
        <v>9</v>
      </c>
      <c r="E1138" t="s">
        <v>2704</v>
      </c>
      <c r="F1138" t="s">
        <v>2705</v>
      </c>
      <c r="G1138">
        <v>221</v>
      </c>
      <c r="H1138" s="4">
        <v>10</v>
      </c>
    </row>
    <row r="1139" spans="1:8" x14ac:dyDescent="0.2">
      <c r="A1139" t="s">
        <v>2706</v>
      </c>
      <c r="B1139" s="1" t="str">
        <f>HYPERLINK("http://www.chemspider.com/Chemical-Structure.146579.html","146579")</f>
        <v>146579</v>
      </c>
      <c r="C1139" s="1" t="str">
        <f>HYPERLINK("https://www.ebi.ac.uk/chembl/compound/inspect/CHEMBL33778","CHEMBL33778")</f>
        <v>CHEMBL33778</v>
      </c>
      <c r="D1139" t="s">
        <v>1</v>
      </c>
      <c r="E1139" t="s">
        <v>2707</v>
      </c>
      <c r="F1139" t="s">
        <v>2708</v>
      </c>
      <c r="G1139">
        <v>7783</v>
      </c>
      <c r="H1139" s="4">
        <v>50</v>
      </c>
    </row>
    <row r="1140" spans="1:8" x14ac:dyDescent="0.2">
      <c r="A1140" t="s">
        <v>2709</v>
      </c>
      <c r="B1140" s="1" t="str">
        <f>HYPERLINK("http://www.chemspider.com/Chemical-Structure.4445152.html","4445152")</f>
        <v>4445152</v>
      </c>
      <c r="C1140" s="1" t="str">
        <f>HYPERLINK("https://www.ebi.ac.uk/chembl/compound/inspect/CHEMBL445177","CHEMBL445177")</f>
        <v>CHEMBL445177</v>
      </c>
      <c r="D1140" t="s">
        <v>1</v>
      </c>
      <c r="E1140" t="s">
        <v>2710</v>
      </c>
      <c r="F1140" t="s">
        <v>2711</v>
      </c>
      <c r="G1140">
        <v>7792</v>
      </c>
      <c r="H1140" s="4" t="s">
        <v>3369</v>
      </c>
    </row>
    <row r="1141" spans="1:8" x14ac:dyDescent="0.2">
      <c r="A1141" t="s">
        <v>2712</v>
      </c>
      <c r="B1141" s="1" t="str">
        <f>HYPERLINK("http://www.chemspider.com/Chemical-Structure.4052.html","4052")</f>
        <v>4052</v>
      </c>
      <c r="C1141" s="1" t="str">
        <f>HYPERLINK("https://www.ebi.ac.uk/chembl/compound/inspect/CHEMBL189","CHEMBL189")</f>
        <v>CHEMBL189</v>
      </c>
      <c r="D1141" t="s">
        <v>9</v>
      </c>
      <c r="E1141" t="s">
        <v>2103</v>
      </c>
      <c r="F1141" t="s">
        <v>2104</v>
      </c>
      <c r="G1141">
        <v>54</v>
      </c>
      <c r="H1141" s="4">
        <v>10.1</v>
      </c>
    </row>
    <row r="1142" spans="1:8" x14ac:dyDescent="0.2">
      <c r="A1142" t="s">
        <v>2713</v>
      </c>
      <c r="B1142" s="1" t="str">
        <f>HYPERLINK("http://www.chemspider.com/Chemical-Structure.4563.html","4563")</f>
        <v>4563</v>
      </c>
      <c r="C1142" s="1" t="str">
        <f>HYPERLINK("https://www.ebi.ac.uk/chembl/compound/inspect/CHEMBL1540","CHEMBL1540")</f>
        <v>CHEMBL1540</v>
      </c>
      <c r="D1142" t="s">
        <v>9</v>
      </c>
      <c r="E1142" t="s">
        <v>2714</v>
      </c>
      <c r="F1142" t="s">
        <v>2715</v>
      </c>
      <c r="G1142">
        <v>5</v>
      </c>
      <c r="H1142" s="4">
        <v>10</v>
      </c>
    </row>
    <row r="1143" spans="1:8" x14ac:dyDescent="0.2">
      <c r="A1143" t="s">
        <v>2716</v>
      </c>
      <c r="B1143" s="1" t="str">
        <f>HYPERLINK("http://www.chemspider.com/Chemical-Structure.3336.html","3336")</f>
        <v>3336</v>
      </c>
      <c r="C1143" s="1" t="str">
        <f>HYPERLINK("https://www.ebi.ac.uk/chembl/compound/inspect/CHEMBL182","CHEMBL182")</f>
        <v>CHEMBL182</v>
      </c>
      <c r="D1143" t="s">
        <v>9</v>
      </c>
      <c r="E1143" t="s">
        <v>2070</v>
      </c>
      <c r="F1143" t="s">
        <v>2071</v>
      </c>
      <c r="G1143">
        <v>226</v>
      </c>
      <c r="H1143" s="4">
        <v>10</v>
      </c>
    </row>
    <row r="1144" spans="1:8" x14ac:dyDescent="0.2">
      <c r="A1144" t="s">
        <v>2717</v>
      </c>
      <c r="B1144" s="1" t="str">
        <f>HYPERLINK("http://www.chemspider.com/Chemical-Structure.1945.html","1945")</f>
        <v>1945</v>
      </c>
      <c r="C1144" s="1" t="str">
        <f>HYPERLINK("https://www.ebi.ac.uk/chembl/compound/inspect/CHEMBL184","CHEMBL184")</f>
        <v>CHEMBL184</v>
      </c>
      <c r="D1144" t="s">
        <v>9</v>
      </c>
      <c r="E1144" t="s">
        <v>2718</v>
      </c>
      <c r="F1144" t="s">
        <v>2719</v>
      </c>
      <c r="G1144">
        <v>217</v>
      </c>
      <c r="H1144" s="4">
        <v>10</v>
      </c>
    </row>
    <row r="1145" spans="1:8" x14ac:dyDescent="0.2">
      <c r="A1145" t="s">
        <v>2720</v>
      </c>
      <c r="B1145" s="1" t="str">
        <f>HYPERLINK("http://www.chemspider.com/Chemical-Structure.54770.html","54770")</f>
        <v>54770</v>
      </c>
      <c r="C1145" s="1" t="str">
        <f>HYPERLINK("https://www.ebi.ac.uk/chembl/compound/inspect/CHEMBL1349","CHEMBL1349")</f>
        <v>CHEMBL1349</v>
      </c>
      <c r="D1145" t="s">
        <v>9</v>
      </c>
      <c r="E1145" t="s">
        <v>2721</v>
      </c>
      <c r="F1145" t="s">
        <v>2722</v>
      </c>
      <c r="G1145">
        <v>207</v>
      </c>
      <c r="H1145" s="4">
        <v>10</v>
      </c>
    </row>
    <row r="1146" spans="1:8" x14ac:dyDescent="0.2">
      <c r="A1146" t="s">
        <v>2723</v>
      </c>
      <c r="B1146" s="1" t="str">
        <f>HYPERLINK("http://www.chemspider.com/Chemical-Structure.5815.html","5815")</f>
        <v>5815</v>
      </c>
      <c r="C1146" s="1" t="str">
        <f>HYPERLINK("https://www.ebi.ac.uk/chembl/compound/inspect/CHEMBL1622","CHEMBL1622")</f>
        <v>CHEMBL1622</v>
      </c>
      <c r="D1146" t="s">
        <v>9</v>
      </c>
      <c r="E1146" t="s">
        <v>2073</v>
      </c>
      <c r="F1146" t="s">
        <v>2074</v>
      </c>
      <c r="G1146">
        <v>7739</v>
      </c>
      <c r="H1146" s="4">
        <v>10</v>
      </c>
    </row>
    <row r="1147" spans="1:8" x14ac:dyDescent="0.2">
      <c r="A1147" t="s">
        <v>2724</v>
      </c>
      <c r="B1147" s="1" t="str">
        <f>HYPERLINK("http://www.chemspider.com/Chemical-Structure.76740.html","76740")</f>
        <v>76740</v>
      </c>
      <c r="C1147" s="1" t="str">
        <f>HYPERLINK("https://www.ebi.ac.uk/chembl/compound/inspect/CHEMBL2048387","CHEMBL2048387")</f>
        <v>CHEMBL2048387</v>
      </c>
      <c r="D1147" t="s">
        <v>1</v>
      </c>
      <c r="G1147">
        <v>0</v>
      </c>
      <c r="H1147" s="4">
        <v>50</v>
      </c>
    </row>
    <row r="1148" spans="1:8" x14ac:dyDescent="0.2">
      <c r="A1148" t="s">
        <v>2725</v>
      </c>
      <c r="B1148" s="1" t="str">
        <f>HYPERLINK("http://www.chemspider.com/Chemical-Structure.3297.html","3297")</f>
        <v>3297</v>
      </c>
      <c r="C1148" s="1" t="str">
        <f>HYPERLINK("https://www.ebi.ac.uk/chembl/compound/inspect/CHEMBL666","CHEMBL666")</f>
        <v>CHEMBL666</v>
      </c>
      <c r="D1148" t="s">
        <v>9</v>
      </c>
      <c r="E1148" t="s">
        <v>2726</v>
      </c>
      <c r="F1148" t="s">
        <v>2727</v>
      </c>
      <c r="G1148">
        <v>56</v>
      </c>
      <c r="H1148" s="4">
        <v>10</v>
      </c>
    </row>
    <row r="1149" spans="1:8" x14ac:dyDescent="0.2">
      <c r="A1149" t="s">
        <v>2728</v>
      </c>
      <c r="B1149" s="1" t="str">
        <f>HYPERLINK("http://www.chemspider.com/Chemical-Structure.394204.html","394204")</f>
        <v>394204</v>
      </c>
      <c r="C1149" s="1" t="str">
        <f>HYPERLINK("https://www.ebi.ac.uk/chembl/compound/inspect/CHEMBL1757","CHEMBL1757")</f>
        <v>CHEMBL1757</v>
      </c>
      <c r="D1149" t="s">
        <v>9</v>
      </c>
      <c r="E1149" t="s">
        <v>2729</v>
      </c>
      <c r="F1149" t="s">
        <v>2730</v>
      </c>
      <c r="G1149">
        <v>38</v>
      </c>
      <c r="H1149" s="4">
        <v>9.9</v>
      </c>
    </row>
    <row r="1150" spans="1:8" x14ac:dyDescent="0.2">
      <c r="A1150" t="s">
        <v>2731</v>
      </c>
      <c r="B1150" s="1" t="str">
        <f>HYPERLINK("http://www.chemspider.com/Chemical-Structure.308.html","308")</f>
        <v>308</v>
      </c>
      <c r="C1150" s="1" t="str">
        <f>HYPERLINK("https://www.ebi.ac.uk/chembl/compound/inspect/CHEMBL296272","CHEMBL296272")</f>
        <v>CHEMBL296272</v>
      </c>
      <c r="D1150" t="s">
        <v>1</v>
      </c>
      <c r="F1150" t="s">
        <v>2732</v>
      </c>
      <c r="G1150">
        <v>0</v>
      </c>
      <c r="H1150" s="4">
        <v>10</v>
      </c>
    </row>
    <row r="1151" spans="1:8" x14ac:dyDescent="0.2">
      <c r="A1151" t="s">
        <v>2733</v>
      </c>
      <c r="B1151" s="1" t="str">
        <f>HYPERLINK("http://www.chemspider.com/Chemical-Structure.388299.html","388299")</f>
        <v>388299</v>
      </c>
      <c r="G1151">
        <v>0</v>
      </c>
      <c r="H1151" s="4">
        <v>50</v>
      </c>
    </row>
    <row r="1152" spans="1:8" x14ac:dyDescent="0.2">
      <c r="A1152" t="s">
        <v>2734</v>
      </c>
      <c r="B1152" s="1" t="str">
        <f>HYPERLINK("http://www.chemspider.com/Chemical-Structure.5903.html","5903")</f>
        <v>5903</v>
      </c>
      <c r="C1152" s="1" t="str">
        <f>HYPERLINK("https://www.ebi.ac.uk/chembl/compound/inspect/CHEMBL336296","CHEMBL336296")</f>
        <v>CHEMBL336296</v>
      </c>
      <c r="D1152" t="s">
        <v>1</v>
      </c>
      <c r="E1152" t="s">
        <v>2735</v>
      </c>
      <c r="F1152" t="s">
        <v>2736</v>
      </c>
      <c r="G1152">
        <v>33</v>
      </c>
      <c r="H1152" s="4">
        <v>10</v>
      </c>
    </row>
    <row r="1153" spans="1:8" x14ac:dyDescent="0.2">
      <c r="A1153" t="s">
        <v>2737</v>
      </c>
      <c r="B1153" s="1" t="str">
        <f>HYPERLINK("http://www.chemspider.com/Chemical-Structure.5681.html","5681")</f>
        <v>5681</v>
      </c>
      <c r="C1153" s="1" t="str">
        <f>HYPERLINK("https://www.ebi.ac.uk/chembl/compound/inspect/CHEMBL1234613","CHEMBL1234613")</f>
        <v>CHEMBL1234613</v>
      </c>
      <c r="D1153" t="s">
        <v>1</v>
      </c>
      <c r="E1153" t="s">
        <v>2738</v>
      </c>
      <c r="F1153" t="s">
        <v>2739</v>
      </c>
      <c r="G1153">
        <v>0</v>
      </c>
      <c r="H1153" s="4">
        <v>20</v>
      </c>
    </row>
    <row r="1154" spans="1:8" x14ac:dyDescent="0.2">
      <c r="A1154" t="s">
        <v>2740</v>
      </c>
      <c r="B1154" s="1" t="str">
        <f>HYPERLINK("http://www.chemspider.com/Chemical-Structure.8264.html","8264")</f>
        <v>8264</v>
      </c>
      <c r="C1154" s="1" t="str">
        <f>HYPERLINK("https://www.ebi.ac.uk/chembl/compound/inspect/CHEMBL1207374","CHEMBL1207374")</f>
        <v>CHEMBL1207374</v>
      </c>
      <c r="D1154" t="s">
        <v>1</v>
      </c>
      <c r="F1154" t="s">
        <v>2741</v>
      </c>
      <c r="G1154">
        <v>0</v>
      </c>
      <c r="H1154" s="4">
        <v>10</v>
      </c>
    </row>
    <row r="1155" spans="1:8" x14ac:dyDescent="0.2">
      <c r="A1155" t="s">
        <v>2742</v>
      </c>
      <c r="B1155" s="1" t="str">
        <f>HYPERLINK("http://www.chemspider.com/Chemical-Structure.559059.html","559059")</f>
        <v>559059</v>
      </c>
      <c r="C1155" s="1" t="str">
        <f>HYPERLINK("https://www.ebi.ac.uk/chembl/compound/inspect/CHEMBL1232653","CHEMBL1232653")</f>
        <v>CHEMBL1232653</v>
      </c>
      <c r="D1155" t="s">
        <v>1</v>
      </c>
      <c r="E1155" t="s">
        <v>2743</v>
      </c>
      <c r="F1155" t="s">
        <v>2744</v>
      </c>
      <c r="G1155">
        <v>18</v>
      </c>
      <c r="H1155" s="4">
        <v>20</v>
      </c>
    </row>
    <row r="1156" spans="1:8" x14ac:dyDescent="0.2">
      <c r="A1156" t="s">
        <v>2745</v>
      </c>
      <c r="B1156" s="1" t="str">
        <f>HYPERLINK("http://www.chemspider.com/Chemical-Structure.5742.html","5742")</f>
        <v>5742</v>
      </c>
      <c r="C1156" s="1" t="str">
        <f>HYPERLINK("https://www.ebi.ac.uk/chembl/compound/inspect/CHEMBL14249","CHEMBL14249")</f>
        <v>CHEMBL14249</v>
      </c>
      <c r="D1156" t="s">
        <v>1</v>
      </c>
      <c r="E1156" t="s">
        <v>2746</v>
      </c>
      <c r="F1156" t="s">
        <v>2747</v>
      </c>
      <c r="G1156">
        <v>247</v>
      </c>
      <c r="H1156" s="4">
        <v>10</v>
      </c>
    </row>
    <row r="1157" spans="1:8" x14ac:dyDescent="0.2">
      <c r="A1157" t="s">
        <v>2748</v>
      </c>
      <c r="B1157" s="1" t="str">
        <f>HYPERLINK("http://www.chemspider.com/Chemical-Structure.108908.html","108908")</f>
        <v>108908</v>
      </c>
      <c r="C1157" s="1" t="str">
        <f>HYPERLINK("https://www.ebi.ac.uk/chembl/compound/inspect/CHEMBL398463","CHEMBL398463")</f>
        <v>CHEMBL398463</v>
      </c>
      <c r="D1157" t="s">
        <v>1</v>
      </c>
      <c r="E1157" t="s">
        <v>2749</v>
      </c>
      <c r="F1157" t="s">
        <v>2750</v>
      </c>
      <c r="G1157">
        <v>2011</v>
      </c>
      <c r="H1157" s="4">
        <v>11.4</v>
      </c>
    </row>
    <row r="1158" spans="1:8" x14ac:dyDescent="0.2">
      <c r="A1158" t="s">
        <v>2751</v>
      </c>
      <c r="B1158" s="1" t="str">
        <f>HYPERLINK("http://www.chemspider.com/Chemical-Structure.5978.html","5978")</f>
        <v>5978</v>
      </c>
      <c r="C1158" s="1" t="str">
        <f>HYPERLINK("https://www.ebi.ac.uk/chembl/compound/inspect/CHEMBL25028","CHEMBL25028")</f>
        <v>CHEMBL25028</v>
      </c>
      <c r="D1158" t="s">
        <v>1</v>
      </c>
      <c r="E1158" t="s">
        <v>2752</v>
      </c>
      <c r="F1158" t="s">
        <v>2753</v>
      </c>
      <c r="G1158">
        <v>0</v>
      </c>
      <c r="H1158" s="4">
        <v>10</v>
      </c>
    </row>
    <row r="1159" spans="1:8" x14ac:dyDescent="0.2">
      <c r="A1159" t="s">
        <v>2754</v>
      </c>
      <c r="B1159" s="1" t="str">
        <f>HYPERLINK("http://www.chemspider.com/Chemical-Structure.4911.html","4911")</f>
        <v>4911</v>
      </c>
      <c r="C1159" s="1" t="str">
        <f>HYPERLINK("https://www.ebi.ac.uk/chembl/compound/inspect/CHEMBL122","CHEMBL122")</f>
        <v>CHEMBL122</v>
      </c>
      <c r="D1159" t="s">
        <v>9</v>
      </c>
      <c r="E1159" t="s">
        <v>2755</v>
      </c>
      <c r="F1159" t="s">
        <v>2756</v>
      </c>
      <c r="G1159">
        <v>62</v>
      </c>
      <c r="H1159" s="4">
        <v>10</v>
      </c>
    </row>
    <row r="1160" spans="1:8" x14ac:dyDescent="0.2">
      <c r="A1160" t="s">
        <v>2757</v>
      </c>
      <c r="B1160" s="1" t="str">
        <f>HYPERLINK("http://www.chemspider.com/Chemical-Structure.2284.html","2284")</f>
        <v>2284</v>
      </c>
      <c r="C1160" s="1" t="str">
        <f>HYPERLINK("https://www.ebi.ac.uk/chembl/compound/inspect/CHEMBL409","CHEMBL409")</f>
        <v>CHEMBL409</v>
      </c>
      <c r="D1160" t="s">
        <v>9</v>
      </c>
      <c r="E1160" t="s">
        <v>2758</v>
      </c>
      <c r="F1160" t="s">
        <v>2759</v>
      </c>
      <c r="G1160">
        <v>320</v>
      </c>
      <c r="H1160" s="4">
        <v>10</v>
      </c>
    </row>
    <row r="1161" spans="1:8" x14ac:dyDescent="0.2">
      <c r="A1161" t="s">
        <v>2760</v>
      </c>
      <c r="B1161" s="1" t="str">
        <f>HYPERLINK("http://www.chemspider.com/Chemical-Structure.2074.html","2074")</f>
        <v>2074</v>
      </c>
      <c r="C1161" s="1" t="str">
        <f>HYPERLINK("https://www.ebi.ac.uk/chembl/compound/inspect/CHEMBL243712","CHEMBL243712")</f>
        <v>CHEMBL243712</v>
      </c>
      <c r="D1161" t="s">
        <v>1</v>
      </c>
      <c r="E1161" t="s">
        <v>2761</v>
      </c>
      <c r="F1161" t="s">
        <v>2762</v>
      </c>
      <c r="G1161">
        <v>61</v>
      </c>
      <c r="H1161" s="4">
        <v>10</v>
      </c>
    </row>
    <row r="1162" spans="1:8" x14ac:dyDescent="0.2">
      <c r="A1162" t="s">
        <v>2763</v>
      </c>
      <c r="B1162" s="1" t="str">
        <f>HYPERLINK("http://www.chemspider.com/Chemical-Structure.5279.html","5279")</f>
        <v>5279</v>
      </c>
      <c r="C1162" s="1" t="str">
        <f>HYPERLINK("https://www.ebi.ac.uk/chembl/compound/inspect/CHEMBL1220","CHEMBL1220")</f>
        <v>CHEMBL1220</v>
      </c>
      <c r="D1162" t="s">
        <v>9</v>
      </c>
      <c r="E1162" t="s">
        <v>2764</v>
      </c>
      <c r="F1162" t="s">
        <v>2765</v>
      </c>
      <c r="G1162">
        <v>45</v>
      </c>
      <c r="H1162" s="4">
        <v>10</v>
      </c>
    </row>
    <row r="1163" spans="1:8" x14ac:dyDescent="0.2">
      <c r="A1163" t="s">
        <v>2766</v>
      </c>
      <c r="B1163" s="1" t="str">
        <f>HYPERLINK("http://www.chemspider.com/Chemical-Structure.3642741.html","3642741")</f>
        <v>3642741</v>
      </c>
      <c r="G1163">
        <v>0</v>
      </c>
      <c r="H1163" s="4">
        <v>10</v>
      </c>
    </row>
    <row r="1164" spans="1:8" x14ac:dyDescent="0.2">
      <c r="A1164" t="s">
        <v>2767</v>
      </c>
      <c r="B1164" s="1" t="str">
        <f>HYPERLINK("http://www.chemspider.com/Chemical-Structure.2843853.html","2843853")</f>
        <v>2843853</v>
      </c>
      <c r="G1164">
        <v>0</v>
      </c>
      <c r="H1164" s="4">
        <v>10</v>
      </c>
    </row>
    <row r="1165" spans="1:8" x14ac:dyDescent="0.2">
      <c r="A1165" t="s">
        <v>2768</v>
      </c>
      <c r="B1165" s="1" t="str">
        <f>HYPERLINK("http://www.chemspider.com/Chemical-Structure.58532.html","58532")</f>
        <v>58532</v>
      </c>
      <c r="C1165" s="1" t="str">
        <f>HYPERLINK("https://www.ebi.ac.uk/chembl/compound/inspect/CHEMBL116","CHEMBL116")</f>
        <v>CHEMBL116</v>
      </c>
      <c r="D1165" t="s">
        <v>9</v>
      </c>
      <c r="E1165" t="s">
        <v>2769</v>
      </c>
      <c r="F1165" t="s">
        <v>2770</v>
      </c>
      <c r="G1165">
        <v>91</v>
      </c>
      <c r="H1165" s="4">
        <v>10</v>
      </c>
    </row>
    <row r="1166" spans="1:8" x14ac:dyDescent="0.2">
      <c r="A1166" t="s">
        <v>2771</v>
      </c>
      <c r="B1166" s="1" t="str">
        <f>HYPERLINK("http://www.chemspider.com/Chemical-Structure.3721338.html","3721338")</f>
        <v>3721338</v>
      </c>
      <c r="G1166">
        <v>0</v>
      </c>
      <c r="H1166" s="4">
        <v>10</v>
      </c>
    </row>
    <row r="1167" spans="1:8" x14ac:dyDescent="0.2">
      <c r="A1167" t="s">
        <v>2772</v>
      </c>
      <c r="B1167" s="1" t="str">
        <f>HYPERLINK("http://www.chemspider.com/Chemical-Structure.4742.html","4742")</f>
        <v>4742</v>
      </c>
      <c r="C1167" s="1" t="str">
        <f>HYPERLINK("https://www.ebi.ac.uk/chembl/compound/inspect/CHEMBL897","CHEMBL897")</f>
        <v>CHEMBL897</v>
      </c>
      <c r="D1167" t="s">
        <v>9</v>
      </c>
      <c r="E1167" t="s">
        <v>2773</v>
      </c>
      <c r="F1167" t="s">
        <v>2774</v>
      </c>
      <c r="G1167">
        <v>63</v>
      </c>
      <c r="H1167" s="4">
        <v>10</v>
      </c>
    </row>
    <row r="1168" spans="1:8" x14ac:dyDescent="0.2">
      <c r="A1168" t="s">
        <v>2775</v>
      </c>
      <c r="B1168" s="1" t="str">
        <f>HYPERLINK("http://www.chemspider.com/Chemical-Structure.5532.html","5532")</f>
        <v>5532</v>
      </c>
      <c r="C1168" s="1" t="str">
        <f>HYPERLINK("https://www.ebi.ac.uk/chembl/compound/inspect/CHEMBL750","CHEMBL750")</f>
        <v>CHEMBL750</v>
      </c>
      <c r="D1168" t="s">
        <v>9</v>
      </c>
      <c r="E1168" t="s">
        <v>2776</v>
      </c>
      <c r="F1168" t="s">
        <v>2777</v>
      </c>
      <c r="G1168">
        <v>169</v>
      </c>
      <c r="H1168" s="4">
        <v>10</v>
      </c>
    </row>
    <row r="1169" spans="1:8" x14ac:dyDescent="0.2">
      <c r="A1169" t="s">
        <v>2778</v>
      </c>
      <c r="B1169" s="1" t="str">
        <f>HYPERLINK("http://www.chemspider.com/Chemical-Structure.599749.html","599749")</f>
        <v>599749</v>
      </c>
      <c r="C1169" s="1" t="str">
        <f>HYPERLINK("https://www.ebi.ac.uk/chembl/compound/inspect/CHEMBL267044","CHEMBL267044")</f>
        <v>CHEMBL267044</v>
      </c>
      <c r="D1169" t="s">
        <v>1</v>
      </c>
      <c r="E1169" t="s">
        <v>2779</v>
      </c>
      <c r="F1169" t="s">
        <v>2780</v>
      </c>
      <c r="G1169">
        <v>2</v>
      </c>
      <c r="H1169" s="4">
        <v>10</v>
      </c>
    </row>
    <row r="1170" spans="1:8" x14ac:dyDescent="0.2">
      <c r="A1170" t="s">
        <v>2781</v>
      </c>
      <c r="B1170" s="1" t="str">
        <f>HYPERLINK("http://www.chemspider.com/Chemical-Structure.8289501.html","8289501")</f>
        <v>8289501</v>
      </c>
      <c r="C1170" s="1" t="str">
        <f>HYPERLINK("https://www.ebi.ac.uk/chembl/compound/inspect/CHEMBL477772","CHEMBL477772")</f>
        <v>CHEMBL477772</v>
      </c>
      <c r="D1170" t="s">
        <v>9</v>
      </c>
      <c r="E1170" t="s">
        <v>2782</v>
      </c>
      <c r="F1170" t="s">
        <v>2783</v>
      </c>
      <c r="G1170">
        <v>438</v>
      </c>
      <c r="H1170" s="4">
        <v>10</v>
      </c>
    </row>
    <row r="1171" spans="1:8" x14ac:dyDescent="0.2">
      <c r="A1171" t="s">
        <v>2784</v>
      </c>
      <c r="B1171" s="1" t="str">
        <f>HYPERLINK("http://www.chemspider.com/Chemical-Structure.2377.html","2377")</f>
        <v>2377</v>
      </c>
      <c r="C1171" s="1" t="str">
        <f>HYPERLINK("https://www.ebi.ac.uk/chembl/compound/inspect/CHEMBL1072","CHEMBL1072")</f>
        <v>CHEMBL1072</v>
      </c>
      <c r="D1171" t="s">
        <v>9</v>
      </c>
      <c r="E1171" t="s">
        <v>2785</v>
      </c>
      <c r="F1171" t="s">
        <v>2786</v>
      </c>
      <c r="G1171">
        <v>23</v>
      </c>
      <c r="H1171" s="4">
        <v>10.00031521</v>
      </c>
    </row>
    <row r="1172" spans="1:8" x14ac:dyDescent="0.2">
      <c r="A1172" t="s">
        <v>2787</v>
      </c>
      <c r="B1172" s="1" t="str">
        <f>HYPERLINK("http://www.chemspider.com/Chemical-Structure.2225.html","2225")</f>
        <v>2225</v>
      </c>
      <c r="C1172" s="1" t="str">
        <f>HYPERLINK("https://www.ebi.ac.uk/chembl/compound/inspect/CHEMBL1684","CHEMBL1684")</f>
        <v>CHEMBL1684</v>
      </c>
      <c r="D1172" t="s">
        <v>9</v>
      </c>
      <c r="E1172" t="s">
        <v>2788</v>
      </c>
      <c r="F1172" t="s">
        <v>2789</v>
      </c>
      <c r="G1172">
        <v>9</v>
      </c>
      <c r="H1172" s="4">
        <v>10</v>
      </c>
    </row>
    <row r="1173" spans="1:8" x14ac:dyDescent="0.2">
      <c r="A1173" t="s">
        <v>2790</v>
      </c>
      <c r="B1173" s="1" t="str">
        <f>HYPERLINK("http://www.chemspider.com/Chemical-Structure.3521.html","3521")</f>
        <v>3521</v>
      </c>
      <c r="C1173" s="1" t="str">
        <f>HYPERLINK("https://www.ebi.ac.uk/chembl/compound/inspect/CHEMBL1763","CHEMBL1763")</f>
        <v>CHEMBL1763</v>
      </c>
      <c r="D1173" t="s">
        <v>9</v>
      </c>
      <c r="E1173" t="s">
        <v>2791</v>
      </c>
      <c r="F1173" t="s">
        <v>2792</v>
      </c>
      <c r="G1173">
        <v>2</v>
      </c>
      <c r="H1173" s="4">
        <v>10</v>
      </c>
    </row>
    <row r="1174" spans="1:8" x14ac:dyDescent="0.2">
      <c r="A1174" t="s">
        <v>2793</v>
      </c>
      <c r="B1174" s="1" t="str">
        <f>HYPERLINK("http://www.chemspider.com/Chemical-Structure.2562.html","2562")</f>
        <v>2562</v>
      </c>
      <c r="C1174" s="1" t="str">
        <f>HYPERLINK("https://www.ebi.ac.uk/chembl/compound/inspect/CHEMBL118","CHEMBL118")</f>
        <v>CHEMBL118</v>
      </c>
      <c r="D1174" t="s">
        <v>9</v>
      </c>
      <c r="E1174" t="s">
        <v>2794</v>
      </c>
      <c r="F1174" t="s">
        <v>2795</v>
      </c>
      <c r="G1174">
        <v>933</v>
      </c>
      <c r="H1174" s="4">
        <v>10</v>
      </c>
    </row>
    <row r="1175" spans="1:8" x14ac:dyDescent="0.2">
      <c r="A1175" t="s">
        <v>2796</v>
      </c>
      <c r="B1175" s="1" t="str">
        <f>HYPERLINK("http://www.chemspider.com/Chemical-Structure.106796.html","106796")</f>
        <v>106796</v>
      </c>
      <c r="C1175" s="1" t="str">
        <f>HYPERLINK("https://www.ebi.ac.uk/chembl/compound/inspect/CHEMBL865","CHEMBL865")</f>
        <v>CHEMBL865</v>
      </c>
      <c r="D1175" t="s">
        <v>9</v>
      </c>
      <c r="E1175" t="s">
        <v>2797</v>
      </c>
      <c r="F1175" t="s">
        <v>2798</v>
      </c>
      <c r="G1175">
        <v>70</v>
      </c>
      <c r="H1175" s="4">
        <v>10</v>
      </c>
    </row>
    <row r="1176" spans="1:8" x14ac:dyDescent="0.2">
      <c r="A1176" t="s">
        <v>2799</v>
      </c>
      <c r="B1176" s="1" t="str">
        <f>HYPERLINK("http://www.chemspider.com/Chemical-Structure.3858.html","3858")</f>
        <v>3858</v>
      </c>
      <c r="C1176" s="1" t="str">
        <f>HYPERLINK("https://www.ebi.ac.uk/chembl/compound/inspect/CHEMBL419","CHEMBL419")</f>
        <v>CHEMBL419</v>
      </c>
      <c r="D1176" t="s">
        <v>9</v>
      </c>
      <c r="E1176" t="s">
        <v>2800</v>
      </c>
      <c r="F1176" t="s">
        <v>2801</v>
      </c>
      <c r="G1176">
        <v>6</v>
      </c>
      <c r="H1176" s="4">
        <v>10</v>
      </c>
    </row>
    <row r="1177" spans="1:8" x14ac:dyDescent="0.2">
      <c r="A1177" t="s">
        <v>2802</v>
      </c>
      <c r="B1177" s="1" t="str">
        <f>HYPERLINK("http://www.chemspider.com/Chemical-Structure.2200955.html","2200955")</f>
        <v>2200955</v>
      </c>
      <c r="G1177">
        <v>0</v>
      </c>
      <c r="H1177" s="4">
        <v>10</v>
      </c>
    </row>
    <row r="1178" spans="1:8" x14ac:dyDescent="0.2">
      <c r="A1178" t="s">
        <v>2803</v>
      </c>
      <c r="B1178" s="1" t="str">
        <f>HYPERLINK("http://www.chemspider.com/Chemical-Structure.2493064.html","2493064")</f>
        <v>2493064</v>
      </c>
      <c r="C1178" s="1" t="str">
        <f>HYPERLINK("https://www.ebi.ac.uk/chembl/compound/inspect/CHEMBL1727288","CHEMBL1727288")</f>
        <v>CHEMBL1727288</v>
      </c>
      <c r="D1178" t="s">
        <v>1</v>
      </c>
      <c r="F1178" t="s">
        <v>2804</v>
      </c>
      <c r="G1178">
        <v>0</v>
      </c>
      <c r="H1178" s="4">
        <v>10</v>
      </c>
    </row>
    <row r="1179" spans="1:8" x14ac:dyDescent="0.2">
      <c r="A1179" t="s">
        <v>2805</v>
      </c>
      <c r="B1179" s="1" t="str">
        <f>HYPERLINK("http://www.chemspider.com/Chemical-Structure.1729242.html","1729242")</f>
        <v>1729242</v>
      </c>
      <c r="G1179">
        <v>0</v>
      </c>
      <c r="H1179" s="4">
        <v>10</v>
      </c>
    </row>
    <row r="1180" spans="1:8" x14ac:dyDescent="0.2">
      <c r="A1180" t="s">
        <v>2806</v>
      </c>
      <c r="B1180" s="1" t="str">
        <f>HYPERLINK("http://www.chemspider.com/Chemical-Structure.4193760.html","4193760")</f>
        <v>4193760</v>
      </c>
      <c r="G1180">
        <v>0</v>
      </c>
      <c r="H1180" s="4">
        <v>10</v>
      </c>
    </row>
    <row r="1181" spans="1:8" x14ac:dyDescent="0.2">
      <c r="A1181" t="s">
        <v>2807</v>
      </c>
      <c r="B1181" s="1" t="str">
        <f>HYPERLINK("http://www.chemspider.com/Chemical-Structure.4185060.html","4185060")</f>
        <v>4185060</v>
      </c>
      <c r="G1181">
        <v>0</v>
      </c>
      <c r="H1181" s="4">
        <v>10</v>
      </c>
    </row>
    <row r="1182" spans="1:8" x14ac:dyDescent="0.2">
      <c r="A1182" t="s">
        <v>2808</v>
      </c>
      <c r="B1182" s="1" t="str">
        <f>HYPERLINK("http://www.chemspider.com/Chemical-Structure.3286750.html","3286750")</f>
        <v>3286750</v>
      </c>
      <c r="C1182" s="1" t="str">
        <f>HYPERLINK("https://www.ebi.ac.uk/chembl/compound/inspect/CHEMBL1729776","CHEMBL1729776")</f>
        <v>CHEMBL1729776</v>
      </c>
      <c r="D1182" t="s">
        <v>1</v>
      </c>
      <c r="F1182" t="s">
        <v>2809</v>
      </c>
      <c r="G1182">
        <v>0</v>
      </c>
      <c r="H1182" s="4">
        <v>10</v>
      </c>
    </row>
    <row r="1183" spans="1:8" x14ac:dyDescent="0.2">
      <c r="A1183" t="s">
        <v>2810</v>
      </c>
      <c r="B1183" s="1" t="str">
        <f>HYPERLINK("http://www.chemspider.com/Chemical-Structure.5023.html","5023")</f>
        <v>5023</v>
      </c>
      <c r="C1183" s="1" t="str">
        <f>HYPERLINK("https://www.ebi.ac.uk/chembl/compound/inspect/CHEMBL192","CHEMBL192")</f>
        <v>CHEMBL192</v>
      </c>
      <c r="D1183" t="s">
        <v>9</v>
      </c>
      <c r="E1183" t="s">
        <v>2811</v>
      </c>
      <c r="F1183" t="s">
        <v>2812</v>
      </c>
      <c r="G1183">
        <v>670</v>
      </c>
      <c r="H1183" s="4">
        <v>9.999439551</v>
      </c>
    </row>
    <row r="1184" spans="1:8" x14ac:dyDescent="0.2">
      <c r="A1184" t="s">
        <v>2813</v>
      </c>
      <c r="B1184" s="1" t="str">
        <f>HYPERLINK("http://www.chemspider.com/Chemical-Structure.99300.html","99300")</f>
        <v>99300</v>
      </c>
      <c r="C1184" s="1" t="str">
        <f>HYPERLINK("https://www.ebi.ac.uk/chembl/compound/inspect/CHEMBL1520","CHEMBL1520")</f>
        <v>CHEMBL1520</v>
      </c>
      <c r="D1184" t="s">
        <v>9</v>
      </c>
      <c r="E1184" t="s">
        <v>2814</v>
      </c>
      <c r="F1184" t="s">
        <v>2815</v>
      </c>
      <c r="G1184">
        <v>174</v>
      </c>
      <c r="H1184" s="4">
        <v>10</v>
      </c>
    </row>
    <row r="1185" spans="1:8" x14ac:dyDescent="0.2">
      <c r="A1185" t="s">
        <v>2816</v>
      </c>
      <c r="B1185" s="1" t="str">
        <f>HYPERLINK("http://www.chemspider.com/Chemical-Structure.3367673.html","3367673")</f>
        <v>3367673</v>
      </c>
      <c r="G1185">
        <v>0</v>
      </c>
      <c r="H1185" s="4">
        <v>10</v>
      </c>
    </row>
    <row r="1186" spans="1:8" x14ac:dyDescent="0.2">
      <c r="A1186" t="s">
        <v>2817</v>
      </c>
      <c r="B1186" s="1" t="str">
        <f>HYPERLINK("http://www.chemspider.com/Chemical-Structure.5129.html","5129")</f>
        <v>5129</v>
      </c>
      <c r="C1186" s="1" t="str">
        <f>HYPERLINK("https://www.ebi.ac.uk/chembl/compound/inspect/CHEMBL455","CHEMBL455")</f>
        <v>CHEMBL455</v>
      </c>
      <c r="D1186" t="s">
        <v>9</v>
      </c>
      <c r="E1186" t="s">
        <v>2818</v>
      </c>
      <c r="F1186" t="s">
        <v>2819</v>
      </c>
      <c r="G1186">
        <v>0</v>
      </c>
      <c r="H1186" s="4">
        <v>10</v>
      </c>
    </row>
    <row r="1187" spans="1:8" x14ac:dyDescent="0.2">
      <c r="A1187" t="s">
        <v>2820</v>
      </c>
      <c r="B1187" s="1" t="str">
        <f>HYPERLINK("http://www.chemspider.com/Chemical-Structure.38123.html","38123")</f>
        <v>38123</v>
      </c>
      <c r="C1187" s="1" t="str">
        <f>HYPERLINK("https://www.ebi.ac.uk/chembl/compound/inspect/CHEMBL1148","CHEMBL1148")</f>
        <v>CHEMBL1148</v>
      </c>
      <c r="D1187" t="s">
        <v>9</v>
      </c>
      <c r="E1187" t="s">
        <v>2821</v>
      </c>
      <c r="F1187" t="s">
        <v>2822</v>
      </c>
      <c r="G1187">
        <v>32</v>
      </c>
      <c r="H1187" s="4">
        <v>9.9</v>
      </c>
    </row>
    <row r="1188" spans="1:8" x14ac:dyDescent="0.2">
      <c r="A1188" t="s">
        <v>2823</v>
      </c>
      <c r="B1188" s="1" t="str">
        <f>HYPERLINK("http://www.chemspider.com/Chemical-Structure.1912.html","1912")</f>
        <v>1912</v>
      </c>
      <c r="C1188" s="1" t="str">
        <f>HYPERLINK("https://www.ebi.ac.uk/chembl/compound/inspect/CHEMBL1589","CHEMBL1589")</f>
        <v>CHEMBL1589</v>
      </c>
      <c r="D1188" t="s">
        <v>9</v>
      </c>
      <c r="E1188" t="s">
        <v>2824</v>
      </c>
      <c r="F1188" t="s">
        <v>2825</v>
      </c>
      <c r="G1188">
        <v>3</v>
      </c>
      <c r="H1188" s="4">
        <v>10.1</v>
      </c>
    </row>
    <row r="1189" spans="1:8" x14ac:dyDescent="0.2">
      <c r="A1189" t="s">
        <v>2826</v>
      </c>
      <c r="B1189" s="1" t="str">
        <f>HYPERLINK("http://www.chemspider.com/Chemical-Structure.3359.html","3359")</f>
        <v>3359</v>
      </c>
      <c r="C1189" s="1" t="str">
        <f>HYPERLINK("https://www.ebi.ac.uk/chembl/compound/inspect/CHEMBL1073","CHEMBL1073")</f>
        <v>CHEMBL1073</v>
      </c>
      <c r="D1189" t="s">
        <v>9</v>
      </c>
      <c r="E1189" t="s">
        <v>2827</v>
      </c>
      <c r="F1189" t="s">
        <v>2828</v>
      </c>
      <c r="G1189">
        <v>94</v>
      </c>
      <c r="H1189" s="4">
        <v>10</v>
      </c>
    </row>
    <row r="1190" spans="1:8" x14ac:dyDescent="0.2">
      <c r="A1190" t="s">
        <v>2829</v>
      </c>
      <c r="B1190" s="1" t="str">
        <f>HYPERLINK("http://www.chemspider.com/Chemical-Structure.5304.html","5304")</f>
        <v>5304</v>
      </c>
      <c r="C1190" s="1" t="str">
        <f>HYPERLINK("https://www.ebi.ac.uk/chembl/compound/inspect/CHEMBL782","CHEMBL782")</f>
        <v>CHEMBL782</v>
      </c>
      <c r="D1190" t="s">
        <v>9</v>
      </c>
      <c r="E1190" t="s">
        <v>2830</v>
      </c>
      <c r="F1190" t="s">
        <v>2831</v>
      </c>
      <c r="G1190">
        <v>22</v>
      </c>
      <c r="H1190" s="4">
        <v>10</v>
      </c>
    </row>
    <row r="1191" spans="1:8" x14ac:dyDescent="0.2">
      <c r="A1191" t="s">
        <v>2832</v>
      </c>
      <c r="B1191" s="1" t="str">
        <f>HYPERLINK("http://www.chemspider.com/Chemical-Structure.5302.html","5302")</f>
        <v>5302</v>
      </c>
      <c r="C1191" s="1" t="str">
        <f>HYPERLINK("https://www.ebi.ac.uk/chembl/compound/inspect/CHEMBL817","CHEMBL817")</f>
        <v>CHEMBL817</v>
      </c>
      <c r="D1191" t="s">
        <v>9</v>
      </c>
      <c r="E1191" t="s">
        <v>2833</v>
      </c>
      <c r="F1191" t="s">
        <v>2834</v>
      </c>
      <c r="G1191">
        <v>1</v>
      </c>
      <c r="H1191" s="4">
        <v>10</v>
      </c>
    </row>
    <row r="1192" spans="1:8" x14ac:dyDescent="0.2">
      <c r="A1192" t="s">
        <v>2835</v>
      </c>
      <c r="B1192" s="1" t="str">
        <f>HYPERLINK("http://www.chemspider.com/Chemical-Structure.5515.html","5515")</f>
        <v>5515</v>
      </c>
      <c r="C1192" s="1" t="str">
        <f>HYPERLINK("https://www.ebi.ac.uk/chembl/compound/inspect/CHEMBL603","CHEMBL603")</f>
        <v>CHEMBL603</v>
      </c>
      <c r="D1192" t="s">
        <v>9</v>
      </c>
      <c r="E1192" t="s">
        <v>2836</v>
      </c>
      <c r="F1192" t="s">
        <v>2837</v>
      </c>
      <c r="G1192">
        <v>3</v>
      </c>
      <c r="H1192" s="4">
        <v>10.000860319999999</v>
      </c>
    </row>
    <row r="1193" spans="1:8" x14ac:dyDescent="0.2">
      <c r="A1193" t="s">
        <v>2838</v>
      </c>
      <c r="B1193" s="1" t="str">
        <f>HYPERLINK("http://www.chemspider.com/Chemical-Structure.297752.html","297752")</f>
        <v>297752</v>
      </c>
      <c r="C1193" s="1" t="str">
        <f>HYPERLINK("https://www.ebi.ac.uk/chembl/compound/inspect/CHEMBL1986064","CHEMBL1986064")</f>
        <v>CHEMBL1986064</v>
      </c>
      <c r="D1193" t="s">
        <v>1</v>
      </c>
      <c r="F1193" t="s">
        <v>2839</v>
      </c>
      <c r="G1193">
        <v>0</v>
      </c>
      <c r="H1193" s="4">
        <v>10</v>
      </c>
    </row>
    <row r="1194" spans="1:8" x14ac:dyDescent="0.2">
      <c r="A1194" t="s">
        <v>2840</v>
      </c>
      <c r="B1194" s="1" t="str">
        <f>HYPERLINK("http://www.chemspider.com/Chemical-Structure.5165.html","5165")</f>
        <v>5165</v>
      </c>
      <c r="C1194" s="1" t="str">
        <f>HYPERLINK("https://www.ebi.ac.uk/chembl/compound/inspect/CHEMBL128","CHEMBL128")</f>
        <v>CHEMBL128</v>
      </c>
      <c r="D1194" t="s">
        <v>9</v>
      </c>
      <c r="E1194" t="s">
        <v>2841</v>
      </c>
      <c r="F1194" t="s">
        <v>2842</v>
      </c>
      <c r="G1194">
        <v>215</v>
      </c>
      <c r="H1194" s="4">
        <v>10.000371510000001</v>
      </c>
    </row>
    <row r="1195" spans="1:8" x14ac:dyDescent="0.2">
      <c r="A1195" t="s">
        <v>2843</v>
      </c>
      <c r="B1195" s="1" t="str">
        <f>HYPERLINK("http://www.chemspider.com/Chemical-Structure.83702.html","83702")</f>
        <v>83702</v>
      </c>
      <c r="C1195" s="1" t="str">
        <f>HYPERLINK("https://www.ebi.ac.uk/chembl/compound/inspect/CHEMBL1166","CHEMBL1166")</f>
        <v>CHEMBL1166</v>
      </c>
      <c r="D1195" t="s">
        <v>9</v>
      </c>
      <c r="E1195" t="s">
        <v>2844</v>
      </c>
      <c r="F1195" t="s">
        <v>2845</v>
      </c>
      <c r="G1195">
        <v>45</v>
      </c>
      <c r="H1195" s="4">
        <v>10.000379819999999</v>
      </c>
    </row>
    <row r="1196" spans="1:8" x14ac:dyDescent="0.2">
      <c r="A1196" t="s">
        <v>2846</v>
      </c>
      <c r="B1196" s="1" t="str">
        <f>HYPERLINK("http://www.chemspider.com/Chemical-Structure.4510238.html","4510238")</f>
        <v>4510238</v>
      </c>
      <c r="C1196" s="1" t="str">
        <f>HYPERLINK("https://www.ebi.ac.uk/chembl/compound/inspect/CHEMBL98245","CHEMBL98245")</f>
        <v>CHEMBL98245</v>
      </c>
      <c r="D1196" t="s">
        <v>1</v>
      </c>
      <c r="F1196" t="s">
        <v>2847</v>
      </c>
      <c r="G1196">
        <v>0</v>
      </c>
      <c r="H1196" s="4">
        <v>10</v>
      </c>
    </row>
    <row r="1197" spans="1:8" x14ac:dyDescent="0.2">
      <c r="A1197" t="s">
        <v>2848</v>
      </c>
      <c r="B1197" s="1" t="str">
        <f>HYPERLINK("http://www.chemspider.com/Chemical-Structure.28467525.html","28467525")</f>
        <v>28467525</v>
      </c>
      <c r="C1197" s="1" t="str">
        <f>HYPERLINK("https://www.ebi.ac.uk/chembl/compound/inspect/CHEMBL2179387","CHEMBL2179387")</f>
        <v>CHEMBL2179387</v>
      </c>
      <c r="D1197" t="s">
        <v>1</v>
      </c>
      <c r="G1197">
        <v>0</v>
      </c>
      <c r="H1197" s="4">
        <v>50</v>
      </c>
    </row>
    <row r="1198" spans="1:8" x14ac:dyDescent="0.2">
      <c r="A1198" t="s">
        <v>2849</v>
      </c>
      <c r="B1198" s="1" t="str">
        <f>HYPERLINK("http://www.chemspider.com/Chemical-Structure.180996.html","180996")</f>
        <v>180996</v>
      </c>
      <c r="C1198" s="1" t="str">
        <f>HYPERLINK("https://www.ebi.ac.uk/chembl/compound/inspect/CHEMBL184412","CHEMBL184412")</f>
        <v>CHEMBL184412</v>
      </c>
      <c r="D1198" t="s">
        <v>9</v>
      </c>
      <c r="E1198" t="s">
        <v>2850</v>
      </c>
      <c r="F1198" t="s">
        <v>2851</v>
      </c>
      <c r="G1198">
        <v>56</v>
      </c>
      <c r="H1198" s="4">
        <v>9.9996923970000005</v>
      </c>
    </row>
    <row r="1199" spans="1:8" x14ac:dyDescent="0.2">
      <c r="A1199" t="s">
        <v>2852</v>
      </c>
      <c r="B1199" s="1" t="str">
        <f>HYPERLINK("http://www.chemspider.com/Chemical-Structure.54755.html","54755")</f>
        <v>54755</v>
      </c>
      <c r="C1199" s="1" t="str">
        <f>HYPERLINK("https://www.ebi.ac.uk/chembl/compound/inspect/CHEMBL533","CHEMBL533")</f>
        <v>CHEMBL533</v>
      </c>
      <c r="D1199" t="s">
        <v>9</v>
      </c>
      <c r="E1199" t="s">
        <v>2853</v>
      </c>
      <c r="F1199" t="s">
        <v>2854</v>
      </c>
      <c r="G1199">
        <v>8</v>
      </c>
      <c r="H1199" s="4">
        <v>10.00092008</v>
      </c>
    </row>
    <row r="1200" spans="1:8" x14ac:dyDescent="0.2">
      <c r="A1200" t="s">
        <v>2855</v>
      </c>
      <c r="B1200" s="1" t="str">
        <f>HYPERLINK("http://www.chemspider.com/Chemical-Structure.5063.html","5063")</f>
        <v>5063</v>
      </c>
      <c r="C1200" s="1" t="str">
        <f>HYPERLINK("https://www.ebi.ac.uk/chembl/compound/inspect/CHEMBL471","CHEMBL471")</f>
        <v>CHEMBL471</v>
      </c>
      <c r="D1200" t="s">
        <v>9</v>
      </c>
      <c r="E1200" t="s">
        <v>2856</v>
      </c>
      <c r="F1200" t="s">
        <v>2857</v>
      </c>
      <c r="G1200">
        <v>40</v>
      </c>
      <c r="H1200" s="4">
        <v>10</v>
      </c>
    </row>
    <row r="1201" spans="1:8" x14ac:dyDescent="0.2">
      <c r="A1201" t="s">
        <v>2858</v>
      </c>
      <c r="B1201" s="1" t="str">
        <f>HYPERLINK("http://www.chemspider.com/Chemical-Structure.116658.html","116658")</f>
        <v>116658</v>
      </c>
      <c r="C1201" s="1" t="str">
        <f>HYPERLINK("https://www.ebi.ac.uk/chembl/compound/inspect/CHEMBL39317","CHEMBL39317")</f>
        <v>CHEMBL39317</v>
      </c>
      <c r="D1201" t="s">
        <v>1</v>
      </c>
      <c r="E1201" t="s">
        <v>2859</v>
      </c>
      <c r="F1201" t="s">
        <v>2860</v>
      </c>
      <c r="G1201">
        <v>0</v>
      </c>
      <c r="H1201" s="4">
        <v>10</v>
      </c>
    </row>
    <row r="1202" spans="1:8" x14ac:dyDescent="0.2">
      <c r="A1202" t="s">
        <v>2861</v>
      </c>
      <c r="B1202" s="1" t="str">
        <f>HYPERLINK("http://www.chemspider.com/Chemical-Structure.5293831.html","5293831")</f>
        <v>5293831</v>
      </c>
      <c r="C1202" s="1" t="str">
        <f>HYPERLINK("https://www.ebi.ac.uk/chembl/compound/inspect/CHEMBL408513","CHEMBL408513")</f>
        <v>CHEMBL408513</v>
      </c>
      <c r="D1202" t="s">
        <v>1</v>
      </c>
      <c r="E1202" t="s">
        <v>2862</v>
      </c>
      <c r="F1202" t="s">
        <v>2863</v>
      </c>
      <c r="G1202">
        <v>63</v>
      </c>
      <c r="H1202" s="4">
        <v>50</v>
      </c>
    </row>
    <row r="1203" spans="1:8" x14ac:dyDescent="0.2">
      <c r="A1203" t="s">
        <v>2864</v>
      </c>
      <c r="B1203" s="1" t="str">
        <f>HYPERLINK("http://www.chemspider.com/Chemical-Structure.2889900.html","2889900")</f>
        <v>2889900</v>
      </c>
      <c r="G1203">
        <v>0</v>
      </c>
      <c r="H1203" s="4">
        <v>10</v>
      </c>
    </row>
    <row r="1204" spans="1:8" x14ac:dyDescent="0.2">
      <c r="A1204" t="s">
        <v>2865</v>
      </c>
      <c r="B1204" s="1" t="str">
        <f>HYPERLINK("http://www.chemspider.com/Chemical-Structure.94651.html","94651")</f>
        <v>94651</v>
      </c>
      <c r="C1204" s="1" t="str">
        <f>HYPERLINK("https://www.ebi.ac.uk/chembl/compound/inspect/CHEMBL957","CHEMBL957")</f>
        <v>CHEMBL957</v>
      </c>
      <c r="D1204" t="s">
        <v>9</v>
      </c>
      <c r="E1204" t="s">
        <v>2866</v>
      </c>
      <c r="F1204" t="s">
        <v>2867</v>
      </c>
      <c r="G1204">
        <v>218</v>
      </c>
      <c r="H1204" s="4">
        <v>10</v>
      </c>
    </row>
    <row r="1205" spans="1:8" x14ac:dyDescent="0.2">
      <c r="A1205" t="s">
        <v>2868</v>
      </c>
      <c r="B1205" s="1" t="str">
        <f>HYPERLINK("http://www.chemspider.com/Chemical-Structure.5135.html","5135")</f>
        <v>5135</v>
      </c>
      <c r="C1205" s="1" t="str">
        <f>HYPERLINK("https://www.ebi.ac.uk/chembl/compound/inspect/CHEMBL1200359","CHEMBL1200359")</f>
        <v>CHEMBL1200359</v>
      </c>
      <c r="D1205" t="s">
        <v>9</v>
      </c>
      <c r="E1205" t="s">
        <v>2869</v>
      </c>
      <c r="F1205" t="s">
        <v>2870</v>
      </c>
      <c r="G1205">
        <v>0</v>
      </c>
      <c r="H1205" s="4">
        <v>10</v>
      </c>
    </row>
    <row r="1206" spans="1:8" x14ac:dyDescent="0.2">
      <c r="A1206" t="s">
        <v>2871</v>
      </c>
      <c r="B1206" s="1" t="str">
        <f>HYPERLINK("http://www.chemspider.com/Chemical-Structure.10605946.html","10605946")</f>
        <v>10605946</v>
      </c>
      <c r="C1206" s="1" t="str">
        <f>HYPERLINK("https://www.ebi.ac.uk/chembl/compound/inspect/CHEMBL421","CHEMBL421")</f>
        <v>CHEMBL421</v>
      </c>
      <c r="D1206" t="s">
        <v>9</v>
      </c>
      <c r="E1206" t="s">
        <v>2872</v>
      </c>
      <c r="F1206" t="s">
        <v>2873</v>
      </c>
      <c r="G1206">
        <v>63</v>
      </c>
      <c r="H1206" s="4">
        <v>10</v>
      </c>
    </row>
    <row r="1207" spans="1:8" x14ac:dyDescent="0.2">
      <c r="A1207" t="s">
        <v>2874</v>
      </c>
      <c r="B1207" s="1" t="str">
        <f>HYPERLINK("http://www.chemspider.com/Chemical-Structure.290225.html","290225")</f>
        <v>290225</v>
      </c>
      <c r="G1207">
        <v>0</v>
      </c>
      <c r="H1207" s="4">
        <v>10</v>
      </c>
    </row>
    <row r="1208" spans="1:8" x14ac:dyDescent="0.2">
      <c r="A1208" t="s">
        <v>2875</v>
      </c>
      <c r="B1208" s="1" t="str">
        <f>HYPERLINK("http://www.chemspider.com/Chemical-Structure.5138.html","5138")</f>
        <v>5138</v>
      </c>
      <c r="C1208" s="1" t="str">
        <f>HYPERLINK("https://www.ebi.ac.uk/chembl/compound/inspect/CHEMBL443","CHEMBL443")</f>
        <v>CHEMBL443</v>
      </c>
      <c r="D1208" t="s">
        <v>9</v>
      </c>
      <c r="E1208" t="s">
        <v>2876</v>
      </c>
      <c r="F1208" t="s">
        <v>2877</v>
      </c>
      <c r="G1208">
        <v>306</v>
      </c>
      <c r="H1208" s="4">
        <v>10</v>
      </c>
    </row>
    <row r="1209" spans="1:8" x14ac:dyDescent="0.2">
      <c r="A1209" t="s">
        <v>2878</v>
      </c>
      <c r="B1209" s="1" t="str">
        <f>HYPERLINK("http://www.chemspider.com/Chemical-Structure.5151.html","5151")</f>
        <v>5151</v>
      </c>
      <c r="C1209" s="1" t="str">
        <f>HYPERLINK("https://www.ebi.ac.uk/chembl/compound/inspect/CHEMBL453","CHEMBL453")</f>
        <v>CHEMBL453</v>
      </c>
      <c r="D1209" t="s">
        <v>9</v>
      </c>
      <c r="E1209" t="s">
        <v>2879</v>
      </c>
      <c r="F1209" t="s">
        <v>2880</v>
      </c>
      <c r="G1209">
        <v>0</v>
      </c>
      <c r="H1209" s="4">
        <v>10</v>
      </c>
    </row>
    <row r="1210" spans="1:8" x14ac:dyDescent="0.2">
      <c r="A1210" t="s">
        <v>2881</v>
      </c>
      <c r="B1210" s="1" t="str">
        <f>HYPERLINK("http://www.chemspider.com/Chemical-Structure.60588.html","60588")</f>
        <v>60588</v>
      </c>
      <c r="C1210" s="1" t="str">
        <f>HYPERLINK("https://www.ebi.ac.uk/chembl/compound/inspect/CHEMBL221047","CHEMBL221047")</f>
        <v>CHEMBL221047</v>
      </c>
      <c r="D1210" t="s">
        <v>1</v>
      </c>
      <c r="F1210" t="s">
        <v>2882</v>
      </c>
      <c r="G1210">
        <v>0</v>
      </c>
      <c r="H1210" s="4">
        <v>20</v>
      </c>
    </row>
    <row r="1211" spans="1:8" x14ac:dyDescent="0.2">
      <c r="A1211" t="s">
        <v>2883</v>
      </c>
      <c r="B1211" s="1" t="str">
        <f>HYPERLINK("http://www.chemspider.com/Chemical-Structure.7833167.html","7833167")</f>
        <v>7833167</v>
      </c>
      <c r="G1211">
        <v>0</v>
      </c>
      <c r="H1211" s="4">
        <v>10</v>
      </c>
    </row>
    <row r="1212" spans="1:8" x14ac:dyDescent="0.2">
      <c r="A1212" t="s">
        <v>2884</v>
      </c>
      <c r="B1212" s="1" t="str">
        <f>HYPERLINK("http://www.chemspider.com/Chemical-Structure.2849.html","2849")</f>
        <v>2849</v>
      </c>
      <c r="C1212" s="1" t="str">
        <f>HYPERLINK("https://www.ebi.ac.uk/chembl/compound/inspect/CHEMBL1043","CHEMBL1043")</f>
        <v>CHEMBL1043</v>
      </c>
      <c r="D1212" t="s">
        <v>9</v>
      </c>
      <c r="E1212" t="s">
        <v>2885</v>
      </c>
      <c r="F1212" t="s">
        <v>2886</v>
      </c>
      <c r="G1212">
        <v>150</v>
      </c>
      <c r="H1212" s="4">
        <v>10</v>
      </c>
    </row>
    <row r="1213" spans="1:8" x14ac:dyDescent="0.2">
      <c r="A1213" t="s">
        <v>2887</v>
      </c>
      <c r="B1213" s="1" t="str">
        <f>HYPERLINK("http://www.chemspider.com/Chemical-Structure.80339.html","80339")</f>
        <v>80339</v>
      </c>
      <c r="C1213" s="1" t="str">
        <f>HYPERLINK("https://www.ebi.ac.uk/chembl/compound/inspect/CHEMBL143324","CHEMBL143324")</f>
        <v>CHEMBL143324</v>
      </c>
      <c r="D1213" t="s">
        <v>1</v>
      </c>
      <c r="F1213" t="s">
        <v>2888</v>
      </c>
      <c r="G1213">
        <v>0</v>
      </c>
      <c r="H1213" s="4">
        <v>10</v>
      </c>
    </row>
    <row r="1214" spans="1:8" x14ac:dyDescent="0.2">
      <c r="A1214" t="s">
        <v>2889</v>
      </c>
      <c r="B1214" s="1" t="str">
        <f>HYPERLINK("http://www.chemspider.com/Chemical-Structure.4088.html","4088")</f>
        <v>4088</v>
      </c>
      <c r="C1214" s="1" t="str">
        <f>HYPERLINK("https://www.ebi.ac.uk/chembl/compound/inspect/CHEMBL1373","CHEMBL1373")</f>
        <v>CHEMBL1373</v>
      </c>
      <c r="D1214" t="s">
        <v>9</v>
      </c>
      <c r="E1214" t="s">
        <v>2890</v>
      </c>
      <c r="F1214" t="s">
        <v>2891</v>
      </c>
      <c r="G1214">
        <v>348</v>
      </c>
      <c r="H1214" s="4">
        <v>10</v>
      </c>
    </row>
    <row r="1215" spans="1:8" x14ac:dyDescent="0.2">
      <c r="A1215" t="s">
        <v>2892</v>
      </c>
      <c r="B1215" s="1" t="str">
        <f>HYPERLINK("http://www.chemspider.com/Chemical-Structure.1265914.html","1265914")</f>
        <v>1265914</v>
      </c>
      <c r="C1215" s="1" t="str">
        <f>HYPERLINK("https://www.ebi.ac.uk/chembl/compound/inspect/CHEMBL1376","CHEMBL1376")</f>
        <v>CHEMBL1376</v>
      </c>
      <c r="D1215" t="s">
        <v>1</v>
      </c>
      <c r="E1215" t="s">
        <v>2893</v>
      </c>
      <c r="F1215" t="s">
        <v>2894</v>
      </c>
      <c r="G1215">
        <v>126</v>
      </c>
      <c r="H1215" s="4">
        <v>10</v>
      </c>
    </row>
    <row r="1216" spans="1:8" x14ac:dyDescent="0.2">
      <c r="A1216" t="s">
        <v>2895</v>
      </c>
      <c r="B1216" s="1" t="str">
        <f>HYPERLINK("http://www.chemspider.com/Chemical-Structure.5149.html","5149")</f>
        <v>5149</v>
      </c>
      <c r="C1216" s="1" t="str">
        <f>HYPERLINK("https://www.ebi.ac.uk/chembl/compound/inspect/CHEMBL832","CHEMBL832")</f>
        <v>CHEMBL832</v>
      </c>
      <c r="D1216" t="s">
        <v>9</v>
      </c>
      <c r="E1216" t="s">
        <v>2896</v>
      </c>
      <c r="F1216" t="s">
        <v>2897</v>
      </c>
      <c r="G1216">
        <v>0</v>
      </c>
      <c r="H1216" s="4">
        <v>10</v>
      </c>
    </row>
    <row r="1217" spans="1:8" x14ac:dyDescent="0.2">
      <c r="A1217" t="s">
        <v>2898</v>
      </c>
      <c r="B1217" s="1" t="str">
        <f>HYPERLINK("http://www.chemspider.com/Chemical-Structure.21395697.html","21395697")</f>
        <v>21395697</v>
      </c>
      <c r="G1217">
        <v>0</v>
      </c>
      <c r="H1217" s="4">
        <v>10</v>
      </c>
    </row>
    <row r="1218" spans="1:8" x14ac:dyDescent="0.2">
      <c r="A1218" t="s">
        <v>2899</v>
      </c>
      <c r="B1218" s="1" t="str">
        <f>HYPERLINK("http://www.chemspider.com/Chemical-Structure.10213719.html","10213719")</f>
        <v>10213719</v>
      </c>
      <c r="G1218">
        <v>0</v>
      </c>
      <c r="H1218" s="4">
        <v>10</v>
      </c>
    </row>
    <row r="1219" spans="1:8" x14ac:dyDescent="0.2">
      <c r="A1219" t="s">
        <v>2900</v>
      </c>
      <c r="B1219" s="1" t="str">
        <f>HYPERLINK("http://www.chemspider.com/Chemical-Structure.3746.html","3746")</f>
        <v>3746</v>
      </c>
      <c r="C1219" s="1" t="str">
        <f>HYPERLINK("https://www.ebi.ac.uk/chembl/compound/inspect/CHEMBL480","CHEMBL480")</f>
        <v>CHEMBL480</v>
      </c>
      <c r="D1219" t="s">
        <v>9</v>
      </c>
      <c r="E1219" t="s">
        <v>2901</v>
      </c>
      <c r="F1219" t="s">
        <v>2902</v>
      </c>
      <c r="G1219">
        <v>343</v>
      </c>
      <c r="H1219" s="4">
        <v>10</v>
      </c>
    </row>
    <row r="1220" spans="1:8" x14ac:dyDescent="0.2">
      <c r="A1220" t="s">
        <v>2903</v>
      </c>
      <c r="B1220" s="1" t="str">
        <f>HYPERLINK("http://www.chemspider.com/Chemical-Structure.4853.html","4853")</f>
        <v>4853</v>
      </c>
      <c r="C1220" s="1" t="str">
        <f>HYPERLINK("https://www.ebi.ac.uk/chembl/compound/inspect/CHEMBL1219","CHEMBL1219")</f>
        <v>CHEMBL1219</v>
      </c>
      <c r="D1220" t="s">
        <v>9</v>
      </c>
      <c r="E1220" t="s">
        <v>2904</v>
      </c>
      <c r="F1220" t="s">
        <v>2905</v>
      </c>
      <c r="G1220">
        <v>299</v>
      </c>
      <c r="H1220" s="4">
        <v>10</v>
      </c>
    </row>
    <row r="1221" spans="1:8" x14ac:dyDescent="0.2">
      <c r="A1221" t="s">
        <v>2906</v>
      </c>
      <c r="B1221" s="1" t="str">
        <f>HYPERLINK("http://www.chemspider.com/Chemical-Structure.96913.html","96913")</f>
        <v>96913</v>
      </c>
      <c r="C1221" s="1" t="str">
        <f>HYPERLINK("https://www.ebi.ac.uk/chembl/compound/inspect/CHEMBL2103772","CHEMBL2103772")</f>
        <v>CHEMBL2103772</v>
      </c>
      <c r="D1221" t="s">
        <v>1</v>
      </c>
      <c r="E1221" t="s">
        <v>2907</v>
      </c>
      <c r="F1221" t="s">
        <v>2908</v>
      </c>
      <c r="G1221">
        <v>16</v>
      </c>
      <c r="H1221" s="4">
        <v>10</v>
      </c>
    </row>
    <row r="1222" spans="1:8" x14ac:dyDescent="0.2">
      <c r="A1222" t="s">
        <v>2909</v>
      </c>
      <c r="B1222" s="1" t="str">
        <f>HYPERLINK("http://www.chemspider.com/Chemical-Structure.5628.html","5628")</f>
        <v>5628</v>
      </c>
      <c r="C1222" s="1" t="str">
        <f>HYPERLINK("https://www.ebi.ac.uk/chembl/compound/inspect/CHEMBL1393","CHEMBL1393")</f>
        <v>CHEMBL1393</v>
      </c>
      <c r="D1222" t="s">
        <v>9</v>
      </c>
      <c r="E1222" t="s">
        <v>2910</v>
      </c>
      <c r="F1222" t="s">
        <v>2911</v>
      </c>
      <c r="G1222">
        <v>306</v>
      </c>
      <c r="H1222" s="4">
        <v>10.00018646</v>
      </c>
    </row>
    <row r="1223" spans="1:8" x14ac:dyDescent="0.2">
      <c r="A1223" t="s">
        <v>2912</v>
      </c>
      <c r="B1223" s="1" t="str">
        <f>HYPERLINK("http://www.chemspider.com/Chemical-Structure.392059.html","392059")</f>
        <v>392059</v>
      </c>
      <c r="C1223" s="1" t="str">
        <f>HYPERLINK("https://www.ebi.ac.uk/chembl/compound/inspect/CHEMBL1473","CHEMBL1473")</f>
        <v>CHEMBL1473</v>
      </c>
      <c r="D1223" t="s">
        <v>9</v>
      </c>
      <c r="E1223" t="s">
        <v>2913</v>
      </c>
      <c r="F1223" t="s">
        <v>2914</v>
      </c>
      <c r="G1223">
        <v>2047</v>
      </c>
      <c r="H1223" s="4">
        <v>10</v>
      </c>
    </row>
    <row r="1224" spans="1:8" x14ac:dyDescent="0.2">
      <c r="A1224" t="s">
        <v>2915</v>
      </c>
      <c r="B1224" s="1" t="str">
        <f>HYPERLINK("http://www.chemspider.com/Chemical-Structure.4743.html","4743")</f>
        <v>4743</v>
      </c>
      <c r="C1224" s="1" t="str">
        <f>HYPERLINK("https://www.ebi.ac.uk/chembl/compound/inspect/CHEMBL608","CHEMBL608")</f>
        <v>CHEMBL608</v>
      </c>
      <c r="D1224" t="s">
        <v>9</v>
      </c>
      <c r="E1224" t="s">
        <v>2916</v>
      </c>
      <c r="F1224" t="s">
        <v>2917</v>
      </c>
      <c r="G1224">
        <v>70</v>
      </c>
      <c r="H1224" s="4">
        <v>10</v>
      </c>
    </row>
    <row r="1225" spans="1:8" x14ac:dyDescent="0.2">
      <c r="A1225" t="s">
        <v>2918</v>
      </c>
      <c r="B1225" s="1" t="str">
        <f>HYPERLINK("http://www.chemspider.com/Chemical-Structure.4535002.html","4535002")</f>
        <v>4535002</v>
      </c>
      <c r="C1225" s="1" t="str">
        <f>HYPERLINK("https://www.ebi.ac.uk/chembl/compound/inspect/CHEMBL456261","CHEMBL456261")</f>
        <v>CHEMBL456261</v>
      </c>
      <c r="D1225" t="s">
        <v>1</v>
      </c>
      <c r="G1225">
        <v>0</v>
      </c>
      <c r="H1225" s="4">
        <v>10</v>
      </c>
    </row>
    <row r="1226" spans="1:8" x14ac:dyDescent="0.2">
      <c r="A1226" t="s">
        <v>2919</v>
      </c>
      <c r="B1226" s="1" t="str">
        <f>HYPERLINK("http://www.chemspider.com/Chemical-Structure.222003.html","222003")</f>
        <v>222003</v>
      </c>
      <c r="C1226" s="1" t="str">
        <f>HYPERLINK("https://www.ebi.ac.uk/chembl/compound/inspect/CHEMBL1971823","CHEMBL1971823")</f>
        <v>CHEMBL1971823</v>
      </c>
      <c r="D1226" t="s">
        <v>1</v>
      </c>
      <c r="F1226" t="s">
        <v>2920</v>
      </c>
      <c r="G1226">
        <v>0</v>
      </c>
      <c r="H1226" s="4">
        <v>10</v>
      </c>
    </row>
    <row r="1227" spans="1:8" x14ac:dyDescent="0.2">
      <c r="A1227" t="s">
        <v>2921</v>
      </c>
      <c r="B1227" s="1" t="str">
        <f>HYPERLINK("http://www.chemspider.com/Chemical-Structure.1998.html","1998")</f>
        <v>1998</v>
      </c>
      <c r="C1227" s="1" t="str">
        <f>HYPERLINK("https://www.ebi.ac.uk/chembl/compound/inspect/CHEMBL1483","CHEMBL1483")</f>
        <v>CHEMBL1483</v>
      </c>
      <c r="D1227" t="s">
        <v>9</v>
      </c>
      <c r="E1227" t="s">
        <v>2922</v>
      </c>
      <c r="F1227" t="s">
        <v>2923</v>
      </c>
      <c r="G1227">
        <v>152</v>
      </c>
      <c r="H1227" s="4">
        <v>10</v>
      </c>
    </row>
    <row r="1228" spans="1:8" x14ac:dyDescent="0.2">
      <c r="A1228" t="s">
        <v>2924</v>
      </c>
      <c r="B1228" s="1" t="str">
        <f>HYPERLINK("http://www.chemspider.com/Chemical-Structure.4940183.html","4940183")</f>
        <v>4940183</v>
      </c>
      <c r="C1228" s="1" t="str">
        <f>HYPERLINK("https://www.ebi.ac.uk/chembl/compound/inspect/CHEMBL766","CHEMBL766")</f>
        <v>CHEMBL766</v>
      </c>
      <c r="D1228" t="s">
        <v>9</v>
      </c>
      <c r="E1228" t="s">
        <v>2925</v>
      </c>
      <c r="F1228" t="s">
        <v>2926</v>
      </c>
      <c r="G1228">
        <v>59</v>
      </c>
      <c r="H1228" s="4">
        <v>10</v>
      </c>
    </row>
    <row r="1229" spans="1:8" x14ac:dyDescent="0.2">
      <c r="A1229" t="s">
        <v>2927</v>
      </c>
      <c r="B1229" s="1" t="str">
        <f>HYPERLINK("http://www.chemspider.com/Chemical-Structure.4584027.html","4584027")</f>
        <v>4584027</v>
      </c>
      <c r="C1229" s="1" t="str">
        <f>HYPERLINK("https://www.ebi.ac.uk/chembl/compound/inspect/CHEMBL18786","CHEMBL18786")</f>
        <v>CHEMBL18786</v>
      </c>
      <c r="D1229" t="s">
        <v>1</v>
      </c>
      <c r="E1229" t="s">
        <v>2928</v>
      </c>
      <c r="F1229" t="s">
        <v>2929</v>
      </c>
      <c r="G1229">
        <v>0</v>
      </c>
      <c r="H1229" s="4">
        <v>10</v>
      </c>
    </row>
    <row r="1230" spans="1:8" x14ac:dyDescent="0.2">
      <c r="A1230" t="s">
        <v>2930</v>
      </c>
      <c r="B1230" s="1" t="str">
        <f>HYPERLINK("http://www.chemspider.com/Chemical-Structure.5907.html","5907")</f>
        <v>5907</v>
      </c>
      <c r="C1230" s="1" t="str">
        <f>HYPERLINK("https://www.ebi.ac.uk/chembl/compound/inspect/CHEMBL42336","CHEMBL42336")</f>
        <v>CHEMBL42336</v>
      </c>
      <c r="D1230" t="s">
        <v>1</v>
      </c>
      <c r="E1230" t="s">
        <v>2931</v>
      </c>
      <c r="F1230" t="s">
        <v>2932</v>
      </c>
      <c r="G1230">
        <v>58</v>
      </c>
      <c r="H1230" s="4">
        <v>10</v>
      </c>
    </row>
    <row r="1231" spans="1:8" x14ac:dyDescent="0.2">
      <c r="A1231" t="s">
        <v>2933</v>
      </c>
      <c r="B1231" s="1" t="str">
        <f>HYPERLINK("http://www.chemspider.com/Chemical-Structure.43503.html","43503")</f>
        <v>43503</v>
      </c>
      <c r="C1231" s="1" t="str">
        <f>HYPERLINK("https://www.ebi.ac.uk/chembl/compound/inspect/CHEMBL531","CHEMBL531")</f>
        <v>CHEMBL531</v>
      </c>
      <c r="D1231" t="s">
        <v>9</v>
      </c>
      <c r="E1231" t="s">
        <v>2934</v>
      </c>
      <c r="F1231" t="s">
        <v>2935</v>
      </c>
      <c r="G1231">
        <v>25</v>
      </c>
      <c r="H1231" s="4">
        <v>10</v>
      </c>
    </row>
    <row r="1232" spans="1:8" x14ac:dyDescent="0.2">
      <c r="A1232" t="s">
        <v>2936</v>
      </c>
      <c r="B1232" s="1" t="str">
        <f>HYPERLINK("http://www.chemspider.com/Chemical-Structure.5107960.html","5107960")</f>
        <v>5107960</v>
      </c>
      <c r="C1232" s="1" t="str">
        <f>HYPERLINK("https://www.ebi.ac.uk/chembl/compound/inspect/CHEMBL1213539","CHEMBL1213539")</f>
        <v>CHEMBL1213539</v>
      </c>
      <c r="D1232" t="s">
        <v>1</v>
      </c>
      <c r="E1232" t="s">
        <v>2937</v>
      </c>
      <c r="F1232" t="s">
        <v>2938</v>
      </c>
      <c r="G1232">
        <v>0</v>
      </c>
      <c r="H1232" s="4">
        <v>10</v>
      </c>
    </row>
    <row r="1233" spans="1:8" x14ac:dyDescent="0.2">
      <c r="A1233" t="s">
        <v>2939</v>
      </c>
      <c r="B1233" s="1" t="str">
        <f>HYPERLINK("http://www.chemspider.com/Chemical-Structure.5107961.html","5107961")</f>
        <v>5107961</v>
      </c>
      <c r="C1233" s="1" t="str">
        <f>HYPERLINK("https://www.ebi.ac.uk/chembl/compound/inspect/CHEMBL356769","CHEMBL356769")</f>
        <v>CHEMBL356769</v>
      </c>
      <c r="D1233" t="s">
        <v>1</v>
      </c>
      <c r="E1233" t="s">
        <v>2940</v>
      </c>
      <c r="F1233" t="s">
        <v>2941</v>
      </c>
      <c r="G1233">
        <v>0</v>
      </c>
      <c r="H1233" s="4">
        <v>10</v>
      </c>
    </row>
    <row r="1234" spans="1:8" x14ac:dyDescent="0.2">
      <c r="A1234" t="s">
        <v>2942</v>
      </c>
      <c r="B1234" s="1" t="str">
        <f>HYPERLINK("http://www.chemspider.com/Chemical-Structure.57718.html","57718")</f>
        <v>57718</v>
      </c>
      <c r="C1234" s="1" t="str">
        <f>HYPERLINK("https://www.ebi.ac.uk/chembl/compound/inspect/CHEMBL584","CHEMBL584")</f>
        <v>CHEMBL584</v>
      </c>
      <c r="D1234" t="s">
        <v>9</v>
      </c>
      <c r="E1234" t="s">
        <v>2943</v>
      </c>
      <c r="F1234" t="s">
        <v>2944</v>
      </c>
      <c r="G1234">
        <v>276</v>
      </c>
      <c r="H1234" s="4">
        <v>10</v>
      </c>
    </row>
    <row r="1235" spans="1:8" x14ac:dyDescent="0.2">
      <c r="A1235" t="s">
        <v>2945</v>
      </c>
      <c r="B1235" s="1" t="str">
        <f>HYPERLINK("http://www.chemspider.com/Chemical-Structure.388301.html","388301")</f>
        <v>388301</v>
      </c>
      <c r="C1235" s="1" t="str">
        <f>HYPERLINK("https://www.ebi.ac.uk/chembl/compound/inspect/CHEMBL418052","CHEMBL418052")</f>
        <v>CHEMBL418052</v>
      </c>
      <c r="D1235" t="s">
        <v>1</v>
      </c>
      <c r="E1235" t="s">
        <v>2946</v>
      </c>
      <c r="F1235" t="s">
        <v>2947</v>
      </c>
      <c r="G1235">
        <v>0</v>
      </c>
      <c r="H1235" s="4">
        <v>3</v>
      </c>
    </row>
    <row r="1236" spans="1:8" x14ac:dyDescent="0.2">
      <c r="A1236" t="s">
        <v>2948</v>
      </c>
      <c r="B1236" s="1" t="str">
        <f>HYPERLINK("http://www.chemspider.com/Chemical-Structure.2654.html","2654")</f>
        <v>2654</v>
      </c>
      <c r="C1236" s="1" t="str">
        <f>HYPERLINK("https://www.ebi.ac.uk/chembl/compound/inspect/CHEMBL30","CHEMBL30")</f>
        <v>CHEMBL30</v>
      </c>
      <c r="D1236" t="s">
        <v>9</v>
      </c>
      <c r="E1236" t="s">
        <v>2949</v>
      </c>
      <c r="F1236" t="s">
        <v>2950</v>
      </c>
      <c r="G1236">
        <v>31</v>
      </c>
      <c r="H1236" s="4">
        <v>10</v>
      </c>
    </row>
    <row r="1237" spans="1:8" x14ac:dyDescent="0.2">
      <c r="A1237" t="s">
        <v>2951</v>
      </c>
      <c r="B1237" s="1" t="str">
        <f>HYPERLINK("http://www.chemspider.com/Chemical-Structure.209583.html","209583")</f>
        <v>209583</v>
      </c>
      <c r="G1237">
        <v>0</v>
      </c>
      <c r="H1237" s="4">
        <v>10</v>
      </c>
    </row>
    <row r="1238" spans="1:8" x14ac:dyDescent="0.2">
      <c r="A1238" t="s">
        <v>2952</v>
      </c>
      <c r="B1238" s="1" t="str">
        <f>HYPERLINK("http://www.chemspider.com/Chemical-Structure.2272523.html","2272523")</f>
        <v>2272523</v>
      </c>
      <c r="C1238" s="1" t="str">
        <f>HYPERLINK("https://www.ebi.ac.uk/chembl/compound/inspect/CHEMBL512","CHEMBL512")</f>
        <v>CHEMBL512</v>
      </c>
      <c r="D1238" t="s">
        <v>1</v>
      </c>
      <c r="F1238" t="s">
        <v>2953</v>
      </c>
      <c r="G1238">
        <v>0</v>
      </c>
      <c r="H1238" s="4">
        <v>10</v>
      </c>
    </row>
    <row r="1239" spans="1:8" x14ac:dyDescent="0.2">
      <c r="A1239" t="s">
        <v>2954</v>
      </c>
      <c r="B1239" s="1" t="str">
        <f>HYPERLINK("http://www.chemspider.com/Chemical-Structure.58372.html","58372")</f>
        <v>58372</v>
      </c>
      <c r="C1239" s="1" t="str">
        <f>HYPERLINK("https://www.ebi.ac.uk/chembl/compound/inspect/CHEMBL97854","CHEMBL97854")</f>
        <v>CHEMBL97854</v>
      </c>
      <c r="D1239" t="s">
        <v>1</v>
      </c>
      <c r="G1239">
        <v>0</v>
      </c>
      <c r="H1239" s="4">
        <v>10</v>
      </c>
    </row>
    <row r="1240" spans="1:8" x14ac:dyDescent="0.2">
      <c r="A1240" t="s">
        <v>2955</v>
      </c>
      <c r="B1240" s="1" t="str">
        <f>HYPERLINK("http://www.chemspider.com/Chemical-Structure.241700.html","241700")</f>
        <v>241700</v>
      </c>
      <c r="C1240" s="1" t="str">
        <f>HYPERLINK("https://www.ebi.ac.uk/chembl/compound/inspect/CHEMBL97313","CHEMBL97313")</f>
        <v>CHEMBL97313</v>
      </c>
      <c r="D1240" t="s">
        <v>1</v>
      </c>
      <c r="G1240">
        <v>0</v>
      </c>
      <c r="H1240" s="4">
        <v>10</v>
      </c>
    </row>
    <row r="1241" spans="1:8" x14ac:dyDescent="0.2">
      <c r="A1241" t="s">
        <v>2956</v>
      </c>
      <c r="B1241" s="1" t="str">
        <f>HYPERLINK("http://www.chemspider.com/Chemical-Structure.578.html","578")</f>
        <v>578</v>
      </c>
      <c r="C1241" s="1" t="str">
        <f>HYPERLINK("https://www.ebi.ac.uk/chembl/compound/inspect/CHEMBL1098319","CHEMBL1098319")</f>
        <v>CHEMBL1098319</v>
      </c>
      <c r="D1241" t="s">
        <v>9</v>
      </c>
      <c r="E1241" t="s">
        <v>2957</v>
      </c>
      <c r="F1241" t="s">
        <v>2958</v>
      </c>
      <c r="G1241">
        <v>257</v>
      </c>
      <c r="H1241" s="4">
        <v>10</v>
      </c>
    </row>
    <row r="1242" spans="1:8" x14ac:dyDescent="0.2">
      <c r="A1242" t="s">
        <v>2959</v>
      </c>
      <c r="B1242" s="1" t="str">
        <f>HYPERLINK("http://www.chemspider.com/Chemical-Structure.6534.html","6534")</f>
        <v>6534</v>
      </c>
      <c r="G1242">
        <v>0</v>
      </c>
      <c r="H1242" s="4">
        <v>20</v>
      </c>
    </row>
    <row r="1243" spans="1:8" x14ac:dyDescent="0.2">
      <c r="A1243" t="s">
        <v>2960</v>
      </c>
      <c r="B1243" s="1" t="str">
        <f>HYPERLINK("http://www.chemspider.com/Chemical-Structure.2384.html","2384")</f>
        <v>2384</v>
      </c>
      <c r="C1243" s="1" t="str">
        <f>HYPERLINK("https://www.ebi.ac.uk/chembl/compound/inspect/CHEMBL820","CHEMBL820")</f>
        <v>CHEMBL820</v>
      </c>
      <c r="D1243" t="s">
        <v>9</v>
      </c>
      <c r="E1243" t="s">
        <v>2961</v>
      </c>
      <c r="F1243" t="s">
        <v>2962</v>
      </c>
      <c r="G1243">
        <v>1011</v>
      </c>
      <c r="H1243" s="4">
        <v>10.000220000000001</v>
      </c>
    </row>
    <row r="1244" spans="1:8" x14ac:dyDescent="0.2">
      <c r="A1244" t="s">
        <v>2963</v>
      </c>
      <c r="B1244" s="1" t="str">
        <f>HYPERLINK("http://www.chemspider.com/Chemical-Structure.4447672.html","4447672")</f>
        <v>4447672</v>
      </c>
      <c r="C1244" s="1" t="str">
        <f>HYPERLINK("https://www.ebi.ac.uk/chembl/compound/inspect/CHEMBL220492","CHEMBL220492")</f>
        <v>CHEMBL220492</v>
      </c>
      <c r="D1244" t="s">
        <v>9</v>
      </c>
      <c r="E1244" t="s">
        <v>2964</v>
      </c>
      <c r="F1244" t="s">
        <v>2965</v>
      </c>
      <c r="G1244">
        <v>509</v>
      </c>
      <c r="H1244" s="4">
        <v>10</v>
      </c>
    </row>
    <row r="1245" spans="1:8" x14ac:dyDescent="0.2">
      <c r="A1245" t="s">
        <v>2966</v>
      </c>
      <c r="B1245" s="1" t="str">
        <f>HYPERLINK("http://www.chemspider.com/Chemical-Structure.4057.html","4057")</f>
        <v>4057</v>
      </c>
      <c r="C1245" s="1" t="str">
        <f>HYPERLINK("https://www.ebi.ac.uk/chembl/compound/inspect/CHEMBL906","CHEMBL906")</f>
        <v>CHEMBL906</v>
      </c>
      <c r="D1245" t="s">
        <v>1</v>
      </c>
      <c r="E1245" t="s">
        <v>2967</v>
      </c>
      <c r="F1245" t="s">
        <v>2968</v>
      </c>
      <c r="G1245">
        <v>1779</v>
      </c>
      <c r="H1245" s="4">
        <v>7.2</v>
      </c>
    </row>
    <row r="1246" spans="1:8" x14ac:dyDescent="0.2">
      <c r="A1246" t="s">
        <v>2969</v>
      </c>
      <c r="B1246" s="1" t="str">
        <f>HYPERLINK("http://www.chemspider.com/Chemical-Structure.3005.html","3005")</f>
        <v>3005</v>
      </c>
      <c r="C1246" s="1" t="str">
        <f>HYPERLINK("https://www.ebi.ac.uk/chembl/compound/inspect/CHEMBL964","CHEMBL964")</f>
        <v>CHEMBL964</v>
      </c>
      <c r="D1246" t="s">
        <v>9</v>
      </c>
      <c r="E1246" t="s">
        <v>2970</v>
      </c>
      <c r="F1246" t="s">
        <v>2971</v>
      </c>
      <c r="G1246">
        <v>89</v>
      </c>
      <c r="H1246" s="4">
        <v>10.00070474</v>
      </c>
    </row>
    <row r="1247" spans="1:8" x14ac:dyDescent="0.2">
      <c r="A1247" t="s">
        <v>2972</v>
      </c>
      <c r="B1247" s="1" t="str">
        <f>HYPERLINK("http://www.chemspider.com/Chemical-Structure.2812.html","2812")</f>
        <v>2812</v>
      </c>
      <c r="C1247" s="1" t="str">
        <f>HYPERLINK("https://www.ebi.ac.uk/chembl/compound/inspect/CHEMBL61350","CHEMBL61350")</f>
        <v>CHEMBL61350</v>
      </c>
      <c r="D1247" t="s">
        <v>1</v>
      </c>
      <c r="E1247" t="s">
        <v>2973</v>
      </c>
      <c r="F1247" t="s">
        <v>2974</v>
      </c>
      <c r="G1247">
        <v>0</v>
      </c>
      <c r="H1247" s="4">
        <v>10</v>
      </c>
    </row>
    <row r="1248" spans="1:8" x14ac:dyDescent="0.2">
      <c r="A1248" t="s">
        <v>2975</v>
      </c>
      <c r="B1248" s="1" t="str">
        <f>HYPERLINK("http://www.chemspider.com/Chemical-Structure.58835.html","58835")</f>
        <v>58835</v>
      </c>
      <c r="C1248" s="1" t="str">
        <f>HYPERLINK("https://www.ebi.ac.uk/chembl/compound/inspect/CHEMBL1372","CHEMBL1372")</f>
        <v>CHEMBL1372</v>
      </c>
      <c r="D1248" t="s">
        <v>9</v>
      </c>
      <c r="E1248" t="s">
        <v>2976</v>
      </c>
      <c r="F1248" t="s">
        <v>2977</v>
      </c>
      <c r="G1248">
        <v>0</v>
      </c>
      <c r="H1248" s="4">
        <v>10</v>
      </c>
    </row>
    <row r="1249" spans="1:8" x14ac:dyDescent="0.2">
      <c r="A1249" t="s">
        <v>2978</v>
      </c>
      <c r="B1249" s="1" t="str">
        <f>HYPERLINK("http://www.chemspider.com/Chemical-Structure.389924.html","389924")</f>
        <v>389924</v>
      </c>
      <c r="C1249" s="1" t="str">
        <f>HYPERLINK("https://www.ebi.ac.uk/chembl/compound/inspect/CHEMBL127","CHEMBL127")</f>
        <v>CHEMBL127</v>
      </c>
      <c r="D1249" t="s">
        <v>9</v>
      </c>
      <c r="E1249" t="s">
        <v>2979</v>
      </c>
      <c r="F1249" t="s">
        <v>2980</v>
      </c>
      <c r="G1249">
        <v>126</v>
      </c>
      <c r="H1249" s="4">
        <v>10</v>
      </c>
    </row>
    <row r="1250" spans="1:8" x14ac:dyDescent="0.2">
      <c r="A1250" t="s">
        <v>2981</v>
      </c>
      <c r="B1250" s="1" t="str">
        <f>HYPERLINK("http://www.chemspider.com/Chemical-Structure.2178.html","2178")</f>
        <v>2178</v>
      </c>
      <c r="C1250" s="1" t="str">
        <f>HYPERLINK("https://www.ebi.ac.uk/chembl/compound/inspect/CHEMBL1542","CHEMBL1542")</f>
        <v>CHEMBL1542</v>
      </c>
      <c r="D1250" t="s">
        <v>9</v>
      </c>
      <c r="E1250" t="s">
        <v>2982</v>
      </c>
      <c r="F1250" t="s">
        <v>2983</v>
      </c>
      <c r="G1250">
        <v>265</v>
      </c>
      <c r="H1250" s="4">
        <v>10</v>
      </c>
    </row>
    <row r="1251" spans="1:8" x14ac:dyDescent="0.2">
      <c r="A1251" t="s">
        <v>2984</v>
      </c>
      <c r="B1251" s="1" t="str">
        <f>HYPERLINK("http://www.chemspider.com/Chemical-Structure.10442653.html","10442653")</f>
        <v>10442653</v>
      </c>
      <c r="C1251" s="1" t="str">
        <f>HYPERLINK("https://www.ebi.ac.uk/chembl/compound/inspect/CHEMBL527","CHEMBL527")</f>
        <v>CHEMBL527</v>
      </c>
      <c r="D1251" t="s">
        <v>9</v>
      </c>
      <c r="E1251" t="s">
        <v>2985</v>
      </c>
      <c r="F1251" t="s">
        <v>2986</v>
      </c>
      <c r="G1251">
        <v>19</v>
      </c>
      <c r="H1251" s="4">
        <v>10</v>
      </c>
    </row>
    <row r="1252" spans="1:8" x14ac:dyDescent="0.2">
      <c r="A1252" t="s">
        <v>2987</v>
      </c>
      <c r="B1252" s="1" t="str">
        <f>HYPERLINK("http://www.chemspider.com/Chemical-Structure.115306.html","115306")</f>
        <v>115306</v>
      </c>
      <c r="C1252" s="1" t="str">
        <f>HYPERLINK("https://www.ebi.ac.uk/chembl/compound/inspect/CHEMBL403","CHEMBL403")</f>
        <v>CHEMBL403</v>
      </c>
      <c r="D1252" t="s">
        <v>9</v>
      </c>
      <c r="E1252" t="s">
        <v>2988</v>
      </c>
      <c r="F1252" t="s">
        <v>2989</v>
      </c>
      <c r="G1252">
        <v>56</v>
      </c>
      <c r="H1252" s="4">
        <v>10.199999999999999</v>
      </c>
    </row>
    <row r="1253" spans="1:8" x14ac:dyDescent="0.2">
      <c r="A1253" t="s">
        <v>2990</v>
      </c>
      <c r="B1253" s="1" t="str">
        <f>HYPERLINK("http://www.chemspider.com/Chemical-Structure.10438315.html","10438315")</f>
        <v>10438315</v>
      </c>
      <c r="C1253" s="1" t="str">
        <f>HYPERLINK("https://www.ebi.ac.uk/chembl/compound/inspect/CHEMBL19","CHEMBL19")</f>
        <v>CHEMBL19</v>
      </c>
      <c r="D1253" t="s">
        <v>9</v>
      </c>
      <c r="E1253" t="s">
        <v>2991</v>
      </c>
      <c r="F1253" t="s">
        <v>2992</v>
      </c>
      <c r="G1253">
        <v>8</v>
      </c>
      <c r="H1253" s="4">
        <v>10</v>
      </c>
    </row>
    <row r="1254" spans="1:8" x14ac:dyDescent="0.2">
      <c r="A1254" t="s">
        <v>2993</v>
      </c>
      <c r="B1254" s="1" t="str">
        <f>HYPERLINK("http://www.chemspider.com/Chemical-Structure.1109494.html","1109494")</f>
        <v>1109494</v>
      </c>
      <c r="C1254" s="1" t="str">
        <f>HYPERLINK("https://www.ebi.ac.uk/chembl/compound/inspect/CHEMBL1401388","CHEMBL1401388")</f>
        <v>CHEMBL1401388</v>
      </c>
      <c r="D1254" t="s">
        <v>1</v>
      </c>
      <c r="F1254" t="s">
        <v>2994</v>
      </c>
      <c r="G1254">
        <v>0</v>
      </c>
      <c r="H1254" s="4">
        <v>10</v>
      </c>
    </row>
    <row r="1255" spans="1:8" x14ac:dyDescent="0.2">
      <c r="A1255" t="s">
        <v>2995</v>
      </c>
      <c r="B1255" s="1" t="str">
        <f>HYPERLINK("http://www.chemspider.com/Chemical-Structure.70383.html","70383")</f>
        <v>70383</v>
      </c>
      <c r="C1255" s="1" t="str">
        <f>HYPERLINK("https://www.ebi.ac.uk/chembl/compound/inspect/CHEMBL121","CHEMBL121")</f>
        <v>CHEMBL121</v>
      </c>
      <c r="D1255" t="s">
        <v>9</v>
      </c>
      <c r="E1255" t="s">
        <v>2996</v>
      </c>
      <c r="F1255" t="s">
        <v>2997</v>
      </c>
      <c r="G1255">
        <v>515</v>
      </c>
      <c r="H1255" s="4">
        <v>10.000538349999999</v>
      </c>
    </row>
    <row r="1256" spans="1:8" x14ac:dyDescent="0.2">
      <c r="A1256" t="s">
        <v>2998</v>
      </c>
      <c r="B1256" s="1" t="str">
        <f>HYPERLINK("http://www.chemspider.com/Chemical-Structure.4663.html","4663")</f>
        <v>4663</v>
      </c>
      <c r="C1256" s="1" t="str">
        <f>HYPERLINK("https://www.ebi.ac.uk/chembl/compound/inspect/CHEMBL595","CHEMBL595")</f>
        <v>CHEMBL595</v>
      </c>
      <c r="D1256" t="s">
        <v>9</v>
      </c>
      <c r="E1256" t="s">
        <v>2999</v>
      </c>
      <c r="F1256" t="s">
        <v>3000</v>
      </c>
      <c r="G1256">
        <v>1108</v>
      </c>
      <c r="H1256" s="4">
        <v>10</v>
      </c>
    </row>
    <row r="1257" spans="1:8" x14ac:dyDescent="0.2">
      <c r="A1257" t="s">
        <v>3001</v>
      </c>
      <c r="B1257" s="1" t="str">
        <f>HYPERLINK("http://www.chemspider.com/Chemical-Structure.2089.html","2089")</f>
        <v>2089</v>
      </c>
      <c r="C1257" s="1" t="str">
        <f>HYPERLINK("https://www.ebi.ac.uk/chembl/compound/inspect/CHEMBL1617921","CHEMBL1617921")</f>
        <v>CHEMBL1617921</v>
      </c>
      <c r="D1257" t="s">
        <v>1</v>
      </c>
      <c r="F1257" t="s">
        <v>3002</v>
      </c>
      <c r="G1257">
        <v>0</v>
      </c>
      <c r="H1257" s="4">
        <v>10</v>
      </c>
    </row>
    <row r="1258" spans="1:8" x14ac:dyDescent="0.2">
      <c r="A1258" t="s">
        <v>3003</v>
      </c>
      <c r="B1258" s="1" t="str">
        <f>HYPERLINK("http://www.chemspider.com/Chemical-Structure.4569.html","4569")</f>
        <v>4569</v>
      </c>
      <c r="C1258" s="1" t="str">
        <f>HYPERLINK("https://www.ebi.ac.uk/chembl/compound/inspect/CHEMBL1711169","CHEMBL1711169")</f>
        <v>CHEMBL1711169</v>
      </c>
      <c r="D1258" t="s">
        <v>1</v>
      </c>
      <c r="F1258" t="s">
        <v>3004</v>
      </c>
      <c r="G1258">
        <v>0</v>
      </c>
      <c r="H1258" s="4">
        <v>10</v>
      </c>
    </row>
    <row r="1259" spans="1:8" x14ac:dyDescent="0.2">
      <c r="A1259" t="s">
        <v>3005</v>
      </c>
      <c r="B1259" s="1" t="str">
        <f>HYPERLINK("http://www.chemspider.com/Chemical-Structure.2259.html","2259")</f>
        <v>2259</v>
      </c>
      <c r="C1259" s="1" t="str">
        <f>HYPERLINK("https://www.ebi.ac.uk/chembl/compound/inspect/CHEMBL300052","CHEMBL300052")</f>
        <v>CHEMBL300052</v>
      </c>
      <c r="D1259" t="s">
        <v>1</v>
      </c>
      <c r="G1259">
        <v>0</v>
      </c>
      <c r="H1259" s="4">
        <v>10</v>
      </c>
    </row>
    <row r="1260" spans="1:8" x14ac:dyDescent="0.2">
      <c r="A1260" t="s">
        <v>3006</v>
      </c>
      <c r="B1260" s="1" t="str">
        <f>HYPERLINK("http://www.chemspider.com/Chemical-Structure.4447.html","4447")</f>
        <v>4447</v>
      </c>
      <c r="G1260">
        <v>0</v>
      </c>
      <c r="H1260" s="4">
        <v>10</v>
      </c>
    </row>
    <row r="1261" spans="1:8" x14ac:dyDescent="0.2">
      <c r="A1261" t="s">
        <v>3007</v>
      </c>
      <c r="B1261" s="1" t="str">
        <f>HYPERLINK("http://www.chemspider.com/Chemical-Structure.20457701.html","20457701")</f>
        <v>20457701</v>
      </c>
      <c r="G1261">
        <v>0</v>
      </c>
      <c r="H1261" s="4">
        <v>10</v>
      </c>
    </row>
    <row r="1262" spans="1:8" x14ac:dyDescent="0.2">
      <c r="A1262" t="s">
        <v>3008</v>
      </c>
      <c r="B1262" s="1" t="str">
        <f>HYPERLINK("http://www.chemspider.com/Chemical-Structure.25037.html","25037")</f>
        <v>25037</v>
      </c>
      <c r="C1262" s="1" t="str">
        <f>HYPERLINK("https://www.ebi.ac.uk/chembl/compound/inspect/CHEMBL1454","CHEMBL1454")</f>
        <v>CHEMBL1454</v>
      </c>
      <c r="D1262" t="s">
        <v>9</v>
      </c>
      <c r="E1262" t="s">
        <v>3009</v>
      </c>
      <c r="F1262" t="s">
        <v>3010</v>
      </c>
      <c r="G1262">
        <v>33</v>
      </c>
      <c r="H1262" s="4">
        <v>10</v>
      </c>
    </row>
    <row r="1263" spans="1:8" x14ac:dyDescent="0.2">
      <c r="A1263" t="s">
        <v>3011</v>
      </c>
      <c r="B1263" s="1" t="str">
        <f>HYPERLINK("http://www.chemspider.com/Chemical-Structure.149962.html","149962")</f>
        <v>149962</v>
      </c>
      <c r="C1263" s="1" t="str">
        <f>HYPERLINK("https://www.ebi.ac.uk/chembl/compound/inspect/CHEMBL857","CHEMBL857")</f>
        <v>CHEMBL857</v>
      </c>
      <c r="D1263" t="s">
        <v>9</v>
      </c>
      <c r="E1263" t="s">
        <v>3012</v>
      </c>
      <c r="F1263" t="s">
        <v>3013</v>
      </c>
      <c r="G1263">
        <v>35</v>
      </c>
      <c r="H1263" s="4">
        <v>10</v>
      </c>
    </row>
    <row r="1264" spans="1:8" x14ac:dyDescent="0.2">
      <c r="A1264" t="s">
        <v>3014</v>
      </c>
      <c r="B1264" s="1" t="str">
        <f>HYPERLINK("http://www.chemspider.com/Chemical-Structure.75707.html","75707")</f>
        <v>75707</v>
      </c>
      <c r="C1264" s="1" t="str">
        <f>HYPERLINK("https://www.ebi.ac.uk/chembl/compound/inspect/CHEMBL1201267","CHEMBL1201267")</f>
        <v>CHEMBL1201267</v>
      </c>
      <c r="D1264" t="s">
        <v>1</v>
      </c>
      <c r="E1264" t="s">
        <v>3015</v>
      </c>
      <c r="F1264" t="s">
        <v>3016</v>
      </c>
      <c r="G1264">
        <v>13</v>
      </c>
      <c r="H1264" s="4">
        <v>11.828392089999999</v>
      </c>
    </row>
    <row r="1265" spans="1:8" x14ac:dyDescent="0.2">
      <c r="A1265" t="s">
        <v>3017</v>
      </c>
      <c r="B1265" s="1" t="str">
        <f>HYPERLINK("http://www.chemspider.com/Chemical-Structure.59348.html","59348")</f>
        <v>59348</v>
      </c>
      <c r="C1265" s="1" t="str">
        <f>HYPERLINK("https://www.ebi.ac.uk/chembl/compound/inspect/CHEMBL1488165","CHEMBL1488165")</f>
        <v>CHEMBL1488165</v>
      </c>
      <c r="D1265" t="s">
        <v>1</v>
      </c>
      <c r="E1265" t="s">
        <v>3018</v>
      </c>
      <c r="F1265" t="s">
        <v>3019</v>
      </c>
      <c r="G1265">
        <v>0</v>
      </c>
      <c r="H1265" s="4">
        <v>10</v>
      </c>
    </row>
    <row r="1266" spans="1:8" x14ac:dyDescent="0.2">
      <c r="A1266" t="s">
        <v>3020</v>
      </c>
      <c r="B1266" s="1" t="str">
        <f>HYPERLINK("http://www.chemspider.com/Chemical-Structure.65323.html","65323")</f>
        <v>65323</v>
      </c>
      <c r="C1266" s="1" t="str">
        <f>HYPERLINK("https://www.ebi.ac.uk/chembl/compound/inspect/CHEMBL442218","CHEMBL442218")</f>
        <v>CHEMBL442218</v>
      </c>
      <c r="D1266" t="s">
        <v>1</v>
      </c>
      <c r="E1266" t="s">
        <v>3021</v>
      </c>
      <c r="F1266" t="s">
        <v>3022</v>
      </c>
      <c r="G1266">
        <v>1</v>
      </c>
      <c r="H1266" s="4">
        <v>10</v>
      </c>
    </row>
    <row r="1267" spans="1:8" x14ac:dyDescent="0.2">
      <c r="A1267" t="s">
        <v>3023</v>
      </c>
      <c r="B1267" s="1" t="str">
        <f>HYPERLINK("http://www.chemspider.com/Chemical-Structure.54812.html","54812")</f>
        <v>54812</v>
      </c>
      <c r="C1267" s="1" t="str">
        <f>HYPERLINK("https://www.ebi.ac.uk/chembl/compound/inspect/CHEMBL141","CHEMBL141")</f>
        <v>CHEMBL141</v>
      </c>
      <c r="D1267" t="s">
        <v>9</v>
      </c>
      <c r="E1267" t="s">
        <v>3024</v>
      </c>
      <c r="F1267" t="s">
        <v>3025</v>
      </c>
      <c r="G1267">
        <v>1038</v>
      </c>
      <c r="H1267" s="4">
        <v>10</v>
      </c>
    </row>
    <row r="1268" spans="1:8" x14ac:dyDescent="0.2">
      <c r="A1268" t="s">
        <v>3026</v>
      </c>
      <c r="B1268" s="1" t="str">
        <f>HYPERLINK("http://www.chemspider.com/Chemical-Structure.10482060.html","10482060")</f>
        <v>10482060</v>
      </c>
      <c r="C1268" s="1" t="str">
        <f>HYPERLINK("https://www.ebi.ac.uk/chembl/compound/inspect/CHEMBL1174","CHEMBL1174")</f>
        <v>CHEMBL1174</v>
      </c>
      <c r="D1268" t="s">
        <v>9</v>
      </c>
      <c r="E1268" t="s">
        <v>3027</v>
      </c>
      <c r="F1268" t="s">
        <v>3028</v>
      </c>
      <c r="G1268">
        <v>68</v>
      </c>
      <c r="H1268" s="4">
        <v>10.00039278</v>
      </c>
    </row>
    <row r="1269" spans="1:8" x14ac:dyDescent="0.2">
      <c r="A1269" t="s">
        <v>3029</v>
      </c>
      <c r="B1269" s="1" t="str">
        <f>HYPERLINK("http://www.chemspider.com/Chemical-Structure.841.html","841")</f>
        <v>841</v>
      </c>
      <c r="C1269" s="1" t="str">
        <f>HYPERLINK("https://www.ebi.ac.uk/chembl/compound/inspect/CHEMBL33864","CHEMBL33864")</f>
        <v>CHEMBL33864</v>
      </c>
      <c r="D1269" t="s">
        <v>1</v>
      </c>
      <c r="E1269" t="s">
        <v>3030</v>
      </c>
      <c r="F1269" t="s">
        <v>3031</v>
      </c>
      <c r="G1269">
        <v>2483</v>
      </c>
      <c r="H1269" s="4">
        <v>10</v>
      </c>
    </row>
    <row r="1270" spans="1:8" x14ac:dyDescent="0.2">
      <c r="A1270" t="s">
        <v>3032</v>
      </c>
      <c r="B1270" s="1" t="str">
        <f>HYPERLINK("http://www.chemspider.com/Chemical-Structure.9832425.html","9832425")</f>
        <v>9832425</v>
      </c>
      <c r="C1270" s="1" t="str">
        <f>HYPERLINK("https://www.ebi.ac.uk/chembl/compound/inspect/CHEMBL1089316","CHEMBL1089316")</f>
        <v>CHEMBL1089316</v>
      </c>
      <c r="D1270" t="s">
        <v>1</v>
      </c>
      <c r="E1270" t="s">
        <v>3033</v>
      </c>
      <c r="F1270" t="s">
        <v>3034</v>
      </c>
      <c r="G1270">
        <v>0</v>
      </c>
      <c r="H1270" s="4">
        <v>10</v>
      </c>
    </row>
    <row r="1271" spans="1:8" x14ac:dyDescent="0.2">
      <c r="A1271" t="s">
        <v>3035</v>
      </c>
      <c r="B1271" s="1" t="str">
        <f>HYPERLINK("http://www.chemspider.com/Chemical-Structure.25541.html","25541")</f>
        <v>25541</v>
      </c>
      <c r="C1271" s="1" t="str">
        <f>HYPERLINK("https://www.ebi.ac.uk/chembl/compound/inspect/CHEMBL1727","CHEMBL1727")</f>
        <v>CHEMBL1727</v>
      </c>
      <c r="D1271" t="s">
        <v>9</v>
      </c>
      <c r="E1271" t="s">
        <v>3036</v>
      </c>
      <c r="F1271" t="s">
        <v>3037</v>
      </c>
      <c r="G1271">
        <v>80</v>
      </c>
      <c r="H1271" s="4">
        <v>10</v>
      </c>
    </row>
    <row r="1272" spans="1:8" x14ac:dyDescent="0.2">
      <c r="A1272" t="s">
        <v>3038</v>
      </c>
      <c r="B1272" s="1" t="str">
        <f>HYPERLINK("http://www.chemspider.com/Chemical-Structure.4514699.html","4514699")</f>
        <v>4514699</v>
      </c>
      <c r="C1272" s="1" t="str">
        <f>HYPERLINK("https://www.ebi.ac.uk/chembl/compound/inspect/CHEMBL1620506","CHEMBL1620506")</f>
        <v>CHEMBL1620506</v>
      </c>
      <c r="D1272" t="s">
        <v>1</v>
      </c>
      <c r="F1272" t="s">
        <v>3039</v>
      </c>
      <c r="G1272">
        <v>0</v>
      </c>
      <c r="H1272" s="4">
        <v>10</v>
      </c>
    </row>
    <row r="1273" spans="1:8" x14ac:dyDescent="0.2">
      <c r="A1273" t="s">
        <v>3040</v>
      </c>
      <c r="B1273" s="1" t="str">
        <f>HYPERLINK("http://www.chemspider.com/Chemical-Structure.4918615.html","4918615")</f>
        <v>4918615</v>
      </c>
      <c r="C1273" s="1" t="str">
        <f>HYPERLINK("https://www.ebi.ac.uk/chembl/compound/inspect/CHEMBL1095284","CHEMBL1095284")</f>
        <v>CHEMBL1095284</v>
      </c>
      <c r="D1273" t="s">
        <v>1</v>
      </c>
      <c r="E1273" t="s">
        <v>3041</v>
      </c>
      <c r="F1273" t="s">
        <v>3042</v>
      </c>
      <c r="G1273">
        <v>0</v>
      </c>
      <c r="H1273" s="4">
        <v>10</v>
      </c>
    </row>
    <row r="1274" spans="1:8" x14ac:dyDescent="0.2">
      <c r="A1274" t="s">
        <v>3043</v>
      </c>
      <c r="B1274" s="1" t="str">
        <f>HYPERLINK("http://www.chemspider.com/Chemical-Structure.10482146.html","10482146")</f>
        <v>10482146</v>
      </c>
      <c r="C1274" s="1" t="str">
        <f>HYPERLINK("https://www.ebi.ac.uk/chembl/compound/inspect/CHEMBL356512","CHEMBL356512")</f>
        <v>CHEMBL356512</v>
      </c>
      <c r="D1274" t="s">
        <v>1</v>
      </c>
      <c r="G1274">
        <v>0</v>
      </c>
      <c r="H1274" s="4">
        <v>10</v>
      </c>
    </row>
    <row r="1275" spans="1:8" x14ac:dyDescent="0.2">
      <c r="A1275" t="s">
        <v>3044</v>
      </c>
      <c r="B1275" s="1" t="str">
        <f>HYPERLINK("http://www.chemspider.com/Chemical-Structure.31006.html","31006")</f>
        <v>31006</v>
      </c>
      <c r="C1275" s="1" t="str">
        <f>HYPERLINK("https://www.ebi.ac.uk/chembl/compound/inspect/CHEMBL1082","CHEMBL1082")</f>
        <v>CHEMBL1082</v>
      </c>
      <c r="D1275" t="s">
        <v>9</v>
      </c>
      <c r="E1275" t="s">
        <v>3045</v>
      </c>
      <c r="F1275" t="s">
        <v>3046</v>
      </c>
      <c r="G1275">
        <v>713</v>
      </c>
      <c r="H1275" s="4">
        <v>10</v>
      </c>
    </row>
    <row r="1276" spans="1:8" x14ac:dyDescent="0.2">
      <c r="A1276" t="s">
        <v>3047</v>
      </c>
      <c r="B1276" s="1" t="str">
        <f>HYPERLINK("http://www.chemspider.com/Chemical-Structure.39798.html","39798")</f>
        <v>39798</v>
      </c>
      <c r="C1276" s="1" t="str">
        <f>HYPERLINK("https://www.ebi.ac.uk/chembl/compound/inspect/CHEMBL702","CHEMBL702")</f>
        <v>CHEMBL702</v>
      </c>
      <c r="D1276" t="s">
        <v>9</v>
      </c>
      <c r="E1276" t="s">
        <v>3048</v>
      </c>
      <c r="F1276" t="s">
        <v>3049</v>
      </c>
      <c r="G1276">
        <v>154</v>
      </c>
      <c r="H1276" s="4">
        <v>10</v>
      </c>
    </row>
    <row r="1277" spans="1:8" x14ac:dyDescent="0.2">
      <c r="A1277" t="s">
        <v>3050</v>
      </c>
      <c r="B1277" s="1" t="str">
        <f>HYPERLINK("http://www.chemspider.com/Chemical-Structure.8634.html","8634")</f>
        <v>8634</v>
      </c>
      <c r="C1277" s="1" t="str">
        <f>HYPERLINK("https://www.ebi.ac.uk/chembl/compound/inspect/CHEMBL1443","CHEMBL1443")</f>
        <v>CHEMBL1443</v>
      </c>
      <c r="D1277" t="s">
        <v>9</v>
      </c>
      <c r="E1277" t="s">
        <v>3051</v>
      </c>
      <c r="F1277" t="s">
        <v>3052</v>
      </c>
      <c r="G1277">
        <v>14</v>
      </c>
      <c r="H1277" s="4">
        <v>10</v>
      </c>
    </row>
    <row r="1278" spans="1:8" x14ac:dyDescent="0.2">
      <c r="A1278" t="s">
        <v>3053</v>
      </c>
      <c r="B1278" s="1" t="str">
        <f>HYPERLINK("http://www.chemspider.com/Chemical-Structure.35850.html","35850")</f>
        <v>35850</v>
      </c>
      <c r="C1278" s="1" t="str">
        <f>HYPERLINK("https://www.ebi.ac.uk/chembl/compound/inspect/CHEMBL23","CHEMBL23")</f>
        <v>CHEMBL23</v>
      </c>
      <c r="D1278" t="s">
        <v>9</v>
      </c>
      <c r="E1278" t="s">
        <v>3054</v>
      </c>
      <c r="F1278" t="s">
        <v>3055</v>
      </c>
      <c r="G1278">
        <v>148</v>
      </c>
      <c r="H1278" s="4">
        <v>10</v>
      </c>
    </row>
    <row r="1279" spans="1:8" x14ac:dyDescent="0.2">
      <c r="A1279" t="s">
        <v>3056</v>
      </c>
      <c r="B1279" s="1" t="str">
        <f>HYPERLINK("http://www.chemspider.com/Chemical-Structure.4758.html","4758")</f>
        <v>4758</v>
      </c>
      <c r="C1279" s="1" t="str">
        <f>HYPERLINK("https://www.ebi.ac.uk/chembl/compound/inspect/CHEMBL643","CHEMBL643")</f>
        <v>CHEMBL643</v>
      </c>
      <c r="D1279" t="s">
        <v>9</v>
      </c>
      <c r="E1279" t="s">
        <v>3057</v>
      </c>
      <c r="F1279" t="s">
        <v>3058</v>
      </c>
      <c r="G1279">
        <v>101</v>
      </c>
      <c r="H1279" s="4">
        <v>10</v>
      </c>
    </row>
    <row r="1280" spans="1:8" x14ac:dyDescent="0.2">
      <c r="A1280" t="s">
        <v>3059</v>
      </c>
      <c r="B1280" s="1" t="str">
        <f>HYPERLINK("http://www.chemspider.com/Chemical-Structure.3936.html","3936")</f>
        <v>3936</v>
      </c>
      <c r="C1280" s="1" t="str">
        <f>HYPERLINK("https://www.ebi.ac.uk/chembl/compound/inspect/CHEMBL1088","CHEMBL1088")</f>
        <v>CHEMBL1088</v>
      </c>
      <c r="D1280" t="s">
        <v>9</v>
      </c>
      <c r="E1280" t="s">
        <v>3060</v>
      </c>
      <c r="F1280" t="s">
        <v>3061</v>
      </c>
      <c r="G1280">
        <v>0</v>
      </c>
      <c r="H1280" s="4">
        <v>10</v>
      </c>
    </row>
    <row r="1281" spans="1:8" x14ac:dyDescent="0.2">
      <c r="A1281" t="s">
        <v>3062</v>
      </c>
      <c r="B1281" s="1" t="str">
        <f>HYPERLINK("http://www.chemspider.com/Chemical-Structure.5253.html","5253")</f>
        <v>5253</v>
      </c>
      <c r="C1281" s="1" t="str">
        <f>HYPERLINK("https://www.ebi.ac.uk/chembl/compound/inspect/CHEMBL479","CHEMBL479")</f>
        <v>CHEMBL479</v>
      </c>
      <c r="D1281" t="s">
        <v>9</v>
      </c>
      <c r="E1281" t="s">
        <v>3063</v>
      </c>
      <c r="F1281" t="s">
        <v>3064</v>
      </c>
      <c r="G1281">
        <v>6</v>
      </c>
      <c r="H1281" s="4">
        <v>10</v>
      </c>
    </row>
    <row r="1282" spans="1:8" x14ac:dyDescent="0.2">
      <c r="A1282" t="s">
        <v>3065</v>
      </c>
      <c r="B1282" s="1" t="str">
        <f>HYPERLINK("http://www.chemspider.com/Chemical-Structure.5367.html","5367")</f>
        <v>5367</v>
      </c>
      <c r="C1282" s="1" t="str">
        <f>HYPERLINK("https://www.ebi.ac.uk/chembl/compound/inspect/CHEMBL570","CHEMBL570")</f>
        <v>CHEMBL570</v>
      </c>
      <c r="D1282" t="s">
        <v>9</v>
      </c>
      <c r="E1282" t="s">
        <v>3066</v>
      </c>
      <c r="F1282" t="s">
        <v>3067</v>
      </c>
      <c r="G1282">
        <v>0</v>
      </c>
      <c r="H1282" s="4">
        <v>10</v>
      </c>
    </row>
    <row r="1283" spans="1:8" x14ac:dyDescent="0.2">
      <c r="A1283" t="s">
        <v>3068</v>
      </c>
      <c r="B1283" s="1" t="str">
        <f>HYPERLINK("http://www.chemspider.com/Chemical-Structure.5365.html","5365")</f>
        <v>5365</v>
      </c>
      <c r="C1283" s="1" t="str">
        <f>HYPERLINK("https://www.ebi.ac.uk/chembl/compound/inspect/CHEMBL422","CHEMBL422")</f>
        <v>CHEMBL422</v>
      </c>
      <c r="D1283" t="s">
        <v>9</v>
      </c>
      <c r="E1283" t="s">
        <v>3069</v>
      </c>
      <c r="F1283" t="s">
        <v>3070</v>
      </c>
      <c r="G1283">
        <v>2</v>
      </c>
      <c r="H1283" s="4">
        <v>10.00057696</v>
      </c>
    </row>
    <row r="1284" spans="1:8" x14ac:dyDescent="0.2">
      <c r="A1284" t="s">
        <v>3071</v>
      </c>
      <c r="B1284" s="1" t="str">
        <f>HYPERLINK("http://www.chemspider.com/Chemical-Structure.3255.html","3255")</f>
        <v>3255</v>
      </c>
      <c r="C1284" s="1" t="str">
        <f>HYPERLINK("https://www.ebi.ac.uk/chembl/compound/inspect/CHEMBL726","CHEMBL726")</f>
        <v>CHEMBL726</v>
      </c>
      <c r="D1284" t="s">
        <v>9</v>
      </c>
      <c r="E1284" t="s">
        <v>3072</v>
      </c>
      <c r="F1284" t="s">
        <v>3073</v>
      </c>
      <c r="G1284">
        <v>26</v>
      </c>
      <c r="H1284" s="4">
        <v>10</v>
      </c>
    </row>
    <row r="1285" spans="1:8" x14ac:dyDescent="0.2">
      <c r="A1285" t="s">
        <v>3074</v>
      </c>
      <c r="B1285" s="1" t="str">
        <f>HYPERLINK("http://www.chemspider.com/Chemical-Structure.21106365.html","21106365")</f>
        <v>21106365</v>
      </c>
      <c r="C1285" s="1" t="str">
        <f>HYPERLINK("https://www.ebi.ac.uk/chembl/compound/inspect/CHEMBL828","CHEMBL828")</f>
        <v>CHEMBL828</v>
      </c>
      <c r="D1285" t="s">
        <v>1</v>
      </c>
      <c r="E1285" t="s">
        <v>3075</v>
      </c>
      <c r="F1285" t="s">
        <v>3076</v>
      </c>
      <c r="G1285">
        <v>0</v>
      </c>
      <c r="H1285" s="4">
        <v>10</v>
      </c>
    </row>
    <row r="1286" spans="1:8" x14ac:dyDescent="0.2">
      <c r="A1286" t="s">
        <v>3077</v>
      </c>
      <c r="B1286" s="1" t="str">
        <f>HYPERLINK("http://www.chemspider.com/Chemical-Structure.4948689.html","4948689")</f>
        <v>4948689</v>
      </c>
      <c r="G1286">
        <v>0</v>
      </c>
      <c r="H1286" s="4">
        <v>10</v>
      </c>
    </row>
    <row r="1287" spans="1:8" x14ac:dyDescent="0.2">
      <c r="A1287" t="s">
        <v>3078</v>
      </c>
      <c r="B1287" s="1" t="str">
        <f>HYPERLINK("http://www.chemspider.com/Chemical-Structure.4827.html","4827")</f>
        <v>4827</v>
      </c>
      <c r="C1287" s="1" t="str">
        <f>HYPERLINK("https://www.ebi.ac.uk/chembl/compound/inspect/CHEMBL716","CHEMBL716")</f>
        <v>CHEMBL716</v>
      </c>
      <c r="D1287" t="s">
        <v>9</v>
      </c>
      <c r="E1287" t="s">
        <v>3079</v>
      </c>
      <c r="F1287" t="s">
        <v>3080</v>
      </c>
      <c r="G1287">
        <v>776</v>
      </c>
      <c r="H1287" s="4">
        <v>10</v>
      </c>
    </row>
    <row r="1288" spans="1:8" x14ac:dyDescent="0.2">
      <c r="A1288" t="s">
        <v>3081</v>
      </c>
      <c r="B1288" s="1" t="str">
        <f>HYPERLINK("http://www.chemspider.com/Chemical-Structure.52489.html","52489")</f>
        <v>52489</v>
      </c>
      <c r="C1288" s="1" t="str">
        <f>HYPERLINK("https://www.ebi.ac.uk/chembl/compound/inspect/CHEMBL295619","CHEMBL295619")</f>
        <v>CHEMBL295619</v>
      </c>
      <c r="D1288" t="s">
        <v>1</v>
      </c>
      <c r="E1288" t="s">
        <v>3082</v>
      </c>
      <c r="F1288" t="s">
        <v>3083</v>
      </c>
      <c r="G1288">
        <v>0</v>
      </c>
      <c r="H1288" s="4">
        <v>10</v>
      </c>
    </row>
    <row r="1289" spans="1:8" x14ac:dyDescent="0.2">
      <c r="A1289" t="s">
        <v>3084</v>
      </c>
      <c r="B1289" s="1" t="str">
        <f>HYPERLINK("http://www.chemspider.com/Chemical-Structure.2041901.html","2041901")</f>
        <v>2041901</v>
      </c>
      <c r="C1289" s="1" t="str">
        <f>HYPERLINK("https://www.ebi.ac.uk/chembl/compound/inspect/CHEMBL1441","CHEMBL1441")</f>
        <v>CHEMBL1441</v>
      </c>
      <c r="D1289" t="s">
        <v>9</v>
      </c>
      <c r="E1289" t="s">
        <v>3085</v>
      </c>
      <c r="F1289" t="s">
        <v>3086</v>
      </c>
      <c r="G1289">
        <v>2</v>
      </c>
      <c r="H1289" s="4">
        <v>10</v>
      </c>
    </row>
    <row r="1290" spans="1:8" x14ac:dyDescent="0.2">
      <c r="A1290" t="s">
        <v>3087</v>
      </c>
      <c r="G1290">
        <v>0</v>
      </c>
      <c r="H1290" s="4">
        <v>10</v>
      </c>
    </row>
    <row r="1291" spans="1:8" x14ac:dyDescent="0.2">
      <c r="A1291" t="s">
        <v>3088</v>
      </c>
      <c r="B1291" s="1" t="str">
        <f>HYPERLINK("http://www.chemspider.com/Chemical-Structure.2803936.html","2803936")</f>
        <v>2803936</v>
      </c>
      <c r="G1291">
        <v>0</v>
      </c>
      <c r="H1291" s="4">
        <v>10</v>
      </c>
    </row>
    <row r="1292" spans="1:8" x14ac:dyDescent="0.2">
      <c r="A1292" t="s">
        <v>3089</v>
      </c>
      <c r="B1292" s="1" t="str">
        <f>HYPERLINK("http://www.chemspider.com/Chemical-Structure.580869.html","580869")</f>
        <v>580869</v>
      </c>
      <c r="C1292" s="1" t="str">
        <f>HYPERLINK("https://www.ebi.ac.uk/chembl/compound/inspect/CHEMBL1425","CHEMBL1425")</f>
        <v>CHEMBL1425</v>
      </c>
      <c r="D1292" t="s">
        <v>9</v>
      </c>
      <c r="E1292" t="s">
        <v>3090</v>
      </c>
      <c r="F1292" t="s">
        <v>3091</v>
      </c>
      <c r="G1292">
        <v>281</v>
      </c>
      <c r="H1292" s="4">
        <v>10</v>
      </c>
    </row>
    <row r="1293" spans="1:8" x14ac:dyDescent="0.2">
      <c r="A1293" t="s">
        <v>3092</v>
      </c>
      <c r="B1293" s="1" t="str">
        <f>HYPERLINK("http://www.chemspider.com/Chemical-Structure.571424.html","571424")</f>
        <v>571424</v>
      </c>
      <c r="C1293" s="1" t="str">
        <f>HYPERLINK("https://www.ebi.ac.uk/chembl/compound/inspect/CHEMBL1518","CHEMBL1518")</f>
        <v>CHEMBL1518</v>
      </c>
      <c r="D1293" t="s">
        <v>9</v>
      </c>
      <c r="E1293" t="s">
        <v>3093</v>
      </c>
      <c r="F1293" t="s">
        <v>3094</v>
      </c>
      <c r="G1293">
        <v>11</v>
      </c>
      <c r="H1293" s="4">
        <v>10</v>
      </c>
    </row>
    <row r="1294" spans="1:8" x14ac:dyDescent="0.2">
      <c r="A1294" t="s">
        <v>3095</v>
      </c>
      <c r="B1294" s="1" t="str">
        <f>HYPERLINK("http://www.chemspider.com/Chemical-Structure.2298299.html","2298299")</f>
        <v>2298299</v>
      </c>
      <c r="C1294" s="1" t="str">
        <f>HYPERLINK("https://www.ebi.ac.uk/chembl/compound/inspect/CHEMBL62919","CHEMBL62919")</f>
        <v>CHEMBL62919</v>
      </c>
      <c r="D1294" t="s">
        <v>1</v>
      </c>
      <c r="E1294" t="s">
        <v>3096</v>
      </c>
      <c r="F1294" t="s">
        <v>3097</v>
      </c>
      <c r="G1294">
        <v>0</v>
      </c>
      <c r="H1294" s="4">
        <v>10</v>
      </c>
    </row>
    <row r="1295" spans="1:8" x14ac:dyDescent="0.2">
      <c r="A1295" t="s">
        <v>3098</v>
      </c>
      <c r="B1295" s="1" t="str">
        <f>HYPERLINK("http://www.chemspider.com/Chemical-Structure.126083.html","126083")</f>
        <v>126083</v>
      </c>
      <c r="C1295" s="1" t="str">
        <f>HYPERLINK("https://www.ebi.ac.uk/chembl/compound/inspect/CHEMBL2151142","CHEMBL2151142")</f>
        <v>CHEMBL2151142</v>
      </c>
      <c r="D1295" t="s">
        <v>1</v>
      </c>
      <c r="E1295" t="s">
        <v>3099</v>
      </c>
      <c r="F1295" t="s">
        <v>3100</v>
      </c>
      <c r="G1295">
        <v>0</v>
      </c>
      <c r="H1295" s="4">
        <v>10</v>
      </c>
    </row>
    <row r="1296" spans="1:8" x14ac:dyDescent="0.2">
      <c r="A1296" t="s">
        <v>3101</v>
      </c>
      <c r="B1296" s="1" t="str">
        <f>HYPERLINK("http://www.chemspider.com/Chemical-Structure.8639.html","8639")</f>
        <v>8639</v>
      </c>
      <c r="C1296" s="1" t="str">
        <f>HYPERLINK("https://www.ebi.ac.uk/chembl/compound/inspect/CHEMBL961","CHEMBL961")</f>
        <v>CHEMBL961</v>
      </c>
      <c r="D1296" t="s">
        <v>1</v>
      </c>
      <c r="E1296" t="s">
        <v>3102</v>
      </c>
      <c r="F1296" t="s">
        <v>3103</v>
      </c>
      <c r="G1296">
        <v>4</v>
      </c>
      <c r="H1296" s="4">
        <v>10</v>
      </c>
    </row>
    <row r="1297" spans="1:8" x14ac:dyDescent="0.2">
      <c r="A1297" t="s">
        <v>3104</v>
      </c>
      <c r="B1297" s="1" t="str">
        <f>HYPERLINK("http://www.chemspider.com/Chemical-Structure.4565.html","4565")</f>
        <v>4565</v>
      </c>
      <c r="C1297" s="1" t="str">
        <f>HYPERLINK("https://www.ebi.ac.uk/chembl/compound/inspect/CHEMBL13239","CHEMBL13239")</f>
        <v>CHEMBL13239</v>
      </c>
      <c r="D1297" t="s">
        <v>1</v>
      </c>
      <c r="E1297" t="s">
        <v>3105</v>
      </c>
      <c r="F1297" t="s">
        <v>3106</v>
      </c>
      <c r="G1297">
        <v>0</v>
      </c>
      <c r="H1297" s="4">
        <v>10</v>
      </c>
    </row>
    <row r="1298" spans="1:8" x14ac:dyDescent="0.2">
      <c r="A1298" t="s">
        <v>3107</v>
      </c>
      <c r="B1298" s="1" t="str">
        <f>HYPERLINK("http://www.chemspider.com/Chemical-Structure.40130.html","40130")</f>
        <v>40130</v>
      </c>
      <c r="C1298" s="1" t="str">
        <f>HYPERLINK("https://www.ebi.ac.uk/chembl/compound/inspect/CHEMBL1560","CHEMBL1560")</f>
        <v>CHEMBL1560</v>
      </c>
      <c r="D1298" t="s">
        <v>9</v>
      </c>
      <c r="E1298" t="s">
        <v>3108</v>
      </c>
      <c r="F1298" t="s">
        <v>3109</v>
      </c>
      <c r="G1298">
        <v>60</v>
      </c>
      <c r="H1298" s="4">
        <v>10</v>
      </c>
    </row>
    <row r="1299" spans="1:8" x14ac:dyDescent="0.2">
      <c r="A1299" t="s">
        <v>3110</v>
      </c>
      <c r="B1299" s="1" t="str">
        <f>HYPERLINK("http://www.chemspider.com/Chemical-Structure.111188.html","111188")</f>
        <v>111188</v>
      </c>
      <c r="C1299" s="1" t="str">
        <f>HYPERLINK("https://www.ebi.ac.uk/chembl/compound/inspect/CHEMBL1543","CHEMBL1543")</f>
        <v>CHEMBL1543</v>
      </c>
      <c r="D1299" t="s">
        <v>1</v>
      </c>
      <c r="E1299" t="s">
        <v>3111</v>
      </c>
      <c r="F1299" t="s">
        <v>3112</v>
      </c>
      <c r="G1299">
        <v>49</v>
      </c>
      <c r="H1299" s="4">
        <v>10</v>
      </c>
    </row>
    <row r="1300" spans="1:8" x14ac:dyDescent="0.2">
      <c r="A1300" t="s">
        <v>3113</v>
      </c>
      <c r="B1300" s="1" t="str">
        <f>HYPERLINK("http://www.chemspider.com/Chemical-Structure.580869.html","580869")</f>
        <v>580869</v>
      </c>
      <c r="C1300" s="1" t="str">
        <f>HYPERLINK("https://www.ebi.ac.uk/chembl/compound/inspect/CHEMBL1425","CHEMBL1425")</f>
        <v>CHEMBL1425</v>
      </c>
      <c r="D1300" t="s">
        <v>9</v>
      </c>
      <c r="E1300" t="s">
        <v>3090</v>
      </c>
      <c r="F1300" t="s">
        <v>3091</v>
      </c>
      <c r="G1300">
        <v>281</v>
      </c>
      <c r="H1300" s="4">
        <v>10</v>
      </c>
    </row>
    <row r="1301" spans="1:8" x14ac:dyDescent="0.2">
      <c r="A1301" t="s">
        <v>3114</v>
      </c>
      <c r="B1301" s="1" t="str">
        <f>HYPERLINK("http://www.chemspider.com/Chemical-Structure.571424.html","571424")</f>
        <v>571424</v>
      </c>
      <c r="C1301" s="1" t="str">
        <f>HYPERLINK("https://www.ebi.ac.uk/chembl/compound/inspect/CHEMBL1518","CHEMBL1518")</f>
        <v>CHEMBL1518</v>
      </c>
      <c r="D1301" t="s">
        <v>9</v>
      </c>
      <c r="E1301" t="s">
        <v>3093</v>
      </c>
      <c r="F1301" t="s">
        <v>3094</v>
      </c>
      <c r="G1301">
        <v>11</v>
      </c>
      <c r="H1301" s="4">
        <v>10</v>
      </c>
    </row>
    <row r="1302" spans="1:8" x14ac:dyDescent="0.2">
      <c r="A1302" t="s">
        <v>3115</v>
      </c>
      <c r="B1302" s="1" t="str">
        <f>HYPERLINK("http://www.chemspider.com/Chemical-Structure.1131173.html","1131173")</f>
        <v>1131173</v>
      </c>
      <c r="C1302" s="1" t="str">
        <f>HYPERLINK("https://www.ebi.ac.uk/chembl/compound/inspect/CHEMBL1515","CHEMBL1515")</f>
        <v>CHEMBL1515</v>
      </c>
      <c r="D1302" t="s">
        <v>9</v>
      </c>
      <c r="E1302" t="s">
        <v>3116</v>
      </c>
      <c r="F1302" t="s">
        <v>3117</v>
      </c>
      <c r="G1302">
        <v>25</v>
      </c>
      <c r="H1302" s="4">
        <v>10</v>
      </c>
    </row>
    <row r="1303" spans="1:8" x14ac:dyDescent="0.2">
      <c r="A1303" t="s">
        <v>3118</v>
      </c>
      <c r="B1303" s="1" t="str">
        <f>HYPERLINK("http://www.chemspider.com/Chemical-Structure.4444855.html","4444855")</f>
        <v>4444855</v>
      </c>
      <c r="C1303" s="1" t="str">
        <f>HYPERLINK("https://www.ebi.ac.uk/chembl/compound/inspect/CHEMBL448700","CHEMBL448700")</f>
        <v>CHEMBL448700</v>
      </c>
      <c r="D1303" t="s">
        <v>1</v>
      </c>
      <c r="E1303" t="s">
        <v>3119</v>
      </c>
      <c r="F1303" t="s">
        <v>3120</v>
      </c>
      <c r="G1303">
        <v>0</v>
      </c>
      <c r="H1303" s="4">
        <v>10</v>
      </c>
    </row>
    <row r="1304" spans="1:8" x14ac:dyDescent="0.2">
      <c r="A1304" t="s">
        <v>3121</v>
      </c>
      <c r="B1304" s="1" t="str">
        <f>HYPERLINK("http://www.chemspider.com/Chemical-Structure.4445603.html","4445603")</f>
        <v>4445603</v>
      </c>
      <c r="C1304" s="1" t="str">
        <f>HYPERLINK("https://www.ebi.ac.uk/chembl/compound/inspect/CHEMBL1237061","CHEMBL1237061")</f>
        <v>CHEMBL1237061</v>
      </c>
      <c r="D1304" t="s">
        <v>9</v>
      </c>
      <c r="E1304" t="s">
        <v>3122</v>
      </c>
      <c r="F1304" t="s">
        <v>3123</v>
      </c>
      <c r="G1304">
        <v>2409</v>
      </c>
      <c r="H1304" s="4">
        <v>10</v>
      </c>
    </row>
    <row r="1305" spans="1:8" x14ac:dyDescent="0.2">
      <c r="A1305" t="s">
        <v>3124</v>
      </c>
      <c r="B1305" s="1" t="str">
        <f>HYPERLINK("http://www.chemspider.com/Chemical-Structure.26502.html","26502")</f>
        <v>26502</v>
      </c>
      <c r="G1305">
        <v>0</v>
      </c>
      <c r="H1305" s="4">
        <v>10</v>
      </c>
    </row>
    <row r="1306" spans="1:8" x14ac:dyDescent="0.2">
      <c r="A1306" t="s">
        <v>3125</v>
      </c>
      <c r="B1306" s="1" t="str">
        <f>HYPERLINK("http://www.chemspider.com/Chemical-Structure.1276.html","1276")</f>
        <v>1276</v>
      </c>
      <c r="C1306" s="1" t="str">
        <f>HYPERLINK("https://www.ebi.ac.uk/chembl/compound/inspect/CHEMBL134752","CHEMBL134752")</f>
        <v>CHEMBL134752</v>
      </c>
      <c r="D1306" t="s">
        <v>1</v>
      </c>
      <c r="F1306" t="s">
        <v>3126</v>
      </c>
      <c r="G1306">
        <v>0</v>
      </c>
      <c r="H1306" s="4">
        <v>10</v>
      </c>
    </row>
    <row r="1307" spans="1:8" x14ac:dyDescent="0.2">
      <c r="A1307" t="s">
        <v>3127</v>
      </c>
      <c r="B1307" s="1" t="str">
        <f>HYPERLINK("http://www.chemspider.com/Chemical-Structure.35601.html","35601")</f>
        <v>35601</v>
      </c>
      <c r="G1307">
        <v>0</v>
      </c>
      <c r="H1307" s="4">
        <v>10</v>
      </c>
    </row>
    <row r="1308" spans="1:8" x14ac:dyDescent="0.2">
      <c r="A1308" t="s">
        <v>3128</v>
      </c>
      <c r="B1308" s="1" t="str">
        <f>HYPERLINK("http://www.chemspider.com/Chemical-Structure.31982.html","31982")</f>
        <v>31982</v>
      </c>
      <c r="C1308" s="1" t="str">
        <f>HYPERLINK("https://www.ebi.ac.uk/chembl/compound/inspect/CHEMBL1088977","CHEMBL1088977")</f>
        <v>CHEMBL1088977</v>
      </c>
      <c r="D1308" t="s">
        <v>1</v>
      </c>
      <c r="E1308" t="s">
        <v>3129</v>
      </c>
      <c r="F1308" t="s">
        <v>3130</v>
      </c>
      <c r="G1308">
        <v>0</v>
      </c>
      <c r="H1308" s="4">
        <v>50</v>
      </c>
    </row>
    <row r="1309" spans="1:8" x14ac:dyDescent="0.2">
      <c r="A1309" t="s">
        <v>3131</v>
      </c>
      <c r="G1309">
        <v>0</v>
      </c>
      <c r="H1309" s="4">
        <v>10</v>
      </c>
    </row>
    <row r="1310" spans="1:8" x14ac:dyDescent="0.2">
      <c r="A1310" t="s">
        <v>3132</v>
      </c>
      <c r="B1310" s="1" t="str">
        <f>HYPERLINK("http://www.chemspider.com/Chemical-Structure.3082.html","3082")</f>
        <v>3082</v>
      </c>
      <c r="C1310" s="1" t="str">
        <f>HYPERLINK("https://www.ebi.ac.uk/chembl/compound/inspect/CHEMBL51085","CHEMBL51085")</f>
        <v>CHEMBL51085</v>
      </c>
      <c r="D1310" t="s">
        <v>1</v>
      </c>
      <c r="E1310" t="s">
        <v>3133</v>
      </c>
      <c r="F1310" t="s">
        <v>3134</v>
      </c>
      <c r="G1310">
        <v>27</v>
      </c>
      <c r="H1310" s="4">
        <v>10</v>
      </c>
    </row>
    <row r="1311" spans="1:8" x14ac:dyDescent="0.2">
      <c r="A1311" t="s">
        <v>3135</v>
      </c>
      <c r="B1311" s="1" t="str">
        <f>HYPERLINK("http://www.chemspider.com/Chemical-Structure.96979.html","96979")</f>
        <v>96979</v>
      </c>
      <c r="C1311" s="1" t="str">
        <f>HYPERLINK("https://www.ebi.ac.uk/chembl/compound/inspect/CHEMBL269236","CHEMBL269236")</f>
        <v>CHEMBL269236</v>
      </c>
      <c r="D1311" t="s">
        <v>1</v>
      </c>
      <c r="E1311" t="s">
        <v>3136</v>
      </c>
      <c r="F1311" t="s">
        <v>3137</v>
      </c>
      <c r="G1311">
        <v>0</v>
      </c>
      <c r="H1311" s="4">
        <v>10</v>
      </c>
    </row>
    <row r="1312" spans="1:8" x14ac:dyDescent="0.2">
      <c r="A1312" t="s">
        <v>3138</v>
      </c>
      <c r="B1312" s="1" t="str">
        <f>HYPERLINK("http://www.chemspider.com/Chemical-Structure.6593.html","6593")</f>
        <v>6593</v>
      </c>
      <c r="C1312" s="1" t="str">
        <f>HYPERLINK("https://www.ebi.ac.uk/chembl/compound/inspect/CHEMBL243580","CHEMBL243580")</f>
        <v>CHEMBL243580</v>
      </c>
      <c r="D1312" t="s">
        <v>1</v>
      </c>
      <c r="E1312" t="s">
        <v>3139</v>
      </c>
      <c r="F1312" t="s">
        <v>3140</v>
      </c>
      <c r="G1312">
        <v>0</v>
      </c>
      <c r="H1312" s="4">
        <v>10</v>
      </c>
    </row>
    <row r="1313" spans="1:8" x14ac:dyDescent="0.2">
      <c r="A1313" t="s">
        <v>3141</v>
      </c>
      <c r="G1313">
        <v>0</v>
      </c>
      <c r="H1313" s="4">
        <v>20</v>
      </c>
    </row>
    <row r="1314" spans="1:8" x14ac:dyDescent="0.2">
      <c r="A1314" t="s">
        <v>3142</v>
      </c>
      <c r="G1314">
        <v>0</v>
      </c>
      <c r="H1314" s="4">
        <v>20</v>
      </c>
    </row>
    <row r="1315" spans="1:8" x14ac:dyDescent="0.2">
      <c r="A1315" t="s">
        <v>3143</v>
      </c>
      <c r="G1315">
        <v>0</v>
      </c>
      <c r="H1315" s="4">
        <v>20</v>
      </c>
    </row>
    <row r="1316" spans="1:8" x14ac:dyDescent="0.2">
      <c r="A1316" t="s">
        <v>3144</v>
      </c>
      <c r="G1316">
        <v>0</v>
      </c>
      <c r="H1316" s="4">
        <v>20</v>
      </c>
    </row>
    <row r="1317" spans="1:8" x14ac:dyDescent="0.2">
      <c r="A1317" t="s">
        <v>3145</v>
      </c>
      <c r="B1317" s="1" t="str">
        <f>HYPERLINK("http://www.chemspider.com/Chemical-Structure.4422827.html","4422827")</f>
        <v>4422827</v>
      </c>
      <c r="C1317" s="1" t="str">
        <f>HYPERLINK("https://www.ebi.ac.uk/chembl/compound/inspect/CHEMBL501413","CHEMBL501413")</f>
        <v>CHEMBL501413</v>
      </c>
      <c r="D1317" t="s">
        <v>1</v>
      </c>
      <c r="E1317" t="s">
        <v>3146</v>
      </c>
      <c r="F1317" t="s">
        <v>3147</v>
      </c>
      <c r="G1317">
        <v>0</v>
      </c>
      <c r="H1317" s="4">
        <v>20</v>
      </c>
    </row>
    <row r="1318" spans="1:8" x14ac:dyDescent="0.2">
      <c r="A1318" t="s">
        <v>3148</v>
      </c>
      <c r="G1318">
        <v>0</v>
      </c>
      <c r="H1318" s="4">
        <v>20</v>
      </c>
    </row>
    <row r="1319" spans="1:8" x14ac:dyDescent="0.2">
      <c r="A1319" t="s">
        <v>3149</v>
      </c>
      <c r="G1319">
        <v>0</v>
      </c>
      <c r="H1319" s="4">
        <v>20</v>
      </c>
    </row>
    <row r="1320" spans="1:8" x14ac:dyDescent="0.2">
      <c r="A1320" t="s">
        <v>3150</v>
      </c>
      <c r="B1320" s="1" t="str">
        <f>HYPERLINK("http://www.chemspider.com/Chemical-Structure.4444755.html","4444755")</f>
        <v>4444755</v>
      </c>
      <c r="C1320" s="1" t="str">
        <f>HYPERLINK("https://www.ebi.ac.uk/chembl/compound/inspect/CHEMBL12014","CHEMBL12014")</f>
        <v>CHEMBL12014</v>
      </c>
      <c r="D1320" t="s">
        <v>1</v>
      </c>
      <c r="E1320" t="s">
        <v>3151</v>
      </c>
      <c r="F1320" t="s">
        <v>3152</v>
      </c>
      <c r="G1320">
        <v>0</v>
      </c>
      <c r="H1320" s="4">
        <v>10</v>
      </c>
    </row>
    <row r="1321" spans="1:8" x14ac:dyDescent="0.2">
      <c r="A1321" t="s">
        <v>3153</v>
      </c>
      <c r="B1321" s="1" t="str">
        <f>HYPERLINK("http://www.chemspider.com/Chemical-Structure.4530321.html","4530321")</f>
        <v>4530321</v>
      </c>
      <c r="C1321" s="1" t="str">
        <f>HYPERLINK("https://www.ebi.ac.uk/chembl/compound/inspect/CHEMBL443510","CHEMBL443510")</f>
        <v>CHEMBL443510</v>
      </c>
      <c r="D1321" t="s">
        <v>1</v>
      </c>
      <c r="G1321">
        <v>0</v>
      </c>
      <c r="H1321" s="4">
        <v>20</v>
      </c>
    </row>
    <row r="1322" spans="1:8" x14ac:dyDescent="0.2">
      <c r="A1322" t="s">
        <v>3154</v>
      </c>
      <c r="B1322" s="1" t="str">
        <f>HYPERLINK("http://www.chemspider.com/Chemical-Structure.58486.html","58486")</f>
        <v>58486</v>
      </c>
      <c r="C1322" s="1" t="str">
        <f>HYPERLINK("https://www.ebi.ac.uk/chembl/compound/inspect/CHEMBL275224","CHEMBL275224")</f>
        <v>CHEMBL275224</v>
      </c>
      <c r="D1322" t="s">
        <v>1</v>
      </c>
      <c r="E1322" t="s">
        <v>3155</v>
      </c>
      <c r="F1322" t="s">
        <v>3156</v>
      </c>
      <c r="G1322">
        <v>0</v>
      </c>
      <c r="H1322" s="4">
        <v>20</v>
      </c>
    </row>
    <row r="1323" spans="1:8" x14ac:dyDescent="0.2">
      <c r="A1323" t="s">
        <v>3157</v>
      </c>
      <c r="B1323" s="1" t="str">
        <f>HYPERLINK("http://www.chemspider.com/Chemical-Structure.1118.html","1118")</f>
        <v>1118</v>
      </c>
      <c r="C1323" s="1" t="str">
        <f>HYPERLINK("https://www.ebi.ac.uk/chembl/compound/inspect/CHEMBL6640","CHEMBL6640")</f>
        <v>CHEMBL6640</v>
      </c>
      <c r="D1323" t="s">
        <v>1</v>
      </c>
      <c r="E1323" t="s">
        <v>3158</v>
      </c>
      <c r="F1323" t="s">
        <v>3159</v>
      </c>
      <c r="G1323">
        <v>1</v>
      </c>
      <c r="H1323" s="4">
        <v>10</v>
      </c>
    </row>
    <row r="1324" spans="1:8" x14ac:dyDescent="0.2">
      <c r="A1324" t="s">
        <v>3160</v>
      </c>
      <c r="B1324" s="1" t="str">
        <f>HYPERLINK("http://www.chemspider.com/Chemical-Structure.6625.html","6625")</f>
        <v>6625</v>
      </c>
      <c r="C1324" s="1" t="str">
        <f>HYPERLINK("https://www.ebi.ac.uk/chembl/compound/inspect/CHEMBL254348","CHEMBL254348")</f>
        <v>CHEMBL254348</v>
      </c>
      <c r="D1324" t="s">
        <v>1</v>
      </c>
      <c r="E1324" t="s">
        <v>3161</v>
      </c>
      <c r="F1324" t="s">
        <v>3162</v>
      </c>
      <c r="G1324">
        <v>0</v>
      </c>
      <c r="H1324" s="4">
        <v>10</v>
      </c>
    </row>
    <row r="1325" spans="1:8" x14ac:dyDescent="0.2">
      <c r="A1325" t="s">
        <v>3163</v>
      </c>
      <c r="B1325" s="1" t="str">
        <f>HYPERLINK("http://www.chemspider.com/Chemical-Structure.4900.html","4900")</f>
        <v>4900</v>
      </c>
      <c r="C1325" s="1" t="str">
        <f>HYPERLINK("https://www.ebi.ac.uk/chembl/compound/inspect/CHEMBL905","CHEMBL905")</f>
        <v>CHEMBL905</v>
      </c>
      <c r="D1325" t="s">
        <v>9</v>
      </c>
      <c r="E1325" t="s">
        <v>3164</v>
      </c>
      <c r="F1325" t="s">
        <v>3165</v>
      </c>
      <c r="G1325">
        <v>94</v>
      </c>
      <c r="H1325" s="4">
        <v>10</v>
      </c>
    </row>
    <row r="1326" spans="1:8" x14ac:dyDescent="0.2">
      <c r="A1326" t="s">
        <v>3166</v>
      </c>
      <c r="B1326" s="1" t="str">
        <f>HYPERLINK("http://www.chemspider.com/Chemical-Structure.753.html","753")</f>
        <v>753</v>
      </c>
      <c r="C1326" s="1" t="str">
        <f>HYPERLINK("https://www.ebi.ac.uk/chembl/compound/inspect/CHEMBL90","CHEMBL90")</f>
        <v>CHEMBL90</v>
      </c>
      <c r="D1326" t="s">
        <v>9</v>
      </c>
      <c r="E1326" t="s">
        <v>3167</v>
      </c>
      <c r="F1326" t="s">
        <v>3168</v>
      </c>
      <c r="G1326">
        <v>212</v>
      </c>
      <c r="H1326" s="4">
        <v>10</v>
      </c>
    </row>
    <row r="1327" spans="1:8" x14ac:dyDescent="0.2">
      <c r="A1327" t="s">
        <v>3169</v>
      </c>
      <c r="B1327" s="1" t="str">
        <f>HYPERLINK("http://www.chemspider.com/Chemical-Structure.4470605.html","4470605")</f>
        <v>4470605</v>
      </c>
      <c r="C1327" s="1" t="str">
        <f>HYPERLINK("https://www.ebi.ac.uk/chembl/compound/inspect/CHEMBL778","CHEMBL778")</f>
        <v>CHEMBL778</v>
      </c>
      <c r="D1327" t="s">
        <v>9</v>
      </c>
      <c r="E1327" t="s">
        <v>3170</v>
      </c>
      <c r="F1327" t="s">
        <v>3171</v>
      </c>
      <c r="G1327">
        <v>681</v>
      </c>
      <c r="H1327" s="4">
        <v>10.0000196</v>
      </c>
    </row>
    <row r="1328" spans="1:8" x14ac:dyDescent="0.2">
      <c r="A1328" t="s">
        <v>3172</v>
      </c>
      <c r="G1328">
        <v>0</v>
      </c>
      <c r="H1328" s="4">
        <v>20</v>
      </c>
    </row>
    <row r="1329" spans="1:8" x14ac:dyDescent="0.2">
      <c r="A1329" t="s">
        <v>3173</v>
      </c>
      <c r="B1329" s="1" t="str">
        <f>HYPERLINK("http://www.chemspider.com/Chemical-Structure.73468.html","73468")</f>
        <v>73468</v>
      </c>
      <c r="C1329" s="1" t="str">
        <f>HYPERLINK("https://www.ebi.ac.uk/chembl/compound/inspect/CHEMBL594707","CHEMBL594707")</f>
        <v>CHEMBL594707</v>
      </c>
      <c r="D1329" t="s">
        <v>1</v>
      </c>
      <c r="F1329" t="s">
        <v>3174</v>
      </c>
      <c r="G1329">
        <v>0</v>
      </c>
      <c r="H1329" s="4">
        <v>10</v>
      </c>
    </row>
    <row r="1330" spans="1:8" x14ac:dyDescent="0.2">
      <c r="A1330" t="s">
        <v>3175</v>
      </c>
      <c r="B1330" s="1" t="str">
        <f>HYPERLINK("http://www.chemspider.com/Chemical-Structure.3289.html","3289")</f>
        <v>3289</v>
      </c>
      <c r="C1330" s="1" t="str">
        <f>HYPERLINK("https://www.ebi.ac.uk/chembl/compound/inspect/CHEMBL1308","CHEMBL1308")</f>
        <v>CHEMBL1308</v>
      </c>
      <c r="D1330" t="s">
        <v>9</v>
      </c>
      <c r="E1330" t="s">
        <v>3176</v>
      </c>
      <c r="F1330" t="s">
        <v>3177</v>
      </c>
      <c r="G1330">
        <v>4</v>
      </c>
      <c r="H1330" s="4">
        <v>10</v>
      </c>
    </row>
    <row r="1331" spans="1:8" x14ac:dyDescent="0.2">
      <c r="A1331" t="s">
        <v>3178</v>
      </c>
      <c r="B1331" s="1" t="str">
        <f>HYPERLINK("http://www.chemspider.com/Chemical-Structure.3395.html","3395")</f>
        <v>3395</v>
      </c>
      <c r="C1331" s="1" t="str">
        <f>HYPERLINK("https://www.ebi.ac.uk/chembl/compound/inspect/CHEMBL1408759","CHEMBL1408759")</f>
        <v>CHEMBL1408759</v>
      </c>
      <c r="D1331" t="s">
        <v>1</v>
      </c>
      <c r="E1331" t="s">
        <v>3179</v>
      </c>
      <c r="F1331" t="s">
        <v>3180</v>
      </c>
      <c r="G1331">
        <v>0</v>
      </c>
      <c r="H1331" s="4">
        <v>10</v>
      </c>
    </row>
    <row r="1332" spans="1:8" x14ac:dyDescent="0.2">
      <c r="A1332" t="s">
        <v>3181</v>
      </c>
      <c r="B1332" s="1" t="str">
        <f>HYPERLINK("http://www.chemspider.com/Chemical-Structure.48221.html","48221")</f>
        <v>48221</v>
      </c>
      <c r="C1332" s="1" t="str">
        <f>HYPERLINK("https://www.ebi.ac.uk/chembl/compound/inspect/CHEMBL275707","CHEMBL275707")</f>
        <v>CHEMBL275707</v>
      </c>
      <c r="D1332" t="s">
        <v>1</v>
      </c>
      <c r="E1332" t="s">
        <v>3182</v>
      </c>
      <c r="F1332" t="s">
        <v>3183</v>
      </c>
      <c r="G1332">
        <v>0</v>
      </c>
      <c r="H1332" s="4">
        <v>10.1</v>
      </c>
    </row>
    <row r="1333" spans="1:8" x14ac:dyDescent="0.2">
      <c r="A1333" t="s">
        <v>3184</v>
      </c>
      <c r="G1333">
        <v>0</v>
      </c>
      <c r="H1333" s="4">
        <v>20</v>
      </c>
    </row>
    <row r="1334" spans="1:8" x14ac:dyDescent="0.2">
      <c r="A1334" t="s">
        <v>3185</v>
      </c>
      <c r="B1334" s="1" t="str">
        <f>HYPERLINK("http://www.chemspider.com/Chemical-Structure.519156.html","519156")</f>
        <v>519156</v>
      </c>
      <c r="G1334">
        <v>0</v>
      </c>
      <c r="H1334" s="4">
        <v>20</v>
      </c>
    </row>
    <row r="1335" spans="1:8" x14ac:dyDescent="0.2">
      <c r="A1335" t="s">
        <v>3186</v>
      </c>
      <c r="B1335" s="1" t="str">
        <f>HYPERLINK("http://www.chemspider.com/Chemical-Structure.5345.html","5345")</f>
        <v>5345</v>
      </c>
      <c r="C1335" s="1" t="str">
        <f>HYPERLINK("https://www.ebi.ac.uk/chembl/compound/inspect/CHEMBL585","CHEMBL585")</f>
        <v>CHEMBL585</v>
      </c>
      <c r="D1335" t="s">
        <v>9</v>
      </c>
      <c r="E1335" t="s">
        <v>3187</v>
      </c>
      <c r="F1335" t="s">
        <v>3188</v>
      </c>
      <c r="G1335">
        <v>6</v>
      </c>
      <c r="H1335" s="4">
        <v>9.9994531729999991</v>
      </c>
    </row>
    <row r="1336" spans="1:8" x14ac:dyDescent="0.2">
      <c r="A1336" t="s">
        <v>3189</v>
      </c>
      <c r="G1336">
        <v>0</v>
      </c>
      <c r="H1336" s="4">
        <v>20</v>
      </c>
    </row>
    <row r="1337" spans="1:8" x14ac:dyDescent="0.2">
      <c r="A1337" t="s">
        <v>3190</v>
      </c>
      <c r="G1337">
        <v>0</v>
      </c>
      <c r="H1337" s="4">
        <v>20</v>
      </c>
    </row>
    <row r="1338" spans="1:8" x14ac:dyDescent="0.2">
      <c r="A1338" t="s">
        <v>3191</v>
      </c>
      <c r="G1338">
        <v>0</v>
      </c>
      <c r="H1338" s="4">
        <v>20</v>
      </c>
    </row>
    <row r="1339" spans="1:8" x14ac:dyDescent="0.2">
      <c r="A1339" t="s">
        <v>3192</v>
      </c>
      <c r="B1339" s="1" t="str">
        <f>HYPERLINK("http://www.chemspider.com/Chemical-Structure.2038.html","2038")</f>
        <v>2038</v>
      </c>
      <c r="C1339" s="1" t="str">
        <f>HYPERLINK("https://www.ebi.ac.uk/chembl/compound/inspect/CHEMBL1455","CHEMBL1455")</f>
        <v>CHEMBL1455</v>
      </c>
      <c r="D1339" t="s">
        <v>9</v>
      </c>
      <c r="E1339" t="s">
        <v>3193</v>
      </c>
      <c r="F1339" t="s">
        <v>3194</v>
      </c>
      <c r="G1339">
        <v>2</v>
      </c>
      <c r="H1339" s="4">
        <v>10</v>
      </c>
    </row>
    <row r="1340" spans="1:8" x14ac:dyDescent="0.2">
      <c r="A1340" t="s">
        <v>3195</v>
      </c>
      <c r="G1340">
        <v>0</v>
      </c>
      <c r="H1340" s="4">
        <v>20</v>
      </c>
    </row>
    <row r="1341" spans="1:8" x14ac:dyDescent="0.2">
      <c r="A1341" t="s">
        <v>3196</v>
      </c>
      <c r="B1341" s="1" t="str">
        <f>HYPERLINK("http://www.chemspider.com/Chemical-Structure.4060.html","4060")</f>
        <v>4060</v>
      </c>
      <c r="C1341" s="1" t="str">
        <f>HYPERLINK("https://www.ebi.ac.uk/chembl/compound/inspect/CHEMBL654","CHEMBL654")</f>
        <v>CHEMBL654</v>
      </c>
      <c r="D1341" t="s">
        <v>9</v>
      </c>
      <c r="E1341" t="s">
        <v>3197</v>
      </c>
      <c r="F1341" t="s">
        <v>3198</v>
      </c>
      <c r="G1341">
        <v>170</v>
      </c>
      <c r="H1341" s="4">
        <v>10</v>
      </c>
    </row>
    <row r="1342" spans="1:8" x14ac:dyDescent="0.2">
      <c r="A1342" t="s">
        <v>3199</v>
      </c>
      <c r="B1342" s="1" t="str">
        <f>HYPERLINK("http://www.chemspider.com/Chemical-Structure.2342167.html","2342167")</f>
        <v>2342167</v>
      </c>
      <c r="C1342" s="1" t="str">
        <f>HYPERLINK("https://www.ebi.ac.uk/chembl/compound/inspect/CHEMBL608847","CHEMBL608847")</f>
        <v>CHEMBL608847</v>
      </c>
      <c r="D1342" t="s">
        <v>1</v>
      </c>
      <c r="F1342" t="s">
        <v>3200</v>
      </c>
      <c r="G1342">
        <v>0</v>
      </c>
      <c r="H1342" s="4">
        <v>10</v>
      </c>
    </row>
    <row r="1343" spans="1:8" x14ac:dyDescent="0.2">
      <c r="A1343" t="s">
        <v>3201</v>
      </c>
      <c r="B1343" s="1" t="str">
        <f>HYPERLINK("http://www.chemspider.com/Chemical-Structure.525510.html","525510")</f>
        <v>525510</v>
      </c>
      <c r="C1343" s="1" t="str">
        <f>HYPERLINK("https://www.ebi.ac.uk/chembl/compound/inspect/CHEMBL130880","CHEMBL130880")</f>
        <v>CHEMBL130880</v>
      </c>
      <c r="D1343" t="s">
        <v>1</v>
      </c>
      <c r="E1343" t="s">
        <v>3202</v>
      </c>
      <c r="F1343" t="s">
        <v>3203</v>
      </c>
      <c r="G1343">
        <v>0</v>
      </c>
      <c r="H1343" s="4">
        <v>10</v>
      </c>
    </row>
    <row r="1344" spans="1:8" x14ac:dyDescent="0.2">
      <c r="A1344" t="s">
        <v>3204</v>
      </c>
      <c r="B1344" s="1" t="str">
        <f>HYPERLINK("http://www.chemspider.com/Chemical-Structure.1859.html","1859")</f>
        <v>1859</v>
      </c>
      <c r="C1344" s="1" t="str">
        <f>HYPERLINK("https://www.ebi.ac.uk/chembl/compound/inspect/CHEMBL95","CHEMBL95")</f>
        <v>CHEMBL95</v>
      </c>
      <c r="D1344" t="s">
        <v>9</v>
      </c>
      <c r="E1344" t="s">
        <v>3205</v>
      </c>
      <c r="F1344" t="s">
        <v>3206</v>
      </c>
      <c r="G1344">
        <v>6</v>
      </c>
      <c r="H1344" s="4">
        <v>9.9992612550000004</v>
      </c>
    </row>
    <row r="1345" spans="1:8" x14ac:dyDescent="0.2">
      <c r="A1345" t="s">
        <v>3207</v>
      </c>
      <c r="B1345" s="1" t="str">
        <f>HYPERLINK("http://www.chemspider.com/Chemical-Structure.18709.html","18709")</f>
        <v>18709</v>
      </c>
      <c r="C1345" s="1" t="str">
        <f>HYPERLINK("https://www.ebi.ac.uk/chembl/compound/inspect/CHEMBL946","CHEMBL946")</f>
        <v>CHEMBL946</v>
      </c>
      <c r="D1345" t="s">
        <v>9</v>
      </c>
      <c r="E1345" t="s">
        <v>3208</v>
      </c>
      <c r="F1345" t="s">
        <v>3209</v>
      </c>
      <c r="G1345">
        <v>0</v>
      </c>
      <c r="H1345" s="4">
        <v>17.992985480000002</v>
      </c>
    </row>
    <row r="1346" spans="1:8" x14ac:dyDescent="0.2">
      <c r="A1346" t="s">
        <v>3210</v>
      </c>
      <c r="B1346" s="1" t="str">
        <f>HYPERLINK("http://www.chemspider.com/Chemical-Structure.12840.html","12840")</f>
        <v>12840</v>
      </c>
      <c r="C1346" s="1" t="str">
        <f>HYPERLINK("https://www.ebi.ac.uk/chembl/compound/inspect/CHEMBL194502","CHEMBL194502")</f>
        <v>CHEMBL194502</v>
      </c>
      <c r="D1346" t="s">
        <v>1</v>
      </c>
      <c r="F1346" t="s">
        <v>3211</v>
      </c>
      <c r="G1346">
        <v>0</v>
      </c>
      <c r="H1346" s="4">
        <v>10</v>
      </c>
    </row>
    <row r="1347" spans="1:8" x14ac:dyDescent="0.2">
      <c r="A1347" t="s">
        <v>3212</v>
      </c>
      <c r="B1347" s="1" t="str">
        <f>HYPERLINK("http://www.chemspider.com/Chemical-Structure.30628169.html","30628169")</f>
        <v>30628169</v>
      </c>
      <c r="G1347">
        <v>0</v>
      </c>
      <c r="H1347" s="4">
        <v>10</v>
      </c>
    </row>
    <row r="1348" spans="1:8" x14ac:dyDescent="0.2">
      <c r="A1348" t="s">
        <v>3213</v>
      </c>
      <c r="B1348" s="1" t="str">
        <f>HYPERLINK("http://www.chemspider.com/Chemical-Structure.148958.html","148958")</f>
        <v>148958</v>
      </c>
      <c r="C1348" s="1" t="str">
        <f>HYPERLINK("https://www.ebi.ac.uk/chembl/compound/inspect/CHEMBL1396","CHEMBL1396")</f>
        <v>CHEMBL1396</v>
      </c>
      <c r="D1348" t="s">
        <v>9</v>
      </c>
      <c r="E1348" t="s">
        <v>3214</v>
      </c>
      <c r="F1348" t="s">
        <v>3215</v>
      </c>
      <c r="G1348">
        <v>631</v>
      </c>
      <c r="H1348" s="4">
        <v>10</v>
      </c>
    </row>
    <row r="1349" spans="1:8" x14ac:dyDescent="0.2">
      <c r="A1349" t="s">
        <v>3216</v>
      </c>
      <c r="B1349" s="1" t="str">
        <f>HYPERLINK("http://www.chemspider.com/Chemical-Structure.39498.html","39498")</f>
        <v>39498</v>
      </c>
      <c r="C1349" s="1" t="str">
        <f>HYPERLINK("https://www.ebi.ac.uk/chembl/compound/inspect/CHEMBL11458","CHEMBL11458")</f>
        <v>CHEMBL11458</v>
      </c>
      <c r="D1349" t="s">
        <v>1</v>
      </c>
      <c r="F1349" t="s">
        <v>3217</v>
      </c>
      <c r="G1349">
        <v>0</v>
      </c>
      <c r="H1349" s="4">
        <v>9.9</v>
      </c>
    </row>
    <row r="1350" spans="1:8" x14ac:dyDescent="0.2">
      <c r="A1350" t="s">
        <v>3218</v>
      </c>
      <c r="B1350" s="1" t="str">
        <f>HYPERLINK("http://www.chemspider.com/Chemical-Structure.21108497.html","21108497")</f>
        <v>21108497</v>
      </c>
      <c r="C1350" s="1" t="str">
        <f>HYPERLINK("https://www.ebi.ac.uk/chembl/compound/inspect/CHEMBL1132","CHEMBL1132")</f>
        <v>CHEMBL1132</v>
      </c>
      <c r="D1350" t="s">
        <v>1</v>
      </c>
      <c r="E1350" t="s">
        <v>3219</v>
      </c>
      <c r="F1350" t="s">
        <v>3220</v>
      </c>
      <c r="G1350">
        <v>0</v>
      </c>
      <c r="H1350" s="4">
        <v>10</v>
      </c>
    </row>
    <row r="1351" spans="1:8" x14ac:dyDescent="0.2">
      <c r="A1351" t="s">
        <v>3221</v>
      </c>
      <c r="B1351" s="1" t="str">
        <f>HYPERLINK("http://www.chemspider.com/Chemical-Structure.80863.html","80863")</f>
        <v>80863</v>
      </c>
      <c r="C1351" s="1" t="str">
        <f>HYPERLINK("https://www.ebi.ac.uk/chembl/compound/inspect/CHEMBL3","CHEMBL3")</f>
        <v>CHEMBL3</v>
      </c>
      <c r="D1351" t="s">
        <v>9</v>
      </c>
      <c r="E1351" t="s">
        <v>3222</v>
      </c>
      <c r="F1351" t="s">
        <v>3223</v>
      </c>
      <c r="G1351">
        <v>1849</v>
      </c>
      <c r="H1351" s="4">
        <v>10</v>
      </c>
    </row>
    <row r="1352" spans="1:8" x14ac:dyDescent="0.2">
      <c r="A1352" t="s">
        <v>3224</v>
      </c>
      <c r="B1352" s="1" t="str">
        <f>HYPERLINK("http://www.chemspider.com/Chemical-Structure.144638.html","144638")</f>
        <v>144638</v>
      </c>
      <c r="G1352">
        <v>0</v>
      </c>
      <c r="H1352" s="4">
        <v>20</v>
      </c>
    </row>
    <row r="1353" spans="1:8" x14ac:dyDescent="0.2">
      <c r="A1353" t="s">
        <v>3225</v>
      </c>
      <c r="B1353" s="1" t="str">
        <f>HYPERLINK("http://www.chemspider.com/Chemical-Structure.4660.html","4660")</f>
        <v>4660</v>
      </c>
      <c r="C1353" s="1" t="str">
        <f>HYPERLINK("https://www.ebi.ac.uk/chembl/compound/inspect/CHEMBL1159","CHEMBL1159")</f>
        <v>CHEMBL1159</v>
      </c>
      <c r="D1353" t="s">
        <v>9</v>
      </c>
      <c r="E1353" t="s">
        <v>3226</v>
      </c>
      <c r="F1353" t="s">
        <v>3227</v>
      </c>
      <c r="G1353">
        <v>0</v>
      </c>
      <c r="H1353" s="4">
        <v>10</v>
      </c>
    </row>
    <row r="1354" spans="1:8" x14ac:dyDescent="0.2">
      <c r="A1354" t="s">
        <v>3228</v>
      </c>
      <c r="B1354" s="1" t="str">
        <f>HYPERLINK("http://www.chemspider.com/Chemical-Structure.68424.html","68424")</f>
        <v>68424</v>
      </c>
      <c r="C1354" s="1" t="str">
        <f>HYPERLINK("https://www.ebi.ac.uk/chembl/compound/inspect/CHEMBL32813","CHEMBL32813")</f>
        <v>CHEMBL32813</v>
      </c>
      <c r="D1354" t="s">
        <v>1</v>
      </c>
      <c r="F1354" t="s">
        <v>3229</v>
      </c>
      <c r="G1354">
        <v>0</v>
      </c>
      <c r="H1354" s="4">
        <v>10</v>
      </c>
    </row>
    <row r="1355" spans="1:8" x14ac:dyDescent="0.2">
      <c r="A1355" t="s">
        <v>3230</v>
      </c>
      <c r="B1355" s="1" t="str">
        <f>HYPERLINK("http://www.chemspider.com/Chemical-Structure.5385.html","5385")</f>
        <v>5385</v>
      </c>
      <c r="C1355" s="1" t="str">
        <f>HYPERLINK("https://www.ebi.ac.uk/chembl/compound/inspect/CHEMBL1241","CHEMBL1241")</f>
        <v>CHEMBL1241</v>
      </c>
      <c r="D1355" t="s">
        <v>9</v>
      </c>
      <c r="E1355" t="s">
        <v>3231</v>
      </c>
      <c r="F1355" t="s">
        <v>3232</v>
      </c>
      <c r="G1355">
        <v>0</v>
      </c>
      <c r="H1355" s="4">
        <v>10</v>
      </c>
    </row>
    <row r="1356" spans="1:8" x14ac:dyDescent="0.2">
      <c r="A1356" t="s">
        <v>3233</v>
      </c>
      <c r="B1356" s="1" t="str">
        <f>HYPERLINK("http://www.chemspider.com/Chemical-Structure.2287.html","2287")</f>
        <v>2287</v>
      </c>
      <c r="C1356" s="1" t="str">
        <f>HYPERLINK("https://www.ebi.ac.uk/chembl/compound/inspect/CHEMBL277535","CHEMBL277535")</f>
        <v>CHEMBL277535</v>
      </c>
      <c r="D1356" t="s">
        <v>1</v>
      </c>
      <c r="E1356" t="s">
        <v>3234</v>
      </c>
      <c r="F1356" t="s">
        <v>3235</v>
      </c>
      <c r="G1356">
        <v>9</v>
      </c>
      <c r="H1356" s="4">
        <v>10</v>
      </c>
    </row>
    <row r="1357" spans="1:8" x14ac:dyDescent="0.2">
      <c r="A1357" t="s">
        <v>3236</v>
      </c>
      <c r="B1357" s="1" t="str">
        <f>HYPERLINK("http://www.chemspider.com/Chemical-Structure.70309.html","70309")</f>
        <v>70309</v>
      </c>
      <c r="C1357" s="1" t="str">
        <f>HYPERLINK("https://www.ebi.ac.uk/chembl/compound/inspect/CHEMBL14192","CHEMBL14192")</f>
        <v>CHEMBL14192</v>
      </c>
      <c r="D1357" t="s">
        <v>1</v>
      </c>
      <c r="E1357" t="s">
        <v>3237</v>
      </c>
      <c r="F1357" t="s">
        <v>3238</v>
      </c>
      <c r="G1357">
        <v>0</v>
      </c>
      <c r="H1357" s="4">
        <v>10</v>
      </c>
    </row>
    <row r="1358" spans="1:8" x14ac:dyDescent="0.2">
      <c r="A1358" t="s">
        <v>3239</v>
      </c>
      <c r="B1358" s="1" t="str">
        <f>HYPERLINK("http://www.chemspider.com/Chemical-Structure.2102.html","2102")</f>
        <v>2102</v>
      </c>
      <c r="C1358" s="1" t="str">
        <f>HYPERLINK("https://www.ebi.ac.uk/chembl/compound/inspect/CHEMBL1399","CHEMBL1399")</f>
        <v>CHEMBL1399</v>
      </c>
      <c r="D1358" t="s">
        <v>9</v>
      </c>
      <c r="E1358" t="s">
        <v>3240</v>
      </c>
      <c r="F1358" t="s">
        <v>3241</v>
      </c>
      <c r="G1358">
        <v>440</v>
      </c>
      <c r="H1358" s="4">
        <v>9.9999946000000008</v>
      </c>
    </row>
    <row r="1359" spans="1:8" x14ac:dyDescent="0.2">
      <c r="A1359" t="s">
        <v>3242</v>
      </c>
      <c r="B1359" s="1" t="str">
        <f>HYPERLINK("http://www.chemspider.com/Chemical-Structure.3511.html","3511")</f>
        <v>3511</v>
      </c>
      <c r="C1359" s="1" t="str">
        <f>HYPERLINK("https://www.ebi.ac.uk/chembl/compound/inspect/CHEMBL276832","CHEMBL276832")</f>
        <v>CHEMBL276832</v>
      </c>
      <c r="D1359" t="s">
        <v>9</v>
      </c>
      <c r="E1359" t="s">
        <v>3243</v>
      </c>
      <c r="F1359" t="s">
        <v>3244</v>
      </c>
      <c r="G1359">
        <v>59</v>
      </c>
      <c r="H1359" s="4">
        <v>10</v>
      </c>
    </row>
    <row r="1360" spans="1:8" x14ac:dyDescent="0.2">
      <c r="A1360" t="s">
        <v>3245</v>
      </c>
      <c r="B1360" s="1" t="str">
        <f>HYPERLINK("http://www.chemspider.com/Chemical-Structure.4453.html","4453")</f>
        <v>4453</v>
      </c>
      <c r="C1360" s="1" t="str">
        <f>HYPERLINK("https://www.ebi.ac.uk/chembl/compound/inspect/CHEMBL1071","CHEMBL1071")</f>
        <v>CHEMBL1071</v>
      </c>
      <c r="D1360" t="s">
        <v>9</v>
      </c>
      <c r="E1360" t="s">
        <v>3246</v>
      </c>
      <c r="F1360" t="s">
        <v>3247</v>
      </c>
      <c r="G1360">
        <v>0</v>
      </c>
      <c r="H1360" s="4">
        <v>10</v>
      </c>
    </row>
    <row r="1361" spans="1:8" x14ac:dyDescent="0.2">
      <c r="A1361" t="s">
        <v>3248</v>
      </c>
      <c r="B1361" s="1" t="str">
        <f>HYPERLINK("http://www.chemspider.com/Chemical-Structure.5290202.html","5290202")</f>
        <v>5290202</v>
      </c>
      <c r="C1361" s="1" t="str">
        <f>HYPERLINK("https://www.ebi.ac.uk/chembl/compound/inspect/CHEMBL1201288","CHEMBL1201288")</f>
        <v>CHEMBL1201288</v>
      </c>
      <c r="D1361" t="s">
        <v>9</v>
      </c>
      <c r="E1361" t="s">
        <v>3249</v>
      </c>
      <c r="F1361" t="s">
        <v>3250</v>
      </c>
      <c r="G1361">
        <v>12</v>
      </c>
      <c r="H1361" s="4">
        <v>10</v>
      </c>
    </row>
    <row r="1362" spans="1:8" x14ac:dyDescent="0.2">
      <c r="A1362" t="s">
        <v>3251</v>
      </c>
      <c r="B1362" s="1" t="str">
        <f>HYPERLINK("http://www.chemspider.com/Chemical-Structure.5036498.html","5036498")</f>
        <v>5036498</v>
      </c>
      <c r="C1362" s="1" t="str">
        <f>HYPERLINK("https://www.ebi.ac.uk/chembl/compound/inspect/CHEMBL572","CHEMBL572")</f>
        <v>CHEMBL572</v>
      </c>
      <c r="D1362" t="s">
        <v>9</v>
      </c>
      <c r="E1362" t="s">
        <v>3252</v>
      </c>
      <c r="F1362" t="s">
        <v>3253</v>
      </c>
      <c r="G1362">
        <v>40</v>
      </c>
      <c r="H1362" s="4">
        <v>10</v>
      </c>
    </row>
    <row r="1363" spans="1:8" x14ac:dyDescent="0.2">
      <c r="A1363" t="s">
        <v>3254</v>
      </c>
      <c r="B1363" s="1" t="str">
        <f>HYPERLINK("http://www.chemspider.com/Chemical-Structure.5290202.html","5290202")</f>
        <v>5290202</v>
      </c>
      <c r="C1363" s="1" t="str">
        <f>HYPERLINK("https://www.ebi.ac.uk/chembl/compound/inspect/CHEMBL1201288","CHEMBL1201288")</f>
        <v>CHEMBL1201288</v>
      </c>
      <c r="D1363" t="s">
        <v>9</v>
      </c>
      <c r="E1363" t="s">
        <v>3249</v>
      </c>
      <c r="F1363" t="s">
        <v>3250</v>
      </c>
      <c r="G1363">
        <v>12</v>
      </c>
      <c r="H1363" s="4">
        <v>10</v>
      </c>
    </row>
    <row r="1364" spans="1:8" x14ac:dyDescent="0.2">
      <c r="A1364" t="s">
        <v>3255</v>
      </c>
      <c r="B1364" s="1" t="str">
        <f>HYPERLINK("http://www.chemspider.com/Chemical-Structure.9924562.html","9924562")</f>
        <v>9924562</v>
      </c>
      <c r="C1364" s="1" t="str">
        <f>HYPERLINK("https://www.ebi.ac.uk/chembl/compound/inspect/CHEMBL2103863","CHEMBL2103863")</f>
        <v>CHEMBL2103863</v>
      </c>
      <c r="D1364" t="s">
        <v>1</v>
      </c>
      <c r="E1364" t="s">
        <v>3256</v>
      </c>
      <c r="F1364" t="s">
        <v>3257</v>
      </c>
      <c r="G1364">
        <v>1</v>
      </c>
      <c r="H1364" s="4">
        <v>50</v>
      </c>
    </row>
    <row r="1365" spans="1:8" x14ac:dyDescent="0.2">
      <c r="A1365" t="s">
        <v>3258</v>
      </c>
      <c r="B1365" s="1" t="str">
        <f>HYPERLINK("http://www.chemspider.com/Chemical-Structure.144362.html","144362")</f>
        <v>144362</v>
      </c>
      <c r="C1365" s="1" t="str">
        <f>HYPERLINK("https://www.ebi.ac.uk/chembl/compound/inspect/CHEMBL187266","CHEMBL187266")</f>
        <v>CHEMBL187266</v>
      </c>
      <c r="D1365" t="s">
        <v>1</v>
      </c>
      <c r="E1365" t="s">
        <v>3259</v>
      </c>
      <c r="F1365" t="s">
        <v>3260</v>
      </c>
      <c r="G1365">
        <v>161</v>
      </c>
      <c r="H1365" s="4">
        <v>10</v>
      </c>
    </row>
    <row r="1366" spans="1:8" x14ac:dyDescent="0.2">
      <c r="A1366" t="s">
        <v>3261</v>
      </c>
      <c r="B1366" s="1" t="str">
        <f>HYPERLINK("http://www.chemspider.com/Chemical-Structure.102863.html","102863")</f>
        <v>102863</v>
      </c>
      <c r="C1366" s="1" t="str">
        <f>HYPERLINK("https://www.ebi.ac.uk/chembl/compound/inspect/CHEMBL363535","CHEMBL363535")</f>
        <v>CHEMBL363535</v>
      </c>
      <c r="D1366" t="s">
        <v>1</v>
      </c>
      <c r="E1366" t="s">
        <v>3262</v>
      </c>
      <c r="F1366" t="s">
        <v>3263</v>
      </c>
      <c r="G1366">
        <v>39260</v>
      </c>
      <c r="H1366" s="4">
        <v>10</v>
      </c>
    </row>
    <row r="1367" spans="1:8" x14ac:dyDescent="0.2">
      <c r="A1367" t="s">
        <v>3264</v>
      </c>
      <c r="B1367" s="1" t="str">
        <f>HYPERLINK("http://www.chemspider.com/Chemical-Structure.4724.html","4724")</f>
        <v>4724</v>
      </c>
      <c r="C1367" s="1" t="str">
        <f>HYPERLINK("https://www.ebi.ac.uk/chembl/compound/inspect/CHEMBL2","CHEMBL2")</f>
        <v>CHEMBL2</v>
      </c>
      <c r="D1367" t="s">
        <v>9</v>
      </c>
      <c r="E1367" t="s">
        <v>3265</v>
      </c>
      <c r="F1367" t="s">
        <v>3266</v>
      </c>
      <c r="G1367">
        <v>99</v>
      </c>
      <c r="H1367" s="4">
        <v>10</v>
      </c>
    </row>
    <row r="1368" spans="1:8" x14ac:dyDescent="0.2">
      <c r="A1368" t="s">
        <v>3267</v>
      </c>
      <c r="B1368" s="1" t="str">
        <f>HYPERLINK("http://www.chemspider.com/Chemical-Structure.3698.html","3698")</f>
        <v>3698</v>
      </c>
      <c r="C1368" s="1" t="str">
        <f>HYPERLINK("https://www.ebi.ac.uk/chembl/compound/inspect/CHEMBL228792","CHEMBL228792")</f>
        <v>CHEMBL228792</v>
      </c>
      <c r="D1368" t="s">
        <v>1</v>
      </c>
      <c r="E1368" t="s">
        <v>3268</v>
      </c>
      <c r="F1368" t="s">
        <v>3269</v>
      </c>
      <c r="G1368">
        <v>4</v>
      </c>
      <c r="H1368" s="4">
        <v>10</v>
      </c>
    </row>
    <row r="1369" spans="1:8" x14ac:dyDescent="0.2">
      <c r="A1369" t="s">
        <v>3270</v>
      </c>
      <c r="B1369" s="1" t="str">
        <f>HYPERLINK("http://www.chemspider.com/Chemical-Structure.917445.html","917445")</f>
        <v>917445</v>
      </c>
      <c r="G1369">
        <v>0</v>
      </c>
      <c r="H1369" s="4">
        <v>10</v>
      </c>
    </row>
    <row r="1370" spans="1:8" x14ac:dyDescent="0.2">
      <c r="A1370" t="s">
        <v>3271</v>
      </c>
      <c r="B1370" s="1" t="str">
        <f>HYPERLINK("http://www.chemspider.com/Chemical-Structure.1062982.html","1062982")</f>
        <v>1062982</v>
      </c>
      <c r="G1370">
        <v>0</v>
      </c>
      <c r="H1370" s="4">
        <v>20</v>
      </c>
    </row>
    <row r="1371" spans="1:8" x14ac:dyDescent="0.2">
      <c r="A1371" t="s">
        <v>3272</v>
      </c>
      <c r="B1371" s="1" t="str">
        <f>HYPERLINK("http://www.chemspider.com/Chemical-Structure.21395699.html","21395699")</f>
        <v>21395699</v>
      </c>
      <c r="C1371" s="1" t="str">
        <f>HYPERLINK("https://www.ebi.ac.uk/chembl/compound/inspect/CHEMBL315436","CHEMBL315436")</f>
        <v>CHEMBL315436</v>
      </c>
      <c r="D1371" t="s">
        <v>1</v>
      </c>
      <c r="F1371" t="s">
        <v>3273</v>
      </c>
      <c r="G1371">
        <v>0</v>
      </c>
      <c r="H1371" s="4">
        <v>9.9</v>
      </c>
    </row>
    <row r="1372" spans="1:8" x14ac:dyDescent="0.2">
      <c r="A1372" t="s">
        <v>3274</v>
      </c>
      <c r="B1372" s="1" t="str">
        <f>HYPERLINK("http://www.chemspider.com/Chemical-Structure.494479.html","494479")</f>
        <v>494479</v>
      </c>
      <c r="G1372">
        <v>0</v>
      </c>
      <c r="H1372" s="4">
        <v>20</v>
      </c>
    </row>
    <row r="1373" spans="1:8" x14ac:dyDescent="0.2">
      <c r="A1373" t="s">
        <v>3275</v>
      </c>
      <c r="B1373" s="1" t="str">
        <f>HYPERLINK("http://www.chemspider.com/Chemical-Structure.26436.html","26436")</f>
        <v>26436</v>
      </c>
      <c r="C1373" s="1" t="str">
        <f>HYPERLINK("https://www.ebi.ac.uk/chembl/compound/inspect/CHEMBL1479","CHEMBL1479")</f>
        <v>CHEMBL1479</v>
      </c>
      <c r="D1373" t="s">
        <v>9</v>
      </c>
      <c r="E1373" t="s">
        <v>3276</v>
      </c>
      <c r="F1373" t="s">
        <v>3277</v>
      </c>
      <c r="G1373">
        <v>30</v>
      </c>
      <c r="H1373" s="4">
        <v>10</v>
      </c>
    </row>
    <row r="1374" spans="1:8" x14ac:dyDescent="0.2">
      <c r="A1374" t="s">
        <v>3278</v>
      </c>
      <c r="B1374" s="1" t="str">
        <f>HYPERLINK("http://www.chemspider.com/Chemical-Structure.108849.html","108849")</f>
        <v>108849</v>
      </c>
      <c r="C1374" s="1" t="str">
        <f>HYPERLINK("https://www.ebi.ac.uk/chembl/compound/inspect/CHEMBL59532","CHEMBL59532")</f>
        <v>CHEMBL59532</v>
      </c>
      <c r="D1374" t="s">
        <v>1</v>
      </c>
      <c r="F1374" t="s">
        <v>3279</v>
      </c>
      <c r="G1374">
        <v>0</v>
      </c>
      <c r="H1374" s="4">
        <v>10</v>
      </c>
    </row>
    <row r="1375" spans="1:8" x14ac:dyDescent="0.2">
      <c r="A1375" t="s">
        <v>3280</v>
      </c>
      <c r="B1375" s="1" t="str">
        <f>HYPERLINK("http://www.chemspider.com/Chemical-Structure.349588.html","349588")</f>
        <v>349588</v>
      </c>
      <c r="C1375" s="1" t="str">
        <f>HYPERLINK("https://www.ebi.ac.uk/chembl/compound/inspect/CHEMBL1545","CHEMBL1545")</f>
        <v>CHEMBL1545</v>
      </c>
      <c r="D1375" t="s">
        <v>1</v>
      </c>
      <c r="E1375" t="s">
        <v>3281</v>
      </c>
      <c r="F1375" t="s">
        <v>3282</v>
      </c>
      <c r="G1375">
        <v>0</v>
      </c>
      <c r="H1375" s="4">
        <v>10</v>
      </c>
    </row>
    <row r="1376" spans="1:8" x14ac:dyDescent="0.2">
      <c r="A1376" t="s">
        <v>3283</v>
      </c>
      <c r="B1376" s="1" t="str">
        <f>HYPERLINK("http://www.chemspider.com/Chemical-Structure.38037.html","38037")</f>
        <v>38037</v>
      </c>
      <c r="C1376" s="1" t="str">
        <f>HYPERLINK("https://www.ebi.ac.uk/chembl/compound/inspect/CHEMBL1401","CHEMBL1401")</f>
        <v>CHEMBL1401</v>
      </c>
      <c r="D1376" t="s">
        <v>9</v>
      </c>
      <c r="E1376" t="s">
        <v>3284</v>
      </c>
      <c r="F1376" t="s">
        <v>3285</v>
      </c>
      <c r="G1376">
        <v>99</v>
      </c>
      <c r="H1376" s="4">
        <v>10</v>
      </c>
    </row>
    <row r="1377" spans="1:8" x14ac:dyDescent="0.2">
      <c r="A1377" t="s">
        <v>3286</v>
      </c>
      <c r="B1377" s="1" t="str">
        <f>HYPERLINK("http://www.chemspider.com/Chemical-Structure.94568.html","94568")</f>
        <v>94568</v>
      </c>
      <c r="C1377" s="1" t="str">
        <f>HYPERLINK("https://www.ebi.ac.uk/chembl/compound/inspect/CHEMBL225071","CHEMBL225071")</f>
        <v>CHEMBL225071</v>
      </c>
      <c r="D1377" t="s">
        <v>1</v>
      </c>
      <c r="E1377" t="s">
        <v>3287</v>
      </c>
      <c r="F1377" t="s">
        <v>3288</v>
      </c>
      <c r="G1377">
        <v>37</v>
      </c>
      <c r="H1377" s="4">
        <v>10</v>
      </c>
    </row>
    <row r="1378" spans="1:8" x14ac:dyDescent="0.2">
      <c r="A1378" t="s">
        <v>3289</v>
      </c>
      <c r="B1378" s="1" t="str">
        <f>HYPERLINK("http://www.chemspider.com/Chemical-Structure.10442740.html","10442740")</f>
        <v>10442740</v>
      </c>
      <c r="C1378" s="1" t="str">
        <f>HYPERLINK("https://www.ebi.ac.uk/chembl/compound/inspect/CHEMBL599","CHEMBL599")</f>
        <v>CHEMBL599</v>
      </c>
      <c r="D1378" t="s">
        <v>9</v>
      </c>
      <c r="E1378" t="s">
        <v>3290</v>
      </c>
      <c r="F1378" t="s">
        <v>3291</v>
      </c>
      <c r="G1378">
        <v>94</v>
      </c>
      <c r="H1378" s="4">
        <v>10</v>
      </c>
    </row>
    <row r="1379" spans="1:8" x14ac:dyDescent="0.2">
      <c r="A1379" t="s">
        <v>3292</v>
      </c>
      <c r="B1379" s="1" t="str">
        <f>HYPERLINK("http://www.chemspider.com/Chemical-Structure.118173.html","118173")</f>
        <v>118173</v>
      </c>
      <c r="C1379" s="1" t="str">
        <f>HYPERLINK("https://www.ebi.ac.uk/chembl/compound/inspect/CHEMBL1164729","CHEMBL1164729")</f>
        <v>CHEMBL1164729</v>
      </c>
      <c r="D1379" t="s">
        <v>9</v>
      </c>
      <c r="E1379" t="s">
        <v>3293</v>
      </c>
      <c r="F1379" t="s">
        <v>3294</v>
      </c>
      <c r="G1379">
        <v>117</v>
      </c>
      <c r="H1379" s="4">
        <v>10</v>
      </c>
    </row>
    <row r="1380" spans="1:8" x14ac:dyDescent="0.2">
      <c r="A1380" t="s">
        <v>3295</v>
      </c>
      <c r="B1380" s="1" t="str">
        <f>HYPERLINK("http://www.chemspider.com/Chemical-Structure.1909.html","1909")</f>
        <v>1909</v>
      </c>
      <c r="C1380" s="1" t="str">
        <f>HYPERLINK("https://www.ebi.ac.uk/chembl/compound/inspect/CHEMBL20","CHEMBL20")</f>
        <v>CHEMBL20</v>
      </c>
      <c r="D1380" t="s">
        <v>9</v>
      </c>
      <c r="E1380" t="s">
        <v>3296</v>
      </c>
      <c r="F1380" t="s">
        <v>3297</v>
      </c>
      <c r="G1380">
        <v>119</v>
      </c>
      <c r="H1380" s="4">
        <v>10</v>
      </c>
    </row>
    <row r="1381" spans="1:8" x14ac:dyDescent="0.2">
      <c r="A1381" t="s">
        <v>3298</v>
      </c>
      <c r="B1381" s="1" t="str">
        <f>HYPERLINK("http://www.chemspider.com/Chemical-Structure.2519.html","2519")</f>
        <v>2519</v>
      </c>
      <c r="C1381" s="1" t="str">
        <f>HYPERLINK("https://www.ebi.ac.uk/chembl/compound/inspect/CHEMBL172840","CHEMBL172840")</f>
        <v>CHEMBL172840</v>
      </c>
      <c r="D1381" t="s">
        <v>1</v>
      </c>
      <c r="F1381" t="s">
        <v>3299</v>
      </c>
      <c r="G1381">
        <v>0</v>
      </c>
      <c r="H1381" s="4">
        <v>10</v>
      </c>
    </row>
    <row r="1382" spans="1:8" x14ac:dyDescent="0.2">
      <c r="A1382" t="s">
        <v>3300</v>
      </c>
      <c r="B1382" s="1" t="str">
        <f>HYPERLINK("http://www.chemspider.com/Chemical-Structure.106770.html","106770")</f>
        <v>106770</v>
      </c>
      <c r="C1382" s="1" t="str">
        <f>HYPERLINK("https://www.ebi.ac.uk/chembl/compound/inspect/CHEMBL301265","CHEMBL301265")</f>
        <v>CHEMBL301265</v>
      </c>
      <c r="D1382" t="s">
        <v>9</v>
      </c>
      <c r="E1382" t="s">
        <v>3301</v>
      </c>
      <c r="F1382" t="s">
        <v>3302</v>
      </c>
      <c r="G1382">
        <v>124</v>
      </c>
      <c r="H1382" s="4">
        <v>10.00012856</v>
      </c>
    </row>
    <row r="1383" spans="1:8" x14ac:dyDescent="0.2">
      <c r="A1383" t="s">
        <v>3303</v>
      </c>
      <c r="B1383" s="1" t="str">
        <f>HYPERLINK("http://www.chemspider.com/Chemical-Structure.10442212.html","10442212")</f>
        <v>10442212</v>
      </c>
      <c r="C1383" s="1" t="str">
        <f>HYPERLINK("https://www.ebi.ac.uk/chembl/compound/inspect/CHEMBL715","CHEMBL715")</f>
        <v>CHEMBL715</v>
      </c>
      <c r="D1383" t="s">
        <v>9</v>
      </c>
      <c r="E1383" t="s">
        <v>3304</v>
      </c>
      <c r="F1383" t="s">
        <v>3305</v>
      </c>
      <c r="G1383">
        <v>740</v>
      </c>
      <c r="H1383" s="4">
        <v>9.9</v>
      </c>
    </row>
    <row r="1384" spans="1:8" x14ac:dyDescent="0.2">
      <c r="A1384" t="s">
        <v>3306</v>
      </c>
      <c r="B1384" s="1" t="str">
        <f>HYPERLINK("http://www.chemspider.com/Chemical-Structure.25497.html","25497")</f>
        <v>25497</v>
      </c>
      <c r="C1384" s="1" t="str">
        <f>HYPERLINK("https://www.ebi.ac.uk/chembl/compound/inspect/CHEMBL294951","CHEMBL294951")</f>
        <v>CHEMBL294951</v>
      </c>
      <c r="D1384" t="s">
        <v>1</v>
      </c>
      <c r="E1384" t="s">
        <v>3307</v>
      </c>
      <c r="F1384" t="s">
        <v>3308</v>
      </c>
      <c r="G1384">
        <v>0</v>
      </c>
      <c r="H1384" s="4">
        <v>10</v>
      </c>
    </row>
    <row r="1385" spans="1:8" x14ac:dyDescent="0.2">
      <c r="A1385" t="s">
        <v>3309</v>
      </c>
      <c r="B1385" s="1" t="str">
        <f>HYPERLINK("http://www.chemspider.com/Chemical-Structure.54531.html","54531")</f>
        <v>54531</v>
      </c>
      <c r="C1385" s="1" t="str">
        <f>HYPERLINK("https://www.ebi.ac.uk/chembl/compound/inspect/CHEMBL93","CHEMBL93")</f>
        <v>CHEMBL93</v>
      </c>
      <c r="D1385" t="s">
        <v>9</v>
      </c>
      <c r="E1385" t="s">
        <v>3310</v>
      </c>
      <c r="F1385" t="s">
        <v>3311</v>
      </c>
      <c r="G1385">
        <v>50</v>
      </c>
      <c r="H1385" s="4">
        <v>10</v>
      </c>
    </row>
    <row r="1386" spans="1:8" x14ac:dyDescent="0.2">
      <c r="A1386" t="s">
        <v>3312</v>
      </c>
      <c r="B1386" s="1" t="str">
        <f>HYPERLINK("http://www.chemspider.com/Chemical-Structure.4859.html","4859")</f>
        <v>4859</v>
      </c>
      <c r="C1386" s="1" t="str">
        <f>HYPERLINK("https://www.ebi.ac.uk/chembl/compound/inspect/CHEMBL81","CHEMBL81")</f>
        <v>CHEMBL81</v>
      </c>
      <c r="D1386" t="s">
        <v>9</v>
      </c>
      <c r="E1386" t="s">
        <v>3313</v>
      </c>
      <c r="F1386" t="s">
        <v>3314</v>
      </c>
      <c r="G1386">
        <v>128</v>
      </c>
      <c r="H1386" s="4">
        <v>10</v>
      </c>
    </row>
    <row r="1387" spans="1:8" x14ac:dyDescent="0.2">
      <c r="A1387" t="s">
        <v>3315</v>
      </c>
      <c r="B1387" s="1" t="str">
        <f>HYPERLINK("http://www.chemspider.com/Chemical-Structure.4892.html","4892")</f>
        <v>4892</v>
      </c>
      <c r="C1387" s="1" t="str">
        <f>HYPERLINK("https://www.ebi.ac.uk/chembl/compound/inspect/CHEMBL744","CHEMBL744")</f>
        <v>CHEMBL744</v>
      </c>
      <c r="D1387" t="s">
        <v>9</v>
      </c>
      <c r="E1387" t="s">
        <v>3316</v>
      </c>
      <c r="F1387" t="s">
        <v>3317</v>
      </c>
      <c r="G1387">
        <v>106</v>
      </c>
      <c r="H1387" s="4">
        <v>9.9996600119999997</v>
      </c>
    </row>
    <row r="1388" spans="1:8" x14ac:dyDescent="0.2">
      <c r="A1388" t="s">
        <v>3318</v>
      </c>
      <c r="B1388" s="1" t="str">
        <f>HYPERLINK("http://www.chemspider.com/Chemical-Structure.1098.html","1098")</f>
        <v>1098</v>
      </c>
      <c r="C1388" s="1" t="str">
        <f>HYPERLINK("https://www.ebi.ac.uk/chembl/compound/inspect/CHEMBL1547","CHEMBL1547")</f>
        <v>CHEMBL1547</v>
      </c>
      <c r="D1388" t="s">
        <v>9</v>
      </c>
      <c r="E1388" t="s">
        <v>3319</v>
      </c>
      <c r="F1388" t="s">
        <v>3320</v>
      </c>
      <c r="G1388">
        <v>75</v>
      </c>
      <c r="H1388" s="4">
        <v>10</v>
      </c>
    </row>
    <row r="1389" spans="1:8" x14ac:dyDescent="0.2">
      <c r="A1389" t="s">
        <v>3321</v>
      </c>
      <c r="B1389" s="1" t="str">
        <f>HYPERLINK("http://www.chemspider.com/Chemical-Structure.5237.html","5237")</f>
        <v>5237</v>
      </c>
      <c r="C1389" s="1" t="str">
        <f>HYPERLINK("https://www.ebi.ac.uk/chembl/compound/inspect/CHEMBL625","CHEMBL625")</f>
        <v>CHEMBL625</v>
      </c>
      <c r="D1389" t="s">
        <v>9</v>
      </c>
      <c r="E1389" t="s">
        <v>3322</v>
      </c>
      <c r="F1389" t="s">
        <v>3323</v>
      </c>
      <c r="G1389">
        <v>0</v>
      </c>
      <c r="H1389" s="4">
        <v>10</v>
      </c>
    </row>
    <row r="1390" spans="1:8" x14ac:dyDescent="0.2">
      <c r="A1390" t="s">
        <v>3324</v>
      </c>
      <c r="B1390" s="1" t="str">
        <f>HYPERLINK("http://www.chemspider.com/Chemical-Structure.2298266.html","2298266")</f>
        <v>2298266</v>
      </c>
      <c r="C1390" s="1" t="str">
        <f>HYPERLINK("https://www.ebi.ac.uk/chembl/compound/inspect/CHEMBL653","CHEMBL653")</f>
        <v>CHEMBL653</v>
      </c>
      <c r="D1390" t="s">
        <v>9</v>
      </c>
      <c r="E1390" t="s">
        <v>3325</v>
      </c>
      <c r="F1390" t="s">
        <v>3326</v>
      </c>
      <c r="G1390">
        <v>15</v>
      </c>
      <c r="H1390" s="4">
        <v>10</v>
      </c>
    </row>
    <row r="1391" spans="1:8" x14ac:dyDescent="0.2">
      <c r="A1391" t="s">
        <v>3327</v>
      </c>
      <c r="B1391" s="1" t="str">
        <f>HYPERLINK("http://www.chemspider.com/Chemical-Structure.7845223.html","7845223")</f>
        <v>7845223</v>
      </c>
      <c r="C1391" s="1" t="str">
        <f>HYPERLINK("https://www.ebi.ac.uk/chembl/compound/inspect/CHEMBL1201224","CHEMBL1201224")</f>
        <v>CHEMBL1201224</v>
      </c>
      <c r="D1391" t="s">
        <v>9</v>
      </c>
      <c r="E1391" t="s">
        <v>3328</v>
      </c>
      <c r="F1391" t="s">
        <v>3329</v>
      </c>
      <c r="G1391">
        <v>0</v>
      </c>
      <c r="H1391" s="4">
        <v>10</v>
      </c>
    </row>
    <row r="1392" spans="1:8" x14ac:dyDescent="0.2">
      <c r="A1392" t="s">
        <v>3330</v>
      </c>
      <c r="B1392" s="1" t="str">
        <f>HYPERLINK("http://www.chemspider.com/Chemical-Structure.5291705.html","5291705")</f>
        <v>5291705</v>
      </c>
      <c r="C1392" s="1" t="str">
        <f>HYPERLINK("https://www.ebi.ac.uk/chembl/compound/inspect/CHEMBL927","CHEMBL927")</f>
        <v>CHEMBL927</v>
      </c>
      <c r="D1392" t="s">
        <v>9</v>
      </c>
      <c r="E1392" t="s">
        <v>3331</v>
      </c>
      <c r="F1392" t="s">
        <v>3332</v>
      </c>
      <c r="G1392">
        <v>51</v>
      </c>
      <c r="H1392" s="4">
        <v>10</v>
      </c>
    </row>
    <row r="1393" spans="1:8" x14ac:dyDescent="0.2">
      <c r="A1393" t="s">
        <v>3333</v>
      </c>
      <c r="B1393" s="1" t="str">
        <f>HYPERLINK("http://www.chemspider.com/Chemical-Structure.4746908.html","4746908")</f>
        <v>4746908</v>
      </c>
      <c r="G1393">
        <v>0</v>
      </c>
      <c r="H1393" s="4">
        <v>10</v>
      </c>
    </row>
    <row r="1394" spans="1:8" x14ac:dyDescent="0.2">
      <c r="A1394" t="s">
        <v>3334</v>
      </c>
      <c r="B1394" s="1" t="str">
        <f>HYPERLINK("http://www.chemspider.com/Chemical-Structure.5014485.html","5014485")</f>
        <v>5014485</v>
      </c>
      <c r="C1394" s="1" t="str">
        <f>HYPERLINK("https://www.ebi.ac.uk/chembl/compound/inspect/CHEMBL1201016","CHEMBL1201016")</f>
        <v>CHEMBL1201016</v>
      </c>
      <c r="D1394" t="s">
        <v>9</v>
      </c>
      <c r="E1394" t="s">
        <v>3335</v>
      </c>
      <c r="F1394" t="s">
        <v>3336</v>
      </c>
      <c r="G1394">
        <v>16</v>
      </c>
      <c r="H1394" s="4">
        <v>10</v>
      </c>
    </row>
    <row r="1395" spans="1:8" x14ac:dyDescent="0.2">
      <c r="A1395" t="s">
        <v>3337</v>
      </c>
      <c r="B1395" s="1" t="str">
        <f>HYPERLINK("http://www.chemspider.com/Chemical-Structure.3208.html","3208")</f>
        <v>3208</v>
      </c>
      <c r="C1395" s="1" t="str">
        <f>HYPERLINK("https://www.ebi.ac.uk/chembl/compound/inspect/CHEMBL902","CHEMBL902")</f>
        <v>CHEMBL902</v>
      </c>
      <c r="D1395" t="s">
        <v>9</v>
      </c>
      <c r="E1395" t="s">
        <v>3338</v>
      </c>
      <c r="F1395" t="s">
        <v>3339</v>
      </c>
      <c r="G1395">
        <v>111</v>
      </c>
      <c r="H1395" s="4">
        <v>10</v>
      </c>
    </row>
    <row r="1396" spans="1:8" x14ac:dyDescent="0.2">
      <c r="A1396" t="s">
        <v>3340</v>
      </c>
      <c r="B1396" s="1" t="str">
        <f>HYPERLINK("http://www.chemspider.com/Chemical-Structure.54661.html","54661")</f>
        <v>54661</v>
      </c>
      <c r="C1396" s="1" t="str">
        <f>HYPERLINK("https://www.ebi.ac.uk/chembl/compound/inspect/CHEMBL1027","CHEMBL1027")</f>
        <v>CHEMBL1027</v>
      </c>
      <c r="D1396" t="s">
        <v>9</v>
      </c>
      <c r="E1396" t="s">
        <v>3341</v>
      </c>
      <c r="F1396" t="s">
        <v>3342</v>
      </c>
      <c r="G1396">
        <v>26</v>
      </c>
      <c r="H1396" s="4">
        <v>11</v>
      </c>
    </row>
    <row r="1397" spans="1:8" x14ac:dyDescent="0.2">
      <c r="A1397" t="s">
        <v>3343</v>
      </c>
      <c r="G1397">
        <v>0</v>
      </c>
      <c r="H1397" s="4">
        <v>20</v>
      </c>
    </row>
    <row r="1398" spans="1:8" x14ac:dyDescent="0.2">
      <c r="A1398" t="s">
        <v>3344</v>
      </c>
      <c r="B1398" s="1" t="str">
        <f>HYPERLINK("http://www.chemspider.com/Chemical-Structure.389981.html","389981")</f>
        <v>389981</v>
      </c>
      <c r="C1398" s="1" t="str">
        <f>HYPERLINK("https://www.ebi.ac.uk/chembl/compound/inspect/CHEMBL996","CHEMBL996")</f>
        <v>CHEMBL996</v>
      </c>
      <c r="D1398" t="s">
        <v>9</v>
      </c>
      <c r="E1398" t="s">
        <v>3345</v>
      </c>
      <c r="F1398" t="s">
        <v>3346</v>
      </c>
      <c r="G1398">
        <v>18</v>
      </c>
      <c r="H1398" s="4">
        <v>10</v>
      </c>
    </row>
    <row r="1399" spans="1:8" x14ac:dyDescent="0.2">
      <c r="A1399" t="s">
        <v>3347</v>
      </c>
      <c r="B1399" s="1" t="str">
        <f>HYPERLINK("http://www.chemspider.com/Chemical-Structure.1257609.html","1257609")</f>
        <v>1257609</v>
      </c>
      <c r="C1399" s="1" t="str">
        <f>HYPERLINK("https://www.ebi.ac.uk/chembl/compound/inspect/CHEMBL1537401","CHEMBL1537401")</f>
        <v>CHEMBL1537401</v>
      </c>
      <c r="D1399" t="s">
        <v>1</v>
      </c>
      <c r="F1399" t="s">
        <v>3348</v>
      </c>
      <c r="G1399">
        <v>0</v>
      </c>
      <c r="H1399" s="4">
        <v>10</v>
      </c>
    </row>
    <row r="1400" spans="1:8" x14ac:dyDescent="0.2">
      <c r="A1400" t="s">
        <v>3349</v>
      </c>
      <c r="B1400" s="1" t="str">
        <f>HYPERLINK("http://www.chemspider.com/Chemical-Structure.54822.html","54822")</f>
        <v>54822</v>
      </c>
      <c r="C1400" s="1" t="str">
        <f>HYPERLINK("https://www.ebi.ac.uk/chembl/compound/inspect/CHEMBL1175","CHEMBL1175")</f>
        <v>CHEMBL1175</v>
      </c>
      <c r="D1400" t="s">
        <v>9</v>
      </c>
      <c r="E1400" t="s">
        <v>3350</v>
      </c>
      <c r="F1400" t="s">
        <v>3351</v>
      </c>
      <c r="G1400">
        <v>600</v>
      </c>
      <c r="H1400" s="4">
        <v>10</v>
      </c>
    </row>
    <row r="1401" spans="1:8" x14ac:dyDescent="0.2">
      <c r="A1401" t="s">
        <v>3352</v>
      </c>
      <c r="B1401" s="1" t="str">
        <f>HYPERLINK("http://www.chemspider.com/Chemical-Structure.347980.html","347980")</f>
        <v>347980</v>
      </c>
      <c r="C1401" s="1" t="str">
        <f>HYPERLINK("https://www.ebi.ac.uk/chembl/compound/inspect/CHEMBL163","CHEMBL163")</f>
        <v>CHEMBL163</v>
      </c>
      <c r="D1401" t="s">
        <v>9</v>
      </c>
      <c r="E1401" t="s">
        <v>3353</v>
      </c>
      <c r="F1401" t="s">
        <v>3354</v>
      </c>
      <c r="G1401">
        <v>1605</v>
      </c>
      <c r="H1401" s="4">
        <v>10</v>
      </c>
    </row>
    <row r="1402" spans="1:8" x14ac:dyDescent="0.2">
      <c r="A1402" t="s">
        <v>3355</v>
      </c>
      <c r="B1402" s="1" t="str">
        <f>HYPERLINK("http://www.chemspider.com/Chemical-Structure.103202.html","103202")</f>
        <v>103202</v>
      </c>
      <c r="C1402" s="1" t="str">
        <f>HYPERLINK("https://www.ebi.ac.uk/chembl/compound/inspect/CHEMBL1472975","CHEMBL1472975")</f>
        <v>CHEMBL1472975</v>
      </c>
      <c r="D1402" t="s">
        <v>1</v>
      </c>
      <c r="E1402" t="s">
        <v>3356</v>
      </c>
      <c r="F1402" t="s">
        <v>3357</v>
      </c>
      <c r="G1402">
        <v>0</v>
      </c>
      <c r="H1402" s="4">
        <v>10</v>
      </c>
    </row>
    <row r="1403" spans="1:8" x14ac:dyDescent="0.2">
      <c r="A1403" t="s">
        <v>3358</v>
      </c>
      <c r="B1403" s="1" t="str">
        <f>HYPERLINK("http://www.chemspider.com/Chemical-Structure.31013.html","31013")</f>
        <v>31013</v>
      </c>
      <c r="C1403" s="1" t="str">
        <f>HYPERLINK("https://www.ebi.ac.uk/chembl/compound/inspect/CHEMBL499","CHEMBL499")</f>
        <v>CHEMBL499</v>
      </c>
      <c r="D1403" t="s">
        <v>9</v>
      </c>
      <c r="E1403" t="s">
        <v>3359</v>
      </c>
      <c r="F1403" t="s">
        <v>3360</v>
      </c>
      <c r="G1403">
        <v>553</v>
      </c>
      <c r="H1403" s="4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CeMM - GmbH Research Center for Molecular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Snijder</dc:creator>
  <cp:lastModifiedBy>Microsoft Office User</cp:lastModifiedBy>
  <dcterms:created xsi:type="dcterms:W3CDTF">2014-10-27T12:47:55Z</dcterms:created>
  <dcterms:modified xsi:type="dcterms:W3CDTF">2019-07-19T19:00:30Z</dcterms:modified>
</cp:coreProperties>
</file>