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1.xml" ContentType="application/vnd.openxmlformats-officedocument.spreadsheetml.query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8.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D:\others\pixels_new\PixelsSheet\"/>
    </mc:Choice>
  </mc:AlternateContent>
  <xr:revisionPtr revIDLastSave="0" documentId="13_ncr:1_{1A15E859-FF67-4A07-8AA2-25CBAA1EC9A7}" xr6:coauthVersionLast="47" xr6:coauthVersionMax="47" xr10:uidLastSave="{00000000-0000-0000-0000-000000000000}"/>
  <bookViews>
    <workbookView xWindow="-108" yWindow="-108" windowWidth="23256" windowHeight="12456" firstSheet="3" activeTab="8" xr2:uid="{00000000-000D-0000-FFFF-FFFF00000000}"/>
  </bookViews>
  <sheets>
    <sheet name="Resources" sheetId="10" r:id="rId1"/>
    <sheet name="Crafting" sheetId="9" r:id="rId2"/>
    <sheet name="MarketPrice" sheetId="7" r:id="rId3"/>
    <sheet name="TV_store" sheetId="11" r:id="rId4"/>
    <sheet name="pixels_api" sheetId="5" state="hidden" r:id="rId5"/>
    <sheet name="MARKET_id" sheetId="6" r:id="rId6"/>
    <sheet name="ITEM_SUMMARY" sheetId="12" r:id="rId7"/>
    <sheet name="Industry_summary" sheetId="13" r:id="rId8"/>
    <sheet name="Energy" sheetId="14" r:id="rId9"/>
  </sheets>
  <definedNames>
    <definedName name="_xlnm._FilterDatabase" localSheetId="5" hidden="1">MARKET_id!$A$1:$B$99</definedName>
    <definedName name="ExternalData_1" localSheetId="4" hidden="1">pixels_api!$A$1:$B$69</definedName>
    <definedName name="indust">#REF!</definedName>
    <definedName name="Slicer_INDUSTRY">#N/A</definedName>
    <definedName name="Slicer_INDUSTRY_TYPE">#N/A</definedName>
    <definedName name="Slicer_INDUSTRY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2" l="1"/>
  <c r="H5" i="12"/>
  <c r="H6" i="12"/>
  <c r="H26" i="12"/>
  <c r="D33" i="14"/>
  <c r="F33" i="14" s="1"/>
  <c r="D34" i="14"/>
  <c r="F34" i="14" s="1"/>
  <c r="D35" i="14"/>
  <c r="F35" i="14" s="1"/>
  <c r="D36" i="14"/>
  <c r="F36" i="14" s="1"/>
  <c r="D37" i="14"/>
  <c r="F37" i="14" s="1"/>
  <c r="D38" i="14"/>
  <c r="F38" i="14" s="1"/>
  <c r="D39" i="14"/>
  <c r="F39" i="14" s="1"/>
  <c r="D40" i="14"/>
  <c r="F40" i="14" s="1"/>
  <c r="D41" i="14"/>
  <c r="F41" i="14" s="1"/>
  <c r="D42" i="14"/>
  <c r="F42" i="14" s="1"/>
  <c r="D43" i="14"/>
  <c r="F43" i="14" s="1"/>
  <c r="D44" i="14"/>
  <c r="F44" i="14" s="1"/>
  <c r="D45" i="14"/>
  <c r="F45" i="14" s="1"/>
  <c r="D46" i="14"/>
  <c r="F46" i="14" s="1"/>
  <c r="D47" i="14"/>
  <c r="F47" i="14" s="1"/>
  <c r="D48" i="14"/>
  <c r="F48" i="14" s="1"/>
  <c r="D49" i="14"/>
  <c r="F49" i="14" s="1"/>
  <c r="D50" i="14"/>
  <c r="F50" i="14" s="1"/>
  <c r="D51" i="14"/>
  <c r="F51" i="14" s="1"/>
  <c r="D52" i="14"/>
  <c r="F52" i="14" s="1"/>
  <c r="D53" i="14"/>
  <c r="F53" i="14" s="1"/>
  <c r="D54" i="14"/>
  <c r="F54" i="14" s="1"/>
  <c r="D55" i="14"/>
  <c r="F55" i="14" s="1"/>
  <c r="D56" i="14"/>
  <c r="F56" i="14" s="1"/>
  <c r="D57" i="14"/>
  <c r="F57" i="14" s="1"/>
  <c r="E39" i="14"/>
  <c r="E40" i="14"/>
  <c r="E41" i="14"/>
  <c r="E42" i="14"/>
  <c r="E43" i="14"/>
  <c r="E44" i="14"/>
  <c r="E50" i="14"/>
  <c r="E51" i="14"/>
  <c r="E57"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G44" i="14" l="1"/>
  <c r="G43" i="14"/>
  <c r="G41" i="14"/>
  <c r="G40" i="14"/>
  <c r="G42" i="14"/>
  <c r="G51" i="14"/>
  <c r="G39" i="14"/>
  <c r="G50" i="14"/>
  <c r="G57" i="14"/>
  <c r="G27" i="12" l="1"/>
  <c r="D32" i="14" s="1"/>
  <c r="F32" i="14" s="1"/>
  <c r="G51" i="12"/>
  <c r="D27" i="14" s="1"/>
  <c r="F27" i="14" s="1"/>
  <c r="G57" i="12"/>
  <c r="G34" i="12"/>
  <c r="D30" i="14" s="1"/>
  <c r="F30" i="14" s="1"/>
  <c r="G52" i="12"/>
  <c r="G60" i="12"/>
  <c r="G48" i="12"/>
  <c r="G49" i="12"/>
  <c r="G50" i="12"/>
  <c r="G44" i="12"/>
  <c r="G56" i="12"/>
  <c r="G55" i="12"/>
  <c r="G53" i="12"/>
  <c r="G47" i="12"/>
  <c r="G58" i="12"/>
  <c r="G26" i="12"/>
  <c r="G35" i="12"/>
  <c r="G54" i="12"/>
  <c r="G38" i="12"/>
  <c r="D29" i="14" s="1"/>
  <c r="F29" i="14" s="1"/>
  <c r="G37" i="12"/>
  <c r="D28" i="14" s="1"/>
  <c r="F28" i="14" s="1"/>
  <c r="G36" i="12"/>
  <c r="D24" i="14" s="1"/>
  <c r="F24" i="14" s="1"/>
  <c r="G43" i="12"/>
  <c r="D22" i="14" s="1"/>
  <c r="F22" i="14" s="1"/>
  <c r="G30" i="12"/>
  <c r="D25" i="14" s="1"/>
  <c r="F25" i="14" s="1"/>
  <c r="G42" i="12"/>
  <c r="D31" i="14" s="1"/>
  <c r="F31" i="14" s="1"/>
  <c r="G2" i="12"/>
  <c r="D26" i="14" s="1"/>
  <c r="F26" i="14" s="1"/>
  <c r="G46" i="12"/>
  <c r="D20" i="14" s="1"/>
  <c r="F20" i="14" s="1"/>
  <c r="G45" i="12"/>
  <c r="D21" i="14" s="1"/>
  <c r="F21" i="14" s="1"/>
  <c r="G40" i="12"/>
  <c r="D19" i="14" s="1"/>
  <c r="F19" i="14" s="1"/>
  <c r="G3" i="12"/>
  <c r="G59" i="12"/>
  <c r="D11" i="14" s="1"/>
  <c r="F11" i="14" s="1"/>
  <c r="G7" i="12"/>
  <c r="D12" i="14" s="1"/>
  <c r="G8" i="12"/>
  <c r="D16" i="14" s="1"/>
  <c r="G9" i="12"/>
  <c r="D18" i="14" s="1"/>
  <c r="G10" i="12"/>
  <c r="D23" i="14" s="1"/>
  <c r="G11" i="12"/>
  <c r="D3" i="14" s="1"/>
  <c r="G12" i="12"/>
  <c r="D10" i="14" s="1"/>
  <c r="G13" i="12"/>
  <c r="D14" i="14" s="1"/>
  <c r="G14" i="12"/>
  <c r="D15" i="14" s="1"/>
  <c r="G31" i="12"/>
  <c r="G32" i="12"/>
  <c r="G29" i="12"/>
  <c r="G33" i="12"/>
  <c r="G41" i="12"/>
  <c r="G39" i="12"/>
  <c r="G61" i="12"/>
  <c r="G28" i="12"/>
  <c r="G25" i="12"/>
  <c r="G15" i="12"/>
  <c r="D9" i="14" s="1"/>
  <c r="G16" i="12"/>
  <c r="D13" i="14" s="1"/>
  <c r="G17" i="12"/>
  <c r="D4" i="14" s="1"/>
  <c r="G18" i="12"/>
  <c r="D8" i="14" s="1"/>
  <c r="G19" i="12"/>
  <c r="D2" i="14" s="1"/>
  <c r="G20" i="12"/>
  <c r="D5" i="14" s="1"/>
  <c r="G21" i="12"/>
  <c r="D6" i="14" s="1"/>
  <c r="G22" i="12"/>
  <c r="D7" i="14" s="1"/>
  <c r="G23" i="12"/>
  <c r="D17" i="14" s="1"/>
  <c r="F17" i="14" s="1"/>
  <c r="G4" i="12"/>
  <c r="G24" i="12"/>
  <c r="G5" i="12"/>
  <c r="G6" i="12"/>
  <c r="C8" i="12"/>
  <c r="C9" i="12"/>
  <c r="C10" i="12"/>
  <c r="C11" i="12"/>
  <c r="C12" i="12"/>
  <c r="C13" i="12"/>
  <c r="C14" i="12"/>
  <c r="C31" i="12"/>
  <c r="C32" i="12"/>
  <c r="C29" i="12"/>
  <c r="C33" i="12"/>
  <c r="C41" i="12"/>
  <c r="C39" i="12"/>
  <c r="C61" i="12"/>
  <c r="C28" i="12"/>
  <c r="C25" i="12"/>
  <c r="C15" i="12"/>
  <c r="C16" i="12"/>
  <c r="C17" i="12"/>
  <c r="C18" i="12"/>
  <c r="C19" i="12"/>
  <c r="C20" i="12"/>
  <c r="C21" i="12"/>
  <c r="C22" i="12"/>
  <c r="C23" i="12"/>
  <c r="C4" i="12"/>
  <c r="C24" i="12"/>
  <c r="C5" i="12"/>
  <c r="C6" i="12"/>
  <c r="C7" i="12"/>
  <c r="F51" i="12"/>
  <c r="C27" i="14" s="1"/>
  <c r="F57" i="12"/>
  <c r="F34" i="12"/>
  <c r="C30" i="14" s="1"/>
  <c r="F52" i="12"/>
  <c r="F60" i="12"/>
  <c r="F48" i="12"/>
  <c r="F49" i="12"/>
  <c r="F50" i="12"/>
  <c r="F44" i="12"/>
  <c r="F56" i="12"/>
  <c r="F55" i="12"/>
  <c r="F53" i="12"/>
  <c r="F47" i="12"/>
  <c r="F58" i="12"/>
  <c r="F26" i="12"/>
  <c r="F35" i="12"/>
  <c r="F54" i="12"/>
  <c r="F27" i="12"/>
  <c r="C32" i="14" s="1"/>
  <c r="C105" i="6"/>
  <c r="G88" i="9"/>
  <c r="G89" i="9"/>
  <c r="G90" i="9"/>
  <c r="M88" i="9"/>
  <c r="M89" i="9"/>
  <c r="M90" i="9"/>
  <c r="G86" i="9"/>
  <c r="G87" i="9"/>
  <c r="M86" i="9"/>
  <c r="M87" i="9"/>
  <c r="G85" i="9"/>
  <c r="G84" i="9"/>
  <c r="G83" i="9"/>
  <c r="F82" i="9"/>
  <c r="H82" i="9" s="1"/>
  <c r="I82" i="9" s="1"/>
  <c r="G82" i="9"/>
  <c r="C46" i="6"/>
  <c r="G81" i="9"/>
  <c r="F80" i="9"/>
  <c r="G80" i="9"/>
  <c r="G79" i="9"/>
  <c r="F54" i="9"/>
  <c r="F58" i="9"/>
  <c r="F62" i="9"/>
  <c r="F66" i="9"/>
  <c r="F68" i="9"/>
  <c r="F71" i="9"/>
  <c r="F74" i="9"/>
  <c r="F77" i="9"/>
  <c r="G53" i="9"/>
  <c r="G54" i="9"/>
  <c r="G55" i="9"/>
  <c r="G56" i="9"/>
  <c r="G57" i="9"/>
  <c r="G58" i="9"/>
  <c r="G59" i="9"/>
  <c r="G60" i="9"/>
  <c r="G61" i="9"/>
  <c r="G62" i="9"/>
  <c r="G63" i="9"/>
  <c r="G64" i="9"/>
  <c r="G65" i="9"/>
  <c r="G66" i="9"/>
  <c r="G67" i="9"/>
  <c r="G68" i="9"/>
  <c r="G69" i="9"/>
  <c r="G70" i="9"/>
  <c r="G71" i="9"/>
  <c r="G72" i="9"/>
  <c r="G73" i="9"/>
  <c r="G74" i="9"/>
  <c r="G75" i="9"/>
  <c r="G76" i="9"/>
  <c r="G77" i="9"/>
  <c r="G78" i="9"/>
  <c r="O53" i="9"/>
  <c r="J15" i="12" s="1"/>
  <c r="O54" i="9"/>
  <c r="O55" i="9"/>
  <c r="O56" i="9"/>
  <c r="J16" i="12" s="1"/>
  <c r="O57" i="9"/>
  <c r="O58" i="9"/>
  <c r="O59" i="9"/>
  <c r="O60" i="9"/>
  <c r="J17" i="12" s="1"/>
  <c r="O61" i="9"/>
  <c r="O62" i="9"/>
  <c r="O63" i="9"/>
  <c r="O64" i="9"/>
  <c r="J18" i="12" s="1"/>
  <c r="O65" i="9"/>
  <c r="O66" i="9"/>
  <c r="O67" i="9"/>
  <c r="J19" i="12" s="1"/>
  <c r="O68" i="9"/>
  <c r="O69" i="9"/>
  <c r="O70" i="9"/>
  <c r="J20" i="12" s="1"/>
  <c r="O71" i="9"/>
  <c r="O72" i="9"/>
  <c r="O73" i="9"/>
  <c r="J21" i="12" s="1"/>
  <c r="O74" i="9"/>
  <c r="O75" i="9"/>
  <c r="O76" i="9"/>
  <c r="J22" i="12" s="1"/>
  <c r="O77" i="9"/>
  <c r="O78" i="9"/>
  <c r="G43" i="9"/>
  <c r="G44" i="9"/>
  <c r="G45" i="9"/>
  <c r="G46" i="9"/>
  <c r="G47" i="9"/>
  <c r="G48" i="9"/>
  <c r="G49" i="9"/>
  <c r="G50" i="9"/>
  <c r="G51" i="9"/>
  <c r="G52" i="9"/>
  <c r="C55" i="6"/>
  <c r="F42" i="9"/>
  <c r="H42" i="9" s="1"/>
  <c r="I42" i="9" s="1"/>
  <c r="G35" i="9"/>
  <c r="G36" i="9"/>
  <c r="G37" i="9"/>
  <c r="G38" i="9"/>
  <c r="G39" i="9"/>
  <c r="G40" i="9"/>
  <c r="G41" i="9"/>
  <c r="G42" i="9"/>
  <c r="O14" i="9"/>
  <c r="J7" i="12" s="1"/>
  <c r="O15" i="9"/>
  <c r="O16" i="9"/>
  <c r="J8" i="12" s="1"/>
  <c r="O17" i="9"/>
  <c r="O18" i="9"/>
  <c r="O19" i="9"/>
  <c r="O20" i="9"/>
  <c r="J9" i="12" s="1"/>
  <c r="O21" i="9"/>
  <c r="O22" i="9"/>
  <c r="J10" i="12" s="1"/>
  <c r="O23" i="9"/>
  <c r="J11" i="12" s="1"/>
  <c r="O24" i="9"/>
  <c r="O25" i="9"/>
  <c r="J12" i="12" s="1"/>
  <c r="O26" i="9"/>
  <c r="O27" i="9"/>
  <c r="O28" i="9"/>
  <c r="O29" i="9"/>
  <c r="J13" i="12" s="1"/>
  <c r="O30" i="9"/>
  <c r="O31" i="9"/>
  <c r="J14" i="12" s="1"/>
  <c r="O32" i="9"/>
  <c r="O33" i="9"/>
  <c r="O34" i="9"/>
  <c r="F15" i="9"/>
  <c r="F17" i="9"/>
  <c r="H17" i="9" s="1"/>
  <c r="I17" i="9" s="1"/>
  <c r="F24" i="9"/>
  <c r="H24" i="9" s="1"/>
  <c r="I24" i="9" s="1"/>
  <c r="F26" i="9"/>
  <c r="F30" i="9"/>
  <c r="F32" i="9"/>
  <c r="G14" i="9"/>
  <c r="G15" i="9"/>
  <c r="G16" i="9"/>
  <c r="G17" i="9"/>
  <c r="G18" i="9"/>
  <c r="G19" i="9"/>
  <c r="G20" i="9"/>
  <c r="G21" i="9"/>
  <c r="G22" i="9"/>
  <c r="G23" i="9"/>
  <c r="G24" i="9"/>
  <c r="G25" i="9"/>
  <c r="G26" i="9"/>
  <c r="G27" i="9"/>
  <c r="G28" i="9"/>
  <c r="G29" i="9"/>
  <c r="G30" i="9"/>
  <c r="G31" i="9"/>
  <c r="G32" i="9"/>
  <c r="G33" i="9"/>
  <c r="G34" i="9"/>
  <c r="M12" i="9"/>
  <c r="G2" i="9"/>
  <c r="G3" i="9"/>
  <c r="G4" i="9"/>
  <c r="G5" i="9"/>
  <c r="G6" i="9"/>
  <c r="G7" i="9"/>
  <c r="G8" i="9"/>
  <c r="G9" i="9"/>
  <c r="G10" i="9"/>
  <c r="G11" i="9"/>
  <c r="G12" i="9"/>
  <c r="G13" i="9"/>
  <c r="F2" i="9"/>
  <c r="H2" i="9" s="1"/>
  <c r="I2" i="9" s="1"/>
  <c r="F3" i="9"/>
  <c r="H3" i="9" s="1"/>
  <c r="I3" i="9" s="1"/>
  <c r="F4" i="9"/>
  <c r="H4" i="9" s="1"/>
  <c r="I4" i="9" s="1"/>
  <c r="F5" i="9"/>
  <c r="H5" i="9" s="1"/>
  <c r="I5" i="9" s="1"/>
  <c r="F6" i="9"/>
  <c r="H6" i="9" s="1"/>
  <c r="I6" i="9" s="1"/>
  <c r="F7" i="9"/>
  <c r="H7" i="9" s="1"/>
  <c r="I7" i="9" s="1"/>
  <c r="F8" i="9"/>
  <c r="H8" i="9" s="1"/>
  <c r="I8" i="9" s="1"/>
  <c r="F9" i="9"/>
  <c r="F11" i="9"/>
  <c r="F12" i="9"/>
  <c r="H12" i="9" s="1"/>
  <c r="I12" i="9" s="1"/>
  <c r="F13" i="9"/>
  <c r="H13" i="9" s="1"/>
  <c r="I13" i="9" s="1"/>
  <c r="C17" i="6"/>
  <c r="C18" i="6"/>
  <c r="G9" i="10"/>
  <c r="H9" i="10" s="1"/>
  <c r="I9" i="10" s="1"/>
  <c r="G10" i="10"/>
  <c r="H10" i="10" s="1"/>
  <c r="I10" i="10" s="1"/>
  <c r="G2" i="10"/>
  <c r="H2" i="10" s="1"/>
  <c r="I2" i="10" s="1"/>
  <c r="G3" i="10"/>
  <c r="H3" i="10" s="1"/>
  <c r="I3" i="10" s="1"/>
  <c r="G4" i="10"/>
  <c r="H4" i="10" s="1"/>
  <c r="I4" i="10" s="1"/>
  <c r="G5" i="10"/>
  <c r="H5" i="10" s="1"/>
  <c r="I5" i="10" s="1"/>
  <c r="G6" i="10"/>
  <c r="H6" i="10" s="1"/>
  <c r="I6" i="10" s="1"/>
  <c r="G7" i="10"/>
  <c r="H7" i="10" s="1"/>
  <c r="I7" i="10" s="1"/>
  <c r="G8" i="10"/>
  <c r="H8" i="10" s="1"/>
  <c r="I8" i="10" s="1"/>
  <c r="G11" i="10"/>
  <c r="H11" i="10" s="1"/>
  <c r="I11" i="10" s="1"/>
  <c r="G12" i="10"/>
  <c r="H12" i="10" s="1"/>
  <c r="I12" i="10" s="1"/>
  <c r="G13" i="10"/>
  <c r="H13" i="10" s="1"/>
  <c r="I13" i="10" s="1"/>
  <c r="G14" i="10"/>
  <c r="H14" i="10" s="1"/>
  <c r="I14" i="10" s="1"/>
  <c r="G15" i="10"/>
  <c r="H15" i="10" s="1"/>
  <c r="I15" i="10" s="1"/>
  <c r="G16" i="10"/>
  <c r="H16" i="10" s="1"/>
  <c r="I16" i="10" s="1"/>
  <c r="G17" i="10"/>
  <c r="H17" i="10" s="1"/>
  <c r="I17" i="10" s="1"/>
  <c r="G18" i="10"/>
  <c r="H18" i="10" s="1"/>
  <c r="I18" i="10" s="1"/>
  <c r="G19" i="10"/>
  <c r="H19" i="10" s="1"/>
  <c r="I19" i="10" s="1"/>
  <c r="M42" i="9" l="1"/>
  <c r="H41" i="12"/>
  <c r="L19" i="10"/>
  <c r="J54" i="12" s="1"/>
  <c r="L7" i="10"/>
  <c r="J60" i="12" s="1"/>
  <c r="I48" i="12"/>
  <c r="L18" i="10"/>
  <c r="J35" i="12" s="1"/>
  <c r="L6" i="10"/>
  <c r="J52" i="12" s="1"/>
  <c r="I54" i="12"/>
  <c r="I60" i="12"/>
  <c r="L17" i="10"/>
  <c r="J26" i="12" s="1"/>
  <c r="L5" i="10"/>
  <c r="J34" i="12" s="1"/>
  <c r="I35" i="12"/>
  <c r="I52" i="12"/>
  <c r="L16" i="10"/>
  <c r="J58" i="12" s="1"/>
  <c r="L4" i="10"/>
  <c r="J57" i="12" s="1"/>
  <c r="I26" i="12"/>
  <c r="I34" i="12"/>
  <c r="L15" i="10"/>
  <c r="J47" i="12" s="1"/>
  <c r="L3" i="10"/>
  <c r="J51" i="12" s="1"/>
  <c r="I58" i="12"/>
  <c r="I57" i="12"/>
  <c r="L14" i="10"/>
  <c r="J53" i="12" s="1"/>
  <c r="L2" i="10"/>
  <c r="J27" i="12" s="1"/>
  <c r="I47" i="12"/>
  <c r="I51" i="12"/>
  <c r="L13" i="10"/>
  <c r="J55" i="12" s="1"/>
  <c r="I53" i="12"/>
  <c r="L12" i="10"/>
  <c r="J56" i="12" s="1"/>
  <c r="I27" i="12"/>
  <c r="I55" i="12"/>
  <c r="L11" i="10"/>
  <c r="J44" i="12" s="1"/>
  <c r="I56" i="12"/>
  <c r="L10" i="10"/>
  <c r="I44" i="12"/>
  <c r="L9" i="10"/>
  <c r="I50" i="12"/>
  <c r="L8" i="10"/>
  <c r="I49" i="12"/>
  <c r="M41" i="9"/>
  <c r="L12" i="12"/>
  <c r="D26" i="13" s="1"/>
  <c r="L13" i="12"/>
  <c r="D27" i="13" s="1"/>
  <c r="L16" i="12"/>
  <c r="D39" i="13" s="1"/>
  <c r="L8" i="12"/>
  <c r="D22" i="13" s="1"/>
  <c r="L19" i="12"/>
  <c r="D42" i="13" s="1"/>
  <c r="L10" i="12"/>
  <c r="D24" i="13" s="1"/>
  <c r="L7" i="12"/>
  <c r="D21" i="13" s="1"/>
  <c r="L22" i="12"/>
  <c r="D45" i="13" s="1"/>
  <c r="L18" i="12"/>
  <c r="D41" i="13" s="1"/>
  <c r="L11" i="12"/>
  <c r="D25" i="13" s="1"/>
  <c r="L21" i="12"/>
  <c r="D44" i="13" s="1"/>
  <c r="L17" i="12"/>
  <c r="D40" i="13" s="1"/>
  <c r="L9" i="12"/>
  <c r="D23" i="13" s="1"/>
  <c r="L14" i="12"/>
  <c r="D28" i="13" s="1"/>
  <c r="L20" i="12"/>
  <c r="D43" i="13" s="1"/>
  <c r="L15" i="12"/>
  <c r="D38" i="13" s="1"/>
  <c r="J12" i="9"/>
  <c r="N12" i="9" s="1"/>
  <c r="O12" i="9" s="1"/>
  <c r="J3" i="12" s="1"/>
  <c r="L3" i="12" s="1"/>
  <c r="D19" i="13" s="1"/>
  <c r="J82" i="9"/>
  <c r="F4" i="12" s="1"/>
  <c r="J8" i="9"/>
  <c r="F2" i="12" s="1"/>
  <c r="C26" i="14" s="1"/>
  <c r="J7" i="9"/>
  <c r="F42" i="12" s="1"/>
  <c r="C31" i="14" s="1"/>
  <c r="J6" i="9"/>
  <c r="F30" i="12" s="1"/>
  <c r="C25" i="14" s="1"/>
  <c r="J5" i="9"/>
  <c r="F43" i="12" s="1"/>
  <c r="C22" i="14" s="1"/>
  <c r="J13" i="9"/>
  <c r="F59" i="12" s="1"/>
  <c r="C11" i="14" s="1"/>
  <c r="J3" i="9"/>
  <c r="F37" i="12" s="1"/>
  <c r="C28" i="14" s="1"/>
  <c r="J4" i="9"/>
  <c r="F36" i="12" s="1"/>
  <c r="C24" i="14" s="1"/>
  <c r="J2" i="9"/>
  <c r="F38" i="12" s="1"/>
  <c r="C29" i="14" s="1"/>
  <c r="H68" i="9"/>
  <c r="I68" i="9" s="1"/>
  <c r="H77" i="9"/>
  <c r="I77" i="9" s="1"/>
  <c r="H58" i="9"/>
  <c r="I58" i="9" s="1"/>
  <c r="H15" i="9"/>
  <c r="I15" i="9" s="1"/>
  <c r="H71" i="9"/>
  <c r="I71" i="9" s="1"/>
  <c r="H80" i="9"/>
  <c r="I80" i="9" s="1"/>
  <c r="H66" i="9"/>
  <c r="I66" i="9" s="1"/>
  <c r="H54" i="9"/>
  <c r="I54" i="9" s="1"/>
  <c r="H30" i="9"/>
  <c r="I30" i="9" s="1"/>
  <c r="H74" i="9"/>
  <c r="I74" i="9" s="1"/>
  <c r="H62" i="9"/>
  <c r="I62" i="9" s="1"/>
  <c r="H26" i="9"/>
  <c r="I26" i="9" s="1"/>
  <c r="H32" i="9"/>
  <c r="I32" i="9" s="1"/>
  <c r="H11" i="9"/>
  <c r="I11" i="9" s="1"/>
  <c r="H9" i="9"/>
  <c r="I9" i="9" s="1"/>
  <c r="K56" i="12" l="1"/>
  <c r="L26" i="12"/>
  <c r="D8" i="13" s="1"/>
  <c r="L54" i="12"/>
  <c r="L34" i="12"/>
  <c r="D3" i="13" s="1"/>
  <c r="L58" i="12"/>
  <c r="K51" i="12"/>
  <c r="K55" i="12"/>
  <c r="K47" i="12"/>
  <c r="K35" i="12"/>
  <c r="K34" i="12"/>
  <c r="C3" i="13" s="1"/>
  <c r="L57" i="12"/>
  <c r="L60" i="12"/>
  <c r="K44" i="12"/>
  <c r="C4" i="13" s="1"/>
  <c r="L35" i="12"/>
  <c r="K48" i="12"/>
  <c r="L27" i="12"/>
  <c r="D2" i="13" s="1"/>
  <c r="K54" i="12"/>
  <c r="K60" i="12"/>
  <c r="L51" i="12"/>
  <c r="L52" i="12"/>
  <c r="K50" i="12"/>
  <c r="K53" i="12"/>
  <c r="K58" i="12"/>
  <c r="K52" i="12"/>
  <c r="K26" i="12"/>
  <c r="C8" i="13" s="1"/>
  <c r="K57" i="12"/>
  <c r="K27" i="12"/>
  <c r="J48" i="12"/>
  <c r="J49" i="12"/>
  <c r="J50" i="12"/>
  <c r="L55" i="12" s="1"/>
  <c r="K49" i="12"/>
  <c r="L53" i="12"/>
  <c r="L47" i="12"/>
  <c r="D7" i="13" s="1"/>
  <c r="F3" i="12"/>
  <c r="C7" i="13"/>
  <c r="J11" i="9"/>
  <c r="F40" i="12" s="1"/>
  <c r="C19" i="14" s="1"/>
  <c r="J9" i="9"/>
  <c r="F46" i="12" s="1"/>
  <c r="C20" i="14" s="1"/>
  <c r="I3" i="12"/>
  <c r="K3" i="12" s="1"/>
  <c r="C19" i="13" s="1"/>
  <c r="C70" i="6"/>
  <c r="C8" i="6"/>
  <c r="H25" i="12" s="1"/>
  <c r="C28" i="6"/>
  <c r="C30" i="6"/>
  <c r="H28" i="12" s="1"/>
  <c r="C48" i="6"/>
  <c r="H39" i="12" s="1"/>
  <c r="C47" i="6"/>
  <c r="C79" i="6"/>
  <c r="H29" i="12" s="1"/>
  <c r="C97" i="6"/>
  <c r="C103" i="6"/>
  <c r="C104" i="6"/>
  <c r="C101" i="6"/>
  <c r="H52" i="12" s="1"/>
  <c r="C9" i="6"/>
  <c r="H61" i="12" s="1"/>
  <c r="C10" i="6"/>
  <c r="C11" i="6"/>
  <c r="C12" i="6"/>
  <c r="C2" i="6"/>
  <c r="C13" i="6"/>
  <c r="H42" i="12" s="1"/>
  <c r="C49" i="6"/>
  <c r="C15" i="6"/>
  <c r="H33" i="12" s="1"/>
  <c r="C16" i="6"/>
  <c r="E33" i="14" s="1"/>
  <c r="G33" i="14" s="1"/>
  <c r="C19" i="6"/>
  <c r="C14" i="6"/>
  <c r="C20" i="6"/>
  <c r="E34" i="14" s="1"/>
  <c r="G34" i="14" s="1"/>
  <c r="C21" i="6"/>
  <c r="E35" i="14" s="1"/>
  <c r="G35" i="14" s="1"/>
  <c r="C22" i="6"/>
  <c r="E36" i="14" s="1"/>
  <c r="G36" i="14" s="1"/>
  <c r="C23" i="6"/>
  <c r="E37" i="14" s="1"/>
  <c r="G37" i="14" s="1"/>
  <c r="C24" i="6"/>
  <c r="E38" i="14" s="1"/>
  <c r="G38" i="14" s="1"/>
  <c r="C25" i="6"/>
  <c r="C26" i="6"/>
  <c r="C27" i="6"/>
  <c r="C29" i="6"/>
  <c r="H31" i="12" s="1"/>
  <c r="C31" i="6"/>
  <c r="C32" i="6"/>
  <c r="C35" i="6"/>
  <c r="C33" i="6"/>
  <c r="C34" i="6"/>
  <c r="C36" i="6"/>
  <c r="H13" i="12" s="1"/>
  <c r="C37" i="6"/>
  <c r="C38" i="6"/>
  <c r="C39" i="6"/>
  <c r="H35" i="12" s="1"/>
  <c r="C40" i="6"/>
  <c r="C41" i="6"/>
  <c r="C42" i="6"/>
  <c r="C43" i="6"/>
  <c r="C44" i="6"/>
  <c r="C45" i="6"/>
  <c r="C61" i="6"/>
  <c r="C50" i="6"/>
  <c r="E45" i="14" s="1"/>
  <c r="G45" i="14" s="1"/>
  <c r="C51" i="6"/>
  <c r="E46" i="14" s="1"/>
  <c r="G46" i="14" s="1"/>
  <c r="C52" i="6"/>
  <c r="E47" i="14" s="1"/>
  <c r="G47" i="14" s="1"/>
  <c r="C53" i="6"/>
  <c r="E48" i="14" s="1"/>
  <c r="G48" i="14" s="1"/>
  <c r="C54" i="6"/>
  <c r="E49" i="14" s="1"/>
  <c r="G49" i="14" s="1"/>
  <c r="C56" i="6"/>
  <c r="C57" i="6"/>
  <c r="C59" i="6"/>
  <c r="C58" i="6"/>
  <c r="C60" i="6"/>
  <c r="C62" i="6"/>
  <c r="H10" i="12" s="1"/>
  <c r="C63" i="6"/>
  <c r="H4" i="12" s="1"/>
  <c r="C64" i="6"/>
  <c r="C65" i="6"/>
  <c r="C66" i="6"/>
  <c r="C67" i="6"/>
  <c r="C68" i="6"/>
  <c r="C69" i="6"/>
  <c r="H60" i="12" s="1"/>
  <c r="C72" i="6"/>
  <c r="C73" i="6"/>
  <c r="C74" i="6"/>
  <c r="C75" i="6"/>
  <c r="C76" i="6"/>
  <c r="C77" i="6"/>
  <c r="C78" i="6"/>
  <c r="C80" i="6"/>
  <c r="C81" i="6"/>
  <c r="H53" i="12" s="1"/>
  <c r="C82" i="6"/>
  <c r="C83" i="6"/>
  <c r="H47" i="12" s="1"/>
  <c r="C84" i="6"/>
  <c r="H58" i="12" s="1"/>
  <c r="C86" i="6"/>
  <c r="C87" i="6"/>
  <c r="E52" i="14" s="1"/>
  <c r="G52" i="14" s="1"/>
  <c r="C88" i="6"/>
  <c r="C89" i="6"/>
  <c r="E53" i="14" s="1"/>
  <c r="G53" i="14" s="1"/>
  <c r="C90" i="6"/>
  <c r="E54" i="14" s="1"/>
  <c r="G54" i="14" s="1"/>
  <c r="C91" i="6"/>
  <c r="E55" i="14" s="1"/>
  <c r="G55" i="14" s="1"/>
  <c r="C92" i="6"/>
  <c r="C4" i="6"/>
  <c r="H24" i="12" s="1"/>
  <c r="C93" i="6"/>
  <c r="E56" i="14" s="1"/>
  <c r="G56" i="14" s="1"/>
  <c r="C94" i="6"/>
  <c r="C5" i="6"/>
  <c r="C6" i="6"/>
  <c r="F10" i="9" s="1"/>
  <c r="H10" i="9" s="1"/>
  <c r="I10" i="9" s="1"/>
  <c r="C7" i="6"/>
  <c r="C95" i="6"/>
  <c r="C96" i="6"/>
  <c r="C71" i="6"/>
  <c r="C98" i="6"/>
  <c r="H55" i="12" s="1"/>
  <c r="C99" i="6"/>
  <c r="C100" i="6"/>
  <c r="C102" i="6"/>
  <c r="C3" i="6"/>
  <c r="H32" i="12" s="1"/>
  <c r="E14" i="14" l="1"/>
  <c r="E4" i="14"/>
  <c r="H17" i="12"/>
  <c r="E3" i="14"/>
  <c r="H11" i="12"/>
  <c r="E24" i="14"/>
  <c r="G24" i="14" s="1"/>
  <c r="H36" i="12"/>
  <c r="E10" i="14"/>
  <c r="H12" i="12"/>
  <c r="E11" i="14"/>
  <c r="G11" i="14" s="1"/>
  <c r="H59" i="12"/>
  <c r="E29" i="14"/>
  <c r="G29" i="14" s="1"/>
  <c r="H38" i="12"/>
  <c r="E28" i="14"/>
  <c r="G28" i="14" s="1"/>
  <c r="H37" i="12"/>
  <c r="F39" i="9"/>
  <c r="H39" i="9" s="1"/>
  <c r="I39" i="9" s="1"/>
  <c r="H56" i="12"/>
  <c r="E8" i="14"/>
  <c r="H18" i="12"/>
  <c r="E22" i="14"/>
  <c r="G22" i="14" s="1"/>
  <c r="H43" i="12"/>
  <c r="E6" i="14"/>
  <c r="H21" i="12"/>
  <c r="F43" i="9"/>
  <c r="H43" i="9" s="1"/>
  <c r="I43" i="9" s="1"/>
  <c r="J43" i="9" s="1"/>
  <c r="H50" i="12"/>
  <c r="H48" i="12"/>
  <c r="H49" i="12"/>
  <c r="E19" i="14"/>
  <c r="G19" i="14" s="1"/>
  <c r="H40" i="12"/>
  <c r="E21" i="14"/>
  <c r="G21" i="14" s="1"/>
  <c r="H45" i="12"/>
  <c r="E9" i="14"/>
  <c r="H15" i="12"/>
  <c r="E16" i="14"/>
  <c r="H8" i="12"/>
  <c r="E7" i="14"/>
  <c r="H22" i="12"/>
  <c r="E2" i="14"/>
  <c r="H19" i="12"/>
  <c r="E15" i="14"/>
  <c r="H14" i="12"/>
  <c r="E26" i="14"/>
  <c r="G26" i="14" s="1"/>
  <c r="H2" i="12"/>
  <c r="E5" i="14"/>
  <c r="H20" i="12"/>
  <c r="E30" i="14"/>
  <c r="G30" i="14" s="1"/>
  <c r="H34" i="12"/>
  <c r="E32" i="14"/>
  <c r="G32" i="14" s="1"/>
  <c r="H27" i="12"/>
  <c r="E20" i="14"/>
  <c r="G20" i="14" s="1"/>
  <c r="H46" i="12"/>
  <c r="E25" i="14"/>
  <c r="G25" i="14" s="1"/>
  <c r="H30" i="12"/>
  <c r="F45" i="9"/>
  <c r="H45" i="9" s="1"/>
  <c r="I45" i="9" s="1"/>
  <c r="H54" i="12"/>
  <c r="E18" i="14"/>
  <c r="H9" i="12"/>
  <c r="F49" i="9"/>
  <c r="H49" i="9" s="1"/>
  <c r="I49" i="9" s="1"/>
  <c r="H57" i="12"/>
  <c r="E12" i="14"/>
  <c r="H7" i="12"/>
  <c r="E13" i="14"/>
  <c r="H16" i="12"/>
  <c r="F44" i="9"/>
  <c r="H44" i="9" s="1"/>
  <c r="I44" i="9" s="1"/>
  <c r="J44" i="9" s="1"/>
  <c r="F61" i="12" s="1"/>
  <c r="H44" i="12"/>
  <c r="E27" i="14"/>
  <c r="G27" i="14" s="1"/>
  <c r="H51" i="12"/>
  <c r="E17" i="14"/>
  <c r="G17" i="14" s="1"/>
  <c r="H23" i="12"/>
  <c r="C5" i="13"/>
  <c r="C6" i="13"/>
  <c r="C2" i="13"/>
  <c r="M7" i="9"/>
  <c r="N7" i="9" s="1"/>
  <c r="I42" i="12" s="1"/>
  <c r="K42" i="12" s="1"/>
  <c r="E31" i="14"/>
  <c r="G31" i="14" s="1"/>
  <c r="M22" i="9"/>
  <c r="E23" i="14"/>
  <c r="L50" i="12"/>
  <c r="D6" i="13" s="1"/>
  <c r="L49" i="12"/>
  <c r="D5" i="13" s="1"/>
  <c r="L56" i="12"/>
  <c r="L48" i="12"/>
  <c r="L44" i="12"/>
  <c r="D4" i="13" s="1"/>
  <c r="J10" i="9"/>
  <c r="F45" i="12" s="1"/>
  <c r="C21" i="14" s="1"/>
  <c r="F65" i="9"/>
  <c r="H65" i="9" s="1"/>
  <c r="I65" i="9" s="1"/>
  <c r="F46" i="9"/>
  <c r="H46" i="9" s="1"/>
  <c r="I46" i="9" s="1"/>
  <c r="M29" i="9"/>
  <c r="M30" i="9"/>
  <c r="M60" i="9"/>
  <c r="M61" i="9"/>
  <c r="M62" i="9"/>
  <c r="M63" i="9"/>
  <c r="M20" i="9"/>
  <c r="M21" i="9"/>
  <c r="M8" i="9"/>
  <c r="N8" i="9" s="1"/>
  <c r="F79" i="9"/>
  <c r="H79" i="9" s="1"/>
  <c r="I79" i="9" s="1"/>
  <c r="M64" i="9"/>
  <c r="M65" i="9"/>
  <c r="M66" i="9"/>
  <c r="F90" i="9"/>
  <c r="H90" i="9" s="1"/>
  <c r="I90" i="9" s="1"/>
  <c r="F85" i="9"/>
  <c r="H85" i="9" s="1"/>
  <c r="I85" i="9" s="1"/>
  <c r="M24" i="9"/>
  <c r="M23" i="9"/>
  <c r="F64" i="9"/>
  <c r="H64" i="9" s="1"/>
  <c r="I64" i="9" s="1"/>
  <c r="F41" i="9"/>
  <c r="H41" i="9" s="1"/>
  <c r="I41" i="9" s="1"/>
  <c r="M4" i="9"/>
  <c r="N4" i="9" s="1"/>
  <c r="F35" i="9"/>
  <c r="H35" i="9" s="1"/>
  <c r="I35" i="9" s="1"/>
  <c r="M79" i="9"/>
  <c r="M81" i="9"/>
  <c r="M80" i="9"/>
  <c r="M28" i="9"/>
  <c r="M25" i="9"/>
  <c r="M26" i="9"/>
  <c r="M27" i="9"/>
  <c r="F34" i="9"/>
  <c r="H34" i="9" s="1"/>
  <c r="I34" i="9" s="1"/>
  <c r="F28" i="9"/>
  <c r="H28" i="9" s="1"/>
  <c r="I28" i="9" s="1"/>
  <c r="F18" i="9"/>
  <c r="H18" i="9" s="1"/>
  <c r="I18" i="9" s="1"/>
  <c r="M35" i="9"/>
  <c r="M39" i="9"/>
  <c r="M40" i="9"/>
  <c r="M38" i="9"/>
  <c r="F50" i="9"/>
  <c r="H50" i="9" s="1"/>
  <c r="I50" i="9" s="1"/>
  <c r="M11" i="9"/>
  <c r="N11" i="9" s="1"/>
  <c r="F73" i="9"/>
  <c r="H73" i="9" s="1"/>
  <c r="I73" i="9" s="1"/>
  <c r="M43" i="9"/>
  <c r="F38" i="9"/>
  <c r="H38" i="9" s="1"/>
  <c r="I38" i="9" s="1"/>
  <c r="M10" i="9"/>
  <c r="F70" i="9"/>
  <c r="H70" i="9" s="1"/>
  <c r="I70" i="9" s="1"/>
  <c r="F48" i="9"/>
  <c r="H48" i="9" s="1"/>
  <c r="I48" i="9" s="1"/>
  <c r="F57" i="9"/>
  <c r="H57" i="9" s="1"/>
  <c r="I57" i="9" s="1"/>
  <c r="F37" i="9"/>
  <c r="H37" i="9" s="1"/>
  <c r="I37" i="9" s="1"/>
  <c r="F61" i="9"/>
  <c r="H61" i="9" s="1"/>
  <c r="I61" i="9" s="1"/>
  <c r="F78" i="9"/>
  <c r="H78" i="9" s="1"/>
  <c r="I78" i="9" s="1"/>
  <c r="M53" i="9"/>
  <c r="M54" i="9"/>
  <c r="M55" i="9"/>
  <c r="F88" i="9"/>
  <c r="H88" i="9" s="1"/>
  <c r="I88" i="9" s="1"/>
  <c r="F86" i="9"/>
  <c r="H86" i="9" s="1"/>
  <c r="I86" i="9" s="1"/>
  <c r="F22" i="9"/>
  <c r="H22" i="9" s="1"/>
  <c r="I22" i="9" s="1"/>
  <c r="F27" i="9"/>
  <c r="H27" i="9" s="1"/>
  <c r="I27" i="9" s="1"/>
  <c r="F19" i="9"/>
  <c r="H19" i="9" s="1"/>
  <c r="I19" i="9" s="1"/>
  <c r="F21" i="9"/>
  <c r="H21" i="9" s="1"/>
  <c r="I21" i="9" s="1"/>
  <c r="F33" i="9"/>
  <c r="H33" i="9" s="1"/>
  <c r="I33" i="9" s="1"/>
  <c r="M13" i="9"/>
  <c r="N13" i="9" s="1"/>
  <c r="F36" i="9"/>
  <c r="H36" i="9" s="1"/>
  <c r="I36" i="9" s="1"/>
  <c r="M47" i="9"/>
  <c r="M48" i="9"/>
  <c r="F51" i="9"/>
  <c r="H51" i="9" s="1"/>
  <c r="I51" i="9" s="1"/>
  <c r="F83" i="9"/>
  <c r="H83" i="9" s="1"/>
  <c r="I83" i="9" s="1"/>
  <c r="M45" i="9"/>
  <c r="M46" i="9"/>
  <c r="M73" i="9"/>
  <c r="M74" i="9"/>
  <c r="M75" i="9"/>
  <c r="M36" i="9"/>
  <c r="M37" i="9"/>
  <c r="M16" i="9"/>
  <c r="M17" i="9"/>
  <c r="M18" i="9"/>
  <c r="M19" i="9"/>
  <c r="M76" i="9"/>
  <c r="M77" i="9"/>
  <c r="M78" i="9"/>
  <c r="M49" i="9"/>
  <c r="M50" i="9"/>
  <c r="M51" i="9"/>
  <c r="M52" i="9"/>
  <c r="M70" i="9"/>
  <c r="M71" i="9"/>
  <c r="M72" i="9"/>
  <c r="M14" i="9"/>
  <c r="M15" i="9"/>
  <c r="M57" i="9"/>
  <c r="M58" i="9"/>
  <c r="M59" i="9"/>
  <c r="M56" i="9"/>
  <c r="M83" i="9"/>
  <c r="M85" i="9"/>
  <c r="M84" i="9"/>
  <c r="F53" i="9"/>
  <c r="H53" i="9" s="1"/>
  <c r="I53" i="9" s="1"/>
  <c r="F14" i="9"/>
  <c r="H14" i="9" s="1"/>
  <c r="I14" i="9" s="1"/>
  <c r="F16" i="9"/>
  <c r="H16" i="9" s="1"/>
  <c r="I16" i="9" s="1"/>
  <c r="M2" i="9"/>
  <c r="N2" i="9" s="1"/>
  <c r="F76" i="9"/>
  <c r="H76" i="9" s="1"/>
  <c r="I76" i="9" s="1"/>
  <c r="M3" i="9"/>
  <c r="N3" i="9" s="1"/>
  <c r="F20" i="9"/>
  <c r="H20" i="9" s="1"/>
  <c r="I20" i="9" s="1"/>
  <c r="F63" i="9"/>
  <c r="H63" i="9" s="1"/>
  <c r="I63" i="9" s="1"/>
  <c r="F75" i="9"/>
  <c r="H75" i="9" s="1"/>
  <c r="I75" i="9" s="1"/>
  <c r="F55" i="9"/>
  <c r="H55" i="9" s="1"/>
  <c r="I55" i="9" s="1"/>
  <c r="F47" i="9"/>
  <c r="H47" i="9" s="1"/>
  <c r="I47" i="9" s="1"/>
  <c r="F81" i="9"/>
  <c r="H81" i="9" s="1"/>
  <c r="I81" i="9" s="1"/>
  <c r="F69" i="9"/>
  <c r="H69" i="9" s="1"/>
  <c r="I69" i="9" s="1"/>
  <c r="F59" i="9"/>
  <c r="H59" i="9" s="1"/>
  <c r="I59" i="9" s="1"/>
  <c r="F72" i="9"/>
  <c r="H72" i="9" s="1"/>
  <c r="I72" i="9" s="1"/>
  <c r="M69" i="9"/>
  <c r="M67" i="9"/>
  <c r="M68" i="9"/>
  <c r="F40" i="9"/>
  <c r="H40" i="9" s="1"/>
  <c r="I40" i="9" s="1"/>
  <c r="M44" i="9"/>
  <c r="F23" i="9"/>
  <c r="H23" i="9" s="1"/>
  <c r="I23" i="9" s="1"/>
  <c r="F25" i="9"/>
  <c r="H25" i="9" s="1"/>
  <c r="I25" i="9" s="1"/>
  <c r="F60" i="9"/>
  <c r="H60" i="9" s="1"/>
  <c r="I60" i="9" s="1"/>
  <c r="M5" i="9"/>
  <c r="N5" i="9" s="1"/>
  <c r="M31" i="9"/>
  <c r="M32" i="9"/>
  <c r="M33" i="9"/>
  <c r="M34" i="9"/>
  <c r="M9" i="9"/>
  <c r="N9" i="9" s="1"/>
  <c r="F67" i="9"/>
  <c r="H67" i="9" s="1"/>
  <c r="I67" i="9" s="1"/>
  <c r="M82" i="9"/>
  <c r="N82" i="9" s="1"/>
  <c r="F84" i="9"/>
  <c r="H84" i="9" s="1"/>
  <c r="I84" i="9" s="1"/>
  <c r="F56" i="9"/>
  <c r="H56" i="9" s="1"/>
  <c r="I56" i="9" s="1"/>
  <c r="F31" i="9"/>
  <c r="H31" i="9" s="1"/>
  <c r="I31" i="9" s="1"/>
  <c r="M6" i="9"/>
  <c r="N6" i="9" s="1"/>
  <c r="F29" i="9"/>
  <c r="H29" i="9" s="1"/>
  <c r="I29" i="9" s="1"/>
  <c r="F89" i="9"/>
  <c r="H89" i="9" s="1"/>
  <c r="I89" i="9" s="1"/>
  <c r="F52" i="9"/>
  <c r="H52" i="9" s="1"/>
  <c r="I52" i="9" s="1"/>
  <c r="F87" i="9"/>
  <c r="H87" i="9" s="1"/>
  <c r="I87" i="9" s="1"/>
  <c r="O7" i="9" l="1"/>
  <c r="J42" i="12" s="1"/>
  <c r="L42" i="12" s="1"/>
  <c r="D14" i="13" s="1"/>
  <c r="F39" i="12"/>
  <c r="N43" i="9"/>
  <c r="O43" i="9" s="1"/>
  <c r="J39" i="12" s="1"/>
  <c r="L39" i="12" s="1"/>
  <c r="D34" i="13" s="1"/>
  <c r="J35" i="9"/>
  <c r="F31" i="12" s="1"/>
  <c r="N44" i="9"/>
  <c r="I61" i="12" s="1"/>
  <c r="K61" i="12" s="1"/>
  <c r="J22" i="9"/>
  <c r="N22" i="9" s="1"/>
  <c r="I10" i="12" s="1"/>
  <c r="K10" i="12" s="1"/>
  <c r="N10" i="9"/>
  <c r="O10" i="9" s="1"/>
  <c r="J45" i="12" s="1"/>
  <c r="L45" i="12" s="1"/>
  <c r="D17" i="13" s="1"/>
  <c r="J38" i="9"/>
  <c r="N38" i="9" s="1"/>
  <c r="O6" i="9"/>
  <c r="J30" i="12" s="1"/>
  <c r="L30" i="12" s="1"/>
  <c r="D13" i="13" s="1"/>
  <c r="I30" i="12"/>
  <c r="K30" i="12" s="1"/>
  <c r="O9" i="9"/>
  <c r="J46" i="12" s="1"/>
  <c r="L46" i="12" s="1"/>
  <c r="D16" i="13" s="1"/>
  <c r="I46" i="12"/>
  <c r="K46" i="12" s="1"/>
  <c r="O2" i="9"/>
  <c r="J38" i="12" s="1"/>
  <c r="L38" i="12" s="1"/>
  <c r="D9" i="13" s="1"/>
  <c r="I38" i="12"/>
  <c r="K38" i="12" s="1"/>
  <c r="O3" i="9"/>
  <c r="J37" i="12" s="1"/>
  <c r="L37" i="12" s="1"/>
  <c r="D10" i="13" s="1"/>
  <c r="I37" i="12"/>
  <c r="K37" i="12" s="1"/>
  <c r="O11" i="9"/>
  <c r="J40" i="12" s="1"/>
  <c r="L40" i="12" s="1"/>
  <c r="D18" i="13" s="1"/>
  <c r="I40" i="12"/>
  <c r="K40" i="12" s="1"/>
  <c r="O82" i="9"/>
  <c r="J4" i="12" s="1"/>
  <c r="L4" i="12" s="1"/>
  <c r="D47" i="13" s="1"/>
  <c r="I4" i="12"/>
  <c r="K4" i="12" s="1"/>
  <c r="O4" i="9"/>
  <c r="J36" i="12" s="1"/>
  <c r="L36" i="12" s="1"/>
  <c r="D11" i="13" s="1"/>
  <c r="I36" i="12"/>
  <c r="K36" i="12" s="1"/>
  <c r="O5" i="9"/>
  <c r="J43" i="12" s="1"/>
  <c r="L43" i="12" s="1"/>
  <c r="D12" i="13" s="1"/>
  <c r="I43" i="12"/>
  <c r="K43" i="12" s="1"/>
  <c r="O13" i="9"/>
  <c r="J59" i="12" s="1"/>
  <c r="L59" i="12" s="1"/>
  <c r="D20" i="13" s="1"/>
  <c r="I59" i="12"/>
  <c r="K59" i="12" s="1"/>
  <c r="O8" i="9"/>
  <c r="J2" i="12" s="1"/>
  <c r="L2" i="12" s="1"/>
  <c r="D15" i="13" s="1"/>
  <c r="I2" i="12"/>
  <c r="K2" i="12" s="1"/>
  <c r="J39" i="9"/>
  <c r="C47" i="13" l="1"/>
  <c r="C20" i="13"/>
  <c r="C9" i="13"/>
  <c r="N35" i="9"/>
  <c r="I31" i="12" s="1"/>
  <c r="K31" i="12" s="1"/>
  <c r="C14" i="13"/>
  <c r="C11" i="13"/>
  <c r="C13" i="13"/>
  <c r="C18" i="13"/>
  <c r="C24" i="13"/>
  <c r="C15" i="13"/>
  <c r="C10" i="13"/>
  <c r="C12" i="13"/>
  <c r="C16" i="13"/>
  <c r="I39" i="12"/>
  <c r="K39" i="12" s="1"/>
  <c r="C34" i="13" s="1"/>
  <c r="O44" i="9"/>
  <c r="J61" i="12" s="1"/>
  <c r="L61" i="12" s="1"/>
  <c r="D35" i="13" s="1"/>
  <c r="F10" i="12"/>
  <c r="C23" i="14" s="1"/>
  <c r="F23" i="14" s="1"/>
  <c r="G23" i="14" s="1"/>
  <c r="F29" i="12"/>
  <c r="I45" i="12"/>
  <c r="K45" i="12" s="1"/>
  <c r="C17" i="13" s="1"/>
  <c r="J86" i="9"/>
  <c r="N86" i="9" s="1"/>
  <c r="J51" i="9"/>
  <c r="N51" i="9" s="1"/>
  <c r="O51" i="9" s="1"/>
  <c r="J87" i="9"/>
  <c r="N87" i="9" s="1"/>
  <c r="O87" i="9" s="1"/>
  <c r="N39" i="9"/>
  <c r="F33" i="12"/>
  <c r="O35" i="9"/>
  <c r="J31" i="12" s="1"/>
  <c r="L31" i="12" s="1"/>
  <c r="D29" i="13" s="1"/>
  <c r="O38" i="9"/>
  <c r="J29" i="12" s="1"/>
  <c r="L29" i="12" s="1"/>
  <c r="D31" i="13" s="1"/>
  <c r="I29" i="12"/>
  <c r="K29" i="12" s="1"/>
  <c r="J24" i="9"/>
  <c r="N24" i="9" s="1"/>
  <c r="J54" i="9"/>
  <c r="N54" i="9" s="1"/>
  <c r="J15" i="9"/>
  <c r="N15" i="9" s="1"/>
  <c r="J42" i="9"/>
  <c r="N42" i="9" s="1"/>
  <c r="O42" i="9" s="1"/>
  <c r="J40" i="9"/>
  <c r="N40" i="9" s="1"/>
  <c r="O40" i="9" s="1"/>
  <c r="J81" i="9"/>
  <c r="N81" i="9" s="1"/>
  <c r="O81" i="9" s="1"/>
  <c r="J80" i="9"/>
  <c r="N80" i="9" s="1"/>
  <c r="O80" i="9" s="1"/>
  <c r="J79" i="9"/>
  <c r="J23" i="9"/>
  <c r="J48" i="9"/>
  <c r="N48" i="9" s="1"/>
  <c r="O48" i="9" s="1"/>
  <c r="J47" i="9"/>
  <c r="N47" i="9" s="1"/>
  <c r="O47" i="9" s="1"/>
  <c r="J45" i="9"/>
  <c r="J46" i="9"/>
  <c r="N46" i="9" s="1"/>
  <c r="O46" i="9" s="1"/>
  <c r="J55" i="9"/>
  <c r="N55" i="9" s="1"/>
  <c r="J53" i="9"/>
  <c r="J71" i="9"/>
  <c r="N71" i="9" s="1"/>
  <c r="J70" i="9"/>
  <c r="J72" i="9"/>
  <c r="N72" i="9" s="1"/>
  <c r="J14" i="9"/>
  <c r="J77" i="9"/>
  <c r="N77" i="9" s="1"/>
  <c r="J78" i="9"/>
  <c r="N78" i="9" s="1"/>
  <c r="J76" i="9"/>
  <c r="J16" i="9"/>
  <c r="J18" i="9"/>
  <c r="N18" i="9" s="1"/>
  <c r="J19" i="9"/>
  <c r="N19" i="9" s="1"/>
  <c r="J17" i="9"/>
  <c r="N17" i="9" s="1"/>
  <c r="J41" i="9"/>
  <c r="J74" i="9"/>
  <c r="N74" i="9" s="1"/>
  <c r="J73" i="9"/>
  <c r="J75" i="9"/>
  <c r="N75" i="9" s="1"/>
  <c r="J21" i="9"/>
  <c r="N21" i="9" s="1"/>
  <c r="J20" i="9"/>
  <c r="J27" i="9"/>
  <c r="N27" i="9" s="1"/>
  <c r="J28" i="9"/>
  <c r="N28" i="9" s="1"/>
  <c r="J25" i="9"/>
  <c r="J26" i="9"/>
  <c r="N26" i="9" s="1"/>
  <c r="J52" i="9"/>
  <c r="N52" i="9" s="1"/>
  <c r="O52" i="9" s="1"/>
  <c r="J49" i="9"/>
  <c r="J30" i="9"/>
  <c r="N30" i="9" s="1"/>
  <c r="J29" i="9"/>
  <c r="J63" i="9"/>
  <c r="N63" i="9" s="1"/>
  <c r="J62" i="9"/>
  <c r="N62" i="9" s="1"/>
  <c r="J60" i="9"/>
  <c r="J61" i="9"/>
  <c r="N61" i="9" s="1"/>
  <c r="J56" i="9"/>
  <c r="J57" i="9"/>
  <c r="N57" i="9" s="1"/>
  <c r="J59" i="9"/>
  <c r="N59" i="9" s="1"/>
  <c r="J58" i="9"/>
  <c r="N58" i="9" s="1"/>
  <c r="J89" i="9"/>
  <c r="N89" i="9" s="1"/>
  <c r="O89" i="9" s="1"/>
  <c r="J90" i="9"/>
  <c r="N90" i="9" s="1"/>
  <c r="O90" i="9" s="1"/>
  <c r="J88" i="9"/>
  <c r="J50" i="9"/>
  <c r="N50" i="9" s="1"/>
  <c r="O50" i="9" s="1"/>
  <c r="J83" i="9"/>
  <c r="J85" i="9"/>
  <c r="N85" i="9" s="1"/>
  <c r="O85" i="9" s="1"/>
  <c r="J84" i="9"/>
  <c r="N84" i="9" s="1"/>
  <c r="O84" i="9" s="1"/>
  <c r="J69" i="9"/>
  <c r="N69" i="9" s="1"/>
  <c r="J67" i="9"/>
  <c r="J68" i="9"/>
  <c r="N68" i="9" s="1"/>
  <c r="J32" i="9"/>
  <c r="N32" i="9" s="1"/>
  <c r="J33" i="9"/>
  <c r="N33" i="9" s="1"/>
  <c r="J34" i="9"/>
  <c r="N34" i="9" s="1"/>
  <c r="J31" i="9"/>
  <c r="J37" i="9"/>
  <c r="N37" i="9" s="1"/>
  <c r="O37" i="9" s="1"/>
  <c r="J36" i="9"/>
  <c r="J65" i="9"/>
  <c r="N65" i="9" s="1"/>
  <c r="J66" i="9"/>
  <c r="N66" i="9" s="1"/>
  <c r="J64" i="9"/>
  <c r="C31" i="13" l="1"/>
  <c r="C29" i="13"/>
  <c r="C35" i="13"/>
  <c r="F5" i="12"/>
  <c r="N29" i="9"/>
  <c r="I13" i="12" s="1"/>
  <c r="K13" i="12" s="1"/>
  <c r="F13" i="12"/>
  <c r="C14" i="14" s="1"/>
  <c r="F14" i="14" s="1"/>
  <c r="G14" i="14" s="1"/>
  <c r="N88" i="9"/>
  <c r="F6" i="12"/>
  <c r="N41" i="9"/>
  <c r="F41" i="12"/>
  <c r="N53" i="9"/>
  <c r="I15" i="12" s="1"/>
  <c r="K15" i="12" s="1"/>
  <c r="F15" i="12"/>
  <c r="C9" i="14" s="1"/>
  <c r="F9" i="14" s="1"/>
  <c r="G9" i="14" s="1"/>
  <c r="N45" i="9"/>
  <c r="F28" i="12"/>
  <c r="O86" i="9"/>
  <c r="J5" i="12" s="1"/>
  <c r="I5" i="12"/>
  <c r="N25" i="9"/>
  <c r="I12" i="12" s="1"/>
  <c r="K12" i="12" s="1"/>
  <c r="F12" i="12"/>
  <c r="C10" i="14" s="1"/>
  <c r="F10" i="14" s="1"/>
  <c r="G10" i="14" s="1"/>
  <c r="N16" i="9"/>
  <c r="I8" i="12" s="1"/>
  <c r="K8" i="12" s="1"/>
  <c r="F8" i="12"/>
  <c r="C16" i="14" s="1"/>
  <c r="F16" i="14" s="1"/>
  <c r="G16" i="14" s="1"/>
  <c r="N31" i="9"/>
  <c r="I14" i="12" s="1"/>
  <c r="K14" i="12" s="1"/>
  <c r="F14" i="12"/>
  <c r="C15" i="14" s="1"/>
  <c r="F15" i="14" s="1"/>
  <c r="G15" i="14" s="1"/>
  <c r="N76" i="9"/>
  <c r="I22" i="12" s="1"/>
  <c r="K22" i="12" s="1"/>
  <c r="F22" i="12"/>
  <c r="C7" i="14" s="1"/>
  <c r="F7" i="14" s="1"/>
  <c r="G7" i="14" s="1"/>
  <c r="N23" i="9"/>
  <c r="I11" i="12" s="1"/>
  <c r="K11" i="12" s="1"/>
  <c r="F11" i="12"/>
  <c r="C3" i="14" s="1"/>
  <c r="F3" i="14" s="1"/>
  <c r="G3" i="14" s="1"/>
  <c r="N49" i="9"/>
  <c r="F25" i="12"/>
  <c r="N20" i="9"/>
  <c r="I9" i="12" s="1"/>
  <c r="K9" i="12" s="1"/>
  <c r="F9" i="12"/>
  <c r="C18" i="14" s="1"/>
  <c r="F18" i="14" s="1"/>
  <c r="G18" i="14" s="1"/>
  <c r="N79" i="9"/>
  <c r="F23" i="12"/>
  <c r="C17" i="14" s="1"/>
  <c r="N36" i="9"/>
  <c r="F32" i="12"/>
  <c r="N67" i="9"/>
  <c r="I19" i="12" s="1"/>
  <c r="K19" i="12" s="1"/>
  <c r="F19" i="12"/>
  <c r="C2" i="14" s="1"/>
  <c r="F2" i="14" s="1"/>
  <c r="G2" i="14" s="1"/>
  <c r="N64" i="9"/>
  <c r="I18" i="12" s="1"/>
  <c r="K18" i="12" s="1"/>
  <c r="F18" i="12"/>
  <c r="C8" i="14" s="1"/>
  <c r="F8" i="14" s="1"/>
  <c r="G8" i="14" s="1"/>
  <c r="N60" i="9"/>
  <c r="I17" i="12" s="1"/>
  <c r="K17" i="12" s="1"/>
  <c r="F17" i="12"/>
  <c r="C4" i="14" s="1"/>
  <c r="F4" i="14" s="1"/>
  <c r="G4" i="14" s="1"/>
  <c r="N14" i="9"/>
  <c r="I7" i="12" s="1"/>
  <c r="K7" i="12" s="1"/>
  <c r="F7" i="12"/>
  <c r="C12" i="14" s="1"/>
  <c r="F12" i="14" s="1"/>
  <c r="G12" i="14" s="1"/>
  <c r="N56" i="9"/>
  <c r="I16" i="12" s="1"/>
  <c r="K16" i="12" s="1"/>
  <c r="F16" i="12"/>
  <c r="C13" i="14" s="1"/>
  <c r="F13" i="14" s="1"/>
  <c r="G13" i="14" s="1"/>
  <c r="N83" i="9"/>
  <c r="F24" i="12"/>
  <c r="N73" i="9"/>
  <c r="I21" i="12" s="1"/>
  <c r="K21" i="12" s="1"/>
  <c r="F21" i="12"/>
  <c r="C6" i="14" s="1"/>
  <c r="F6" i="14" s="1"/>
  <c r="G6" i="14" s="1"/>
  <c r="N70" i="9"/>
  <c r="I20" i="12" s="1"/>
  <c r="K20" i="12" s="1"/>
  <c r="F20" i="12"/>
  <c r="C5" i="14" s="1"/>
  <c r="F5" i="14" s="1"/>
  <c r="G5" i="14" s="1"/>
  <c r="O39" i="9"/>
  <c r="J33" i="12" s="1"/>
  <c r="L33" i="12" s="1"/>
  <c r="D32" i="13" s="1"/>
  <c r="I33" i="12"/>
  <c r="K33" i="12" s="1"/>
  <c r="C32" i="13" l="1"/>
  <c r="C41" i="13"/>
  <c r="C45" i="13"/>
  <c r="C28" i="13"/>
  <c r="C25" i="13"/>
  <c r="C39" i="13"/>
  <c r="C43" i="13"/>
  <c r="C44" i="13"/>
  <c r="C38" i="13"/>
  <c r="C22" i="13"/>
  <c r="C21" i="13"/>
  <c r="C23" i="13"/>
  <c r="C26" i="13"/>
  <c r="C27" i="13"/>
  <c r="C42" i="13"/>
  <c r="C40" i="13"/>
  <c r="O45" i="9"/>
  <c r="J28" i="12" s="1"/>
  <c r="L28" i="12" s="1"/>
  <c r="D36" i="13" s="1"/>
  <c r="I28" i="12"/>
  <c r="K28" i="12" s="1"/>
  <c r="C36" i="13" s="1"/>
  <c r="O83" i="9"/>
  <c r="J24" i="12" s="1"/>
  <c r="L24" i="12" s="1"/>
  <c r="D48" i="13" s="1"/>
  <c r="I24" i="12"/>
  <c r="K24" i="12" s="1"/>
  <c r="C48" i="13" s="1"/>
  <c r="O41" i="9"/>
  <c r="J41" i="12" s="1"/>
  <c r="L41" i="12" s="1"/>
  <c r="D33" i="13" s="1"/>
  <c r="I41" i="12"/>
  <c r="K41" i="12" s="1"/>
  <c r="O88" i="9"/>
  <c r="J6" i="12" s="1"/>
  <c r="L6" i="12" s="1"/>
  <c r="I6" i="12"/>
  <c r="K6" i="12" s="1"/>
  <c r="O36" i="9"/>
  <c r="J32" i="12" s="1"/>
  <c r="L32" i="12" s="1"/>
  <c r="D30" i="13" s="1"/>
  <c r="I32" i="12"/>
  <c r="K32" i="12" s="1"/>
  <c r="O79" i="9"/>
  <c r="J23" i="12" s="1"/>
  <c r="L23" i="12" s="1"/>
  <c r="D46" i="13" s="1"/>
  <c r="I23" i="12"/>
  <c r="K23" i="12" s="1"/>
  <c r="O49" i="9"/>
  <c r="J25" i="12" s="1"/>
  <c r="L25" i="12" s="1"/>
  <c r="D37" i="13" s="1"/>
  <c r="I25" i="12"/>
  <c r="K25" i="12" s="1"/>
  <c r="C37" i="13" s="1"/>
  <c r="C30" i="13" l="1"/>
  <c r="C33" i="13"/>
  <c r="C46" i="13"/>
  <c r="K5" i="12"/>
  <c r="C49" i="13" s="1"/>
  <c r="L5" i="12"/>
  <c r="D49" i="1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CB743E-1B76-4DA7-A29B-8F03AA5B49A9}" keepAlive="1" name="Query - pixels_api" description="Connection to the 'pixels_api' query in the workbook." type="5" refreshedVersion="8" background="1" saveData="1">
    <dbPr connection="Provider=Microsoft.Mashup.OleDb.1;Data Source=$Workbook$;Location=pixels_api;Extended Properties=&quot;&quot;" command="SELECT * FROM [pixels_api]"/>
  </connection>
</connections>
</file>

<file path=xl/sharedStrings.xml><?xml version="1.0" encoding="utf-8"?>
<sst xmlns="http://schemas.openxmlformats.org/spreadsheetml/2006/main" count="1018" uniqueCount="329">
  <si>
    <t>INDUSTRY</t>
  </si>
  <si>
    <t>PRODUCT</t>
  </si>
  <si>
    <t>aviculture</t>
  </si>
  <si>
    <t>Egg</t>
  </si>
  <si>
    <t>PRODUCT ID</t>
  </si>
  <si>
    <t>TOTAL COST PER PRODUCT</t>
  </si>
  <si>
    <t>DROPRATE</t>
  </si>
  <si>
    <t>MP</t>
  </si>
  <si>
    <t>PROFIT</t>
  </si>
  <si>
    <t>Pancakes</t>
  </si>
  <si>
    <t>Butterberry</t>
  </si>
  <si>
    <t>product</t>
  </si>
  <si>
    <t>price</t>
  </si>
  <si>
    <t>itm_4_leaf_cloveregano</t>
  </si>
  <si>
    <t>itm_Bomb_Shell</t>
  </si>
  <si>
    <t>itm_Fireplace</t>
  </si>
  <si>
    <t>itm_Glue</t>
  </si>
  <si>
    <t>itm_Iron_Bar</t>
  </si>
  <si>
    <t>itm_Iron_Ore</t>
  </si>
  <si>
    <t>itm_Marble</t>
  </si>
  <si>
    <t>itm_Shrapnel</t>
  </si>
  <si>
    <t>itm_Vinegar</t>
  </si>
  <si>
    <t>itm_Wooden_Stool</t>
  </si>
  <si>
    <t>itm_Wooden_Throne</t>
  </si>
  <si>
    <t>itm_beeswax</t>
  </si>
  <si>
    <t>itm_brick</t>
  </si>
  <si>
    <t>itm_butterberry</t>
  </si>
  <si>
    <t>itm_butterberry_butterbrew</t>
  </si>
  <si>
    <t>itm_clay</t>
  </si>
  <si>
    <t>itm_clover4LeafFruit</t>
  </si>
  <si>
    <t>itm_cloverFruit</t>
  </si>
  <si>
    <t>itm_coffeepod</t>
  </si>
  <si>
    <t>itm_constructionPowder</t>
  </si>
  <si>
    <t>itm_cottoncandyshake</t>
  </si>
  <si>
    <t>itm_craftingPowder</t>
  </si>
  <si>
    <t>itm_cunstruction_cone</t>
  </si>
  <si>
    <t>itm_dry_baby_back_butterberry_ribs</t>
  </si>
  <si>
    <t>itm_dry_honey_kissed_popberry_chops</t>
  </si>
  <si>
    <t>itm_dry_maple_glazed_grumpkin_slabs</t>
  </si>
  <si>
    <t>itm_dry_pulled_muckchuck_platter</t>
  </si>
  <si>
    <t>itm_dry_salt_encrusted_scarrot_skewers</t>
  </si>
  <si>
    <t>itm_egg</t>
  </si>
  <si>
    <t>itm_eggsplosive</t>
  </si>
  <si>
    <t>itm_fertilizer</t>
  </si>
  <si>
    <t>itm_flour</t>
  </si>
  <si>
    <t>itm_grainbow</t>
  </si>
  <si>
    <t>itm_grainbow_grainshine</t>
  </si>
  <si>
    <t>itm_grumpFruit</t>
  </si>
  <si>
    <t>itm_grumpkinFruit</t>
  </si>
  <si>
    <t>itm_grumpkinLoaf</t>
  </si>
  <si>
    <t>itm_grumpkinPie</t>
  </si>
  <si>
    <t>itm_grumpkingspicedlatte</t>
  </si>
  <si>
    <t>itm_grumpkinwine</t>
  </si>
  <si>
    <t>itm_hard_wood</t>
  </si>
  <si>
    <t>itm_hardwood_smoked_bbq_sauce</t>
  </si>
  <si>
    <t>itm_honey</t>
  </si>
  <si>
    <t>itm_honey_bbq_sauce</t>
  </si>
  <si>
    <t>itm_hot_sauce</t>
  </si>
  <si>
    <t>itm_hotato</t>
  </si>
  <si>
    <t>itm_hotato_hotka</t>
  </si>
  <si>
    <t>itm_limestone_paving_stones</t>
  </si>
  <si>
    <t>itm_moist_broiled_muckchuck_burgers</t>
  </si>
  <si>
    <t>itm_moist_honey_kissed_grumpkin_chops</t>
  </si>
  <si>
    <t>itm_moist_maple_glazed_scarrot_slabs</t>
  </si>
  <si>
    <t>itm_moist_salt_encrusted_popberry_skewers</t>
  </si>
  <si>
    <t>itm_moist_scarrot_butterberry_kebabs</t>
  </si>
  <si>
    <t>itm_muckchuck</t>
  </si>
  <si>
    <t>itm_muckchuck_mead</t>
  </si>
  <si>
    <t>itm_multiBlock</t>
  </si>
  <si>
    <t>itm_multiMushroom</t>
  </si>
  <si>
    <t>itm_pancakes</t>
  </si>
  <si>
    <t>itm_plain_omelet</t>
  </si>
  <si>
    <t>itm_plank</t>
  </si>
  <si>
    <t>itm_plaster</t>
  </si>
  <si>
    <t>itm_popberryFruit</t>
  </si>
  <si>
    <t>itm_popberryLoaf</t>
  </si>
  <si>
    <t>itm_popberryPie</t>
  </si>
  <si>
    <t>itm_popberrywine</t>
  </si>
  <si>
    <t>itm_queenbee</t>
  </si>
  <si>
    <t>itm_scarrotFruit</t>
  </si>
  <si>
    <t>itm_scarrotLoaf</t>
  </si>
  <si>
    <t>itm_scarrotPie</t>
  </si>
  <si>
    <t>itm_scarrotwine</t>
  </si>
  <si>
    <t>itm_seltsamEgg</t>
  </si>
  <si>
    <t>itm_shorelimeFruit</t>
  </si>
  <si>
    <t>itm_shorelimeSeeds</t>
  </si>
  <si>
    <t>itm_silkcloth</t>
  </si>
  <si>
    <t>itm_silkfiber</t>
  </si>
  <si>
    <t>itm_silkrope</t>
  </si>
  <si>
    <t>itm_silkslugslime</t>
  </si>
  <si>
    <t>itm_silkslugspider</t>
  </si>
  <si>
    <t>itm_spicy_bbq_sauce</t>
  </si>
  <si>
    <t>itm_starry_butterberry_brisket</t>
  </si>
  <si>
    <t>itm_starry_grilled_hotato_kielbasa</t>
  </si>
  <si>
    <t>itm_starry_honey_kissed_scarrot_chops</t>
  </si>
  <si>
    <t>itm_starry_maple_glazed_popberry_slabs</t>
  </si>
  <si>
    <t>itm_starry_salt_encrusted_grumpkin_skewers</t>
  </si>
  <si>
    <t>itm_stick</t>
  </si>
  <si>
    <t>itm_storageChest6Slot</t>
  </si>
  <si>
    <t>itm_syrup</t>
  </si>
  <si>
    <t>itm_tangy_bbq_sauce</t>
  </si>
  <si>
    <t>itm_tenta</t>
  </si>
  <si>
    <t>itm_tentacactus</t>
  </si>
  <si>
    <t>itm_tentacactus_tequila</t>
  </si>
  <si>
    <t>itm_textilemillblueprints</t>
  </si>
  <si>
    <t>itm_traditional_bbq_sauce</t>
  </si>
  <si>
    <t>itm_tree_sap</t>
  </si>
  <si>
    <t>itm_void</t>
  </si>
  <si>
    <t>itm_wintermintFruit</t>
  </si>
  <si>
    <t>itm_wintermint_whiskey</t>
  </si>
  <si>
    <t>itm_wood</t>
  </si>
  <si>
    <t>itm_woodenbeam</t>
  </si>
  <si>
    <t>item_id</t>
  </si>
  <si>
    <t>Fireplace</t>
  </si>
  <si>
    <t>Glue</t>
  </si>
  <si>
    <t>Shrapnel</t>
  </si>
  <si>
    <t>Vinegar</t>
  </si>
  <si>
    <t>product name</t>
  </si>
  <si>
    <t>Bomb Shell</t>
  </si>
  <si>
    <t>Wooden Stool</t>
  </si>
  <si>
    <t>Wooden Throne</t>
  </si>
  <si>
    <t>Brick</t>
  </si>
  <si>
    <t>Clay</t>
  </si>
  <si>
    <t>Dry Baby Back Butterberry Ribs</t>
  </si>
  <si>
    <t>Dry Pulled Muckchuck Platter</t>
  </si>
  <si>
    <t>Eggsplosive</t>
  </si>
  <si>
    <t>Fertilizer</t>
  </si>
  <si>
    <t>Flour</t>
  </si>
  <si>
    <t>Grainbow</t>
  </si>
  <si>
    <t>Hardwood Smoked Bbq Sauce</t>
  </si>
  <si>
    <t>Honey</t>
  </si>
  <si>
    <t>Honey Bbq Sauce</t>
  </si>
  <si>
    <t>Hot Sauce</t>
  </si>
  <si>
    <t>Hotato</t>
  </si>
  <si>
    <t>Moist Broiled Muckchuck Burgers</t>
  </si>
  <si>
    <t>Muckchuck</t>
  </si>
  <si>
    <t>Muckchuck Mead</t>
  </si>
  <si>
    <t>Multiblock</t>
  </si>
  <si>
    <t>Plain Omelet</t>
  </si>
  <si>
    <t>Plank</t>
  </si>
  <si>
    <t>Plaster</t>
  </si>
  <si>
    <t>Shorelimefruit</t>
  </si>
  <si>
    <t>Shorelimeseeds</t>
  </si>
  <si>
    <t>Spicy Bbq Sauce</t>
  </si>
  <si>
    <t>Starry Butterberry Brisket</t>
  </si>
  <si>
    <t>Starry Grilled Hotato Kielbasa</t>
  </si>
  <si>
    <t>Stick</t>
  </si>
  <si>
    <t>Syrup</t>
  </si>
  <si>
    <t>Tangy Bbq Sauce</t>
  </si>
  <si>
    <t>Traditional Bbq Sauce</t>
  </si>
  <si>
    <t>Queen Bee</t>
  </si>
  <si>
    <t>Sap</t>
  </si>
  <si>
    <t>Salt Block</t>
  </si>
  <si>
    <t>Wax</t>
  </si>
  <si>
    <t>Ironite</t>
  </si>
  <si>
    <t>Grumpkin</t>
  </si>
  <si>
    <t>Watermint</t>
  </si>
  <si>
    <t>Butterbrew</t>
  </si>
  <si>
    <t>Multi Mushroom</t>
  </si>
  <si>
    <t>Voidtonium</t>
  </si>
  <si>
    <t>Watermint Whisky</t>
  </si>
  <si>
    <t>Seltsam Egg</t>
  </si>
  <si>
    <t>Popberry</t>
  </si>
  <si>
    <t>4 Leaf Clover</t>
  </si>
  <si>
    <t>Hardwood</t>
  </si>
  <si>
    <t>Silk Cloth</t>
  </si>
  <si>
    <t>Construction Powder</t>
  </si>
  <si>
    <t>Silk Slug Spider</t>
  </si>
  <si>
    <t>Astracactus Tequila</t>
  </si>
  <si>
    <t>Popberry Wine</t>
  </si>
  <si>
    <t>Grumpkin Wine</t>
  </si>
  <si>
    <t>Silk Slug Slime</t>
  </si>
  <si>
    <t>Silk Rope</t>
  </si>
  <si>
    <t>Grainshine</t>
  </si>
  <si>
    <t>Hotka</t>
  </si>
  <si>
    <t>6 Slot Storage Chest</t>
  </si>
  <si>
    <t>4-Leaf Cloveregano</t>
  </si>
  <si>
    <t>Astracactus</t>
  </si>
  <si>
    <t>Wooden Beam</t>
  </si>
  <si>
    <t>Grumpkin Pie</t>
  </si>
  <si>
    <t>Silk Fiber</t>
  </si>
  <si>
    <t>Ironite Bar</t>
  </si>
  <si>
    <t>Grumpkin Loaf</t>
  </si>
  <si>
    <t>Scarrot</t>
  </si>
  <si>
    <t>Clover</t>
  </si>
  <si>
    <t>Scarrot Wine</t>
  </si>
  <si>
    <t>Cotton Candy Milkshake</t>
  </si>
  <si>
    <t>Scarrot Loaf</t>
  </si>
  <si>
    <t>Cooking Mix</t>
  </si>
  <si>
    <t>Moist Scarrot and Butterberry Kebabs</t>
  </si>
  <si>
    <t>Starry Honey-Kissed Scarrot Chops</t>
  </si>
  <si>
    <t>Crafting Mix</t>
  </si>
  <si>
    <t>Starry Maple-Glazed Popberry Slabs</t>
  </si>
  <si>
    <t>Astracactus Seeds</t>
  </si>
  <si>
    <t>Moist Maple-Glazed Scarrot Slabs</t>
  </si>
  <si>
    <t>Popberry Loaf</t>
  </si>
  <si>
    <t>Starry Salt-Encrusted Grumpkin Skewers</t>
  </si>
  <si>
    <t>Scarrot Pie</t>
  </si>
  <si>
    <t>Java Pod</t>
  </si>
  <si>
    <t>Moist Salt-Encrusted Popberry Skewers</t>
  </si>
  <si>
    <t>Dry Maple-Glazed Grumpkin Slabs</t>
  </si>
  <si>
    <t>Paving Stones, Limestone</t>
  </si>
  <si>
    <t>Popberry Pie</t>
  </si>
  <si>
    <t>Dry Salt-Encrusted Scarrot Skewers</t>
  </si>
  <si>
    <t>Dry Honey-Kissed Popberry Chops</t>
  </si>
  <si>
    <t>Moist Honey-Kissed Grumpkin Chops</t>
  </si>
  <si>
    <t>Construction Cone</t>
  </si>
  <si>
    <t>Softwood</t>
  </si>
  <si>
    <t>Textile Mill Blueprint</t>
  </si>
  <si>
    <t>Popberry Seeds</t>
  </si>
  <si>
    <t>Grainbow Seeds</t>
  </si>
  <si>
    <t>Grumpkin Seeds</t>
  </si>
  <si>
    <t>Scarrot Seeds</t>
  </si>
  <si>
    <t>Butterberry Seeds</t>
  </si>
  <si>
    <t>Hotato Seeds</t>
  </si>
  <si>
    <t>Muckchuck Seeds</t>
  </si>
  <si>
    <t>Watermint Seeds</t>
  </si>
  <si>
    <t>Clover Seeds</t>
  </si>
  <si>
    <t>Java Bean</t>
  </si>
  <si>
    <t>Grumpkin Spice Latte</t>
  </si>
  <si>
    <t>Astracactus tequila</t>
  </si>
  <si>
    <t>Beekeeping</t>
  </si>
  <si>
    <t>Slugging</t>
  </si>
  <si>
    <t>Foresting</t>
  </si>
  <si>
    <t>Farming</t>
  </si>
  <si>
    <t>Cooking</t>
  </si>
  <si>
    <t>Java Bean Seeds</t>
  </si>
  <si>
    <t>Kiln</t>
  </si>
  <si>
    <t>Granger</t>
  </si>
  <si>
    <t>Moomunch</t>
  </si>
  <si>
    <t>Winery</t>
  </si>
  <si>
    <t>Mining-w</t>
  </si>
  <si>
    <t>Mining-l</t>
  </si>
  <si>
    <t>Mining-s</t>
  </si>
  <si>
    <t>item</t>
  </si>
  <si>
    <t>Cow Milk</t>
  </si>
  <si>
    <t>Cow Turd</t>
  </si>
  <si>
    <t>Easter Egg</t>
  </si>
  <si>
    <t>Energy Drink</t>
  </si>
  <si>
    <t>Energy Drink Zero</t>
  </si>
  <si>
    <t>Grumpkin Spiced Latte</t>
  </si>
  <si>
    <t>Heartbeet</t>
  </si>
  <si>
    <t>Heartbeet Wine</t>
  </si>
  <si>
    <t>MooMunch</t>
  </si>
  <si>
    <t>Shorelime</t>
  </si>
  <si>
    <t>Shorelimeade</t>
  </si>
  <si>
    <t>Turkey Egg</t>
  </si>
  <si>
    <t>Farming-Popberry</t>
  </si>
  <si>
    <t>Farming-Butterberry</t>
  </si>
  <si>
    <t>Farming-Grainbow</t>
  </si>
  <si>
    <t>Farming-Scarrot</t>
  </si>
  <si>
    <t>Farming-Grumpkin</t>
  </si>
  <si>
    <t>Farming-Clover</t>
  </si>
  <si>
    <t>Farming-Hotato</t>
  </si>
  <si>
    <t>Farming-Watermint</t>
  </si>
  <si>
    <t>Farming-Astracactus</t>
  </si>
  <si>
    <t>Farming-Muckchuck</t>
  </si>
  <si>
    <t>Farming-Java Bean</t>
  </si>
  <si>
    <t>Farming-4 Leaf Clover</t>
  </si>
  <si>
    <t>Winery-Popberry Wine</t>
  </si>
  <si>
    <t>Winery-Grumpkin Wine</t>
  </si>
  <si>
    <t>Winery-Scarrot Wine</t>
  </si>
  <si>
    <t>Winery-Grainshine</t>
  </si>
  <si>
    <t>Winery-Watermint Whisky</t>
  </si>
  <si>
    <t>Winery-Astracactus Tequila</t>
  </si>
  <si>
    <t>Winery-Muckchuck Mead</t>
  </si>
  <si>
    <t>Winery-Butterbrew</t>
  </si>
  <si>
    <t>Cooking-Popberry Pie</t>
  </si>
  <si>
    <t>Cooking-Popberry Loaf</t>
  </si>
  <si>
    <t>Cooking-Pancakes</t>
  </si>
  <si>
    <t>Cooking-Plain Omelet</t>
  </si>
  <si>
    <t>Cooking-Scarrot Pie</t>
  </si>
  <si>
    <t>Cooking-Scarrot Loaf</t>
  </si>
  <si>
    <t>Cooking-Grumpkin Pie</t>
  </si>
  <si>
    <t>Cooking-Grumpkin Loaf</t>
  </si>
  <si>
    <t>Kiln-Ironite Bar</t>
  </si>
  <si>
    <t>Kiln-Brick</t>
  </si>
  <si>
    <t>Kiln-Glue</t>
  </si>
  <si>
    <t>Granger-Flour</t>
  </si>
  <si>
    <t>Granger-4-Leaf Cloveregano</t>
  </si>
  <si>
    <t>Granger-Shrapnel</t>
  </si>
  <si>
    <t>Granger-Construction Powder</t>
  </si>
  <si>
    <t>Granger-Moomunch</t>
  </si>
  <si>
    <t>DROP RATE</t>
  </si>
  <si>
    <t>ENERGY CONSUMPTION</t>
  </si>
  <si>
    <t>MARKET PRICE</t>
  </si>
  <si>
    <t>INGREDIENTS</t>
  </si>
  <si>
    <t>INGREDIENTS_QUANTITY</t>
  </si>
  <si>
    <t>INGREDIENTS MP</t>
  </si>
  <si>
    <t>INGREDIENTS TV_STORES</t>
  </si>
  <si>
    <t>itm_hay</t>
  </si>
  <si>
    <t>ITEM</t>
  </si>
  <si>
    <t>Price</t>
  </si>
  <si>
    <t>itm_milk</t>
  </si>
  <si>
    <t>itm_turd</t>
  </si>
  <si>
    <t>COST PER INGREDIENT</t>
  </si>
  <si>
    <t>MIN_COST PER  QNTY</t>
  </si>
  <si>
    <t>ENERGY NEEDED</t>
  </si>
  <si>
    <t>PRODUCT_MP VALUE</t>
  </si>
  <si>
    <t>Total cost</t>
  </si>
  <si>
    <t>PROFIT/ENERGY</t>
  </si>
  <si>
    <t>Woodwork</t>
  </si>
  <si>
    <t>Wood Beam</t>
  </si>
  <si>
    <t>Craft</t>
  </si>
  <si>
    <t>Resource</t>
  </si>
  <si>
    <t>INDUSTRY TYPE</t>
  </si>
  <si>
    <t xml:space="preserve"> ENERGY NEEDED</t>
  </si>
  <si>
    <t>QNTY</t>
  </si>
  <si>
    <t>PROFIT/energy</t>
  </si>
  <si>
    <t>ActualPE collect 140</t>
  </si>
  <si>
    <t>ResourceInvest</t>
  </si>
  <si>
    <t>No.of collect</t>
  </si>
  <si>
    <t>PE</t>
  </si>
  <si>
    <t>INDUSTRY_PE</t>
  </si>
  <si>
    <t>suib_industry</t>
  </si>
  <si>
    <t>sub_industry</t>
  </si>
  <si>
    <t>Kiln-Bomb Shell</t>
  </si>
  <si>
    <t>Winery-Hotka</t>
  </si>
  <si>
    <t>Woodwork-Plank</t>
  </si>
  <si>
    <t>Woodwork-6 Slot Storage Chest</t>
  </si>
  <si>
    <t>Woodwork-Wood Beam</t>
  </si>
  <si>
    <t>Industry_profit</t>
  </si>
  <si>
    <t>ENERGY</t>
  </si>
  <si>
    <t>crafting cost</t>
  </si>
  <si>
    <t>Market</t>
  </si>
  <si>
    <t>eNERGY_CRAFTING</t>
  </si>
  <si>
    <t>craft/BUY</t>
  </si>
  <si>
    <t>coins/ENERGY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</si>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</sst>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0"/>
      <name val="Calibri"/>
      <family val="2"/>
      <scheme val="minor"/>
    </font>
    <font>
      <sz val="11"/>
      <color theme="1"/>
      <name val="Calibri"/>
      <family val="2"/>
      <scheme val="minor"/>
    </font>
  </fonts>
  <fills count="6">
    <fill>
      <patternFill patternType="none"/>
    </fill>
    <fill>
      <patternFill patternType="gray125"/>
    </fill>
    <fill>
      <patternFill patternType="solid">
        <fgColor rgb="FFFFCC99"/>
      </patternFill>
    </fill>
    <fill>
      <patternFill patternType="solid">
        <fgColor rgb="FFF2F2F2"/>
      </patternFill>
    </fill>
    <fill>
      <patternFill patternType="solid">
        <fgColor theme="4" tint="0.39997558519241921"/>
        <bgColor indexed="64"/>
      </patternFill>
    </fill>
    <fill>
      <patternFill patternType="solid">
        <fgColor theme="4"/>
        <bgColor theme="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1" applyNumberFormat="0" applyAlignment="0" applyProtection="0"/>
    <xf numFmtId="0" fontId="2" fillId="3" borderId="1" applyNumberFormat="0" applyAlignment="0" applyProtection="0"/>
    <xf numFmtId="9" fontId="4" fillId="0" borderId="0" applyFont="0" applyFill="0" applyBorder="0" applyAlignment="0" applyProtection="0"/>
  </cellStyleXfs>
  <cellXfs count="59">
    <xf numFmtId="0" fontId="0" fillId="0" borderId="0" xfId="0"/>
    <xf numFmtId="0" fontId="0" fillId="0" borderId="0" xfId="0" applyAlignment="1">
      <alignment horizontal="center"/>
    </xf>
    <xf numFmtId="0" fontId="0" fillId="0" borderId="2" xfId="0" applyBorder="1"/>
    <xf numFmtId="0" fontId="0" fillId="0" borderId="2" xfId="0" applyBorder="1" applyAlignment="1">
      <alignment horizontal="center" vertical="center"/>
    </xf>
    <xf numFmtId="0" fontId="0" fillId="0" borderId="2" xfId="0" applyBorder="1" applyAlignment="1">
      <alignment horizontal="center"/>
    </xf>
    <xf numFmtId="2" fontId="0" fillId="0" borderId="0" xfId="0" applyNumberFormat="1"/>
    <xf numFmtId="2" fontId="0" fillId="0" borderId="2" xfId="0" applyNumberFormat="1" applyBorder="1" applyAlignment="1">
      <alignment horizontal="center"/>
    </xf>
    <xf numFmtId="2" fontId="0" fillId="0" borderId="0" xfId="0" applyNumberFormat="1" applyAlignment="1">
      <alignment horizontal="center"/>
    </xf>
    <xf numFmtId="0" fontId="0" fillId="0" borderId="7" xfId="0" applyBorder="1"/>
    <xf numFmtId="0" fontId="0" fillId="0" borderId="9" xfId="0" applyBorder="1"/>
    <xf numFmtId="0" fontId="0" fillId="0" borderId="10" xfId="0" applyBorder="1"/>
    <xf numFmtId="0" fontId="0" fillId="0" borderId="8" xfId="0" applyBorder="1"/>
    <xf numFmtId="0" fontId="1" fillId="0" borderId="2" xfId="1" applyFill="1" applyBorder="1" applyAlignment="1">
      <alignment horizontal="center" vertical="center"/>
    </xf>
    <xf numFmtId="0" fontId="3" fillId="4" borderId="8"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0" fillId="0" borderId="3" xfId="0" applyBorder="1"/>
    <xf numFmtId="0" fontId="0" fillId="0" borderId="11" xfId="0" applyBorder="1"/>
    <xf numFmtId="0" fontId="0" fillId="0" borderId="6" xfId="0" applyBorder="1"/>
    <xf numFmtId="9" fontId="2" fillId="0" borderId="2" xfId="2" quotePrefix="1" applyNumberFormat="1" applyFill="1" applyBorder="1" applyAlignment="1">
      <alignment horizontal="center" vertical="center"/>
    </xf>
    <xf numFmtId="9" fontId="2" fillId="0" borderId="2" xfId="2" applyNumberFormat="1" applyFill="1" applyBorder="1" applyAlignment="1">
      <alignment horizontal="center" vertical="center"/>
    </xf>
    <xf numFmtId="0" fontId="3" fillId="4" borderId="2" xfId="0" applyFont="1" applyFill="1" applyBorder="1" applyAlignment="1">
      <alignment horizontal="center" vertical="center" wrapText="1"/>
    </xf>
    <xf numFmtId="0" fontId="0" fillId="0" borderId="4" xfId="0" applyBorder="1"/>
    <xf numFmtId="0" fontId="0" fillId="0" borderId="13" xfId="0" applyBorder="1"/>
    <xf numFmtId="0" fontId="0" fillId="0" borderId="5" xfId="0" applyBorder="1"/>
    <xf numFmtId="0" fontId="0" fillId="0" borderId="12" xfId="0" applyBorder="1"/>
    <xf numFmtId="0" fontId="3" fillId="4" borderId="7" xfId="0" applyFont="1" applyFill="1" applyBorder="1" applyAlignment="1">
      <alignment horizontal="center" vertical="center" wrapText="1"/>
    </xf>
    <xf numFmtId="0" fontId="0" fillId="0" borderId="10" xfId="0" applyBorder="1" applyAlignment="1">
      <alignment horizontal="center" vertical="center"/>
    </xf>
    <xf numFmtId="0" fontId="1" fillId="0" borderId="10" xfId="1" applyFill="1" applyBorder="1" applyAlignment="1">
      <alignment horizontal="center" vertical="center"/>
    </xf>
    <xf numFmtId="9" fontId="0" fillId="0" borderId="2" xfId="0" applyNumberFormat="1" applyBorder="1"/>
    <xf numFmtId="2" fontId="3" fillId="4" borderId="2" xfId="0" applyNumberFormat="1" applyFont="1" applyFill="1" applyBorder="1" applyAlignment="1">
      <alignment horizontal="center" vertical="center" wrapText="1"/>
    </xf>
    <xf numFmtId="0" fontId="0" fillId="0" borderId="10" xfId="0" applyBorder="1" applyAlignment="1">
      <alignment horizontal="center"/>
    </xf>
    <xf numFmtId="2" fontId="0" fillId="0" borderId="10" xfId="0" applyNumberFormat="1" applyBorder="1" applyAlignment="1">
      <alignment horizontal="center"/>
    </xf>
    <xf numFmtId="0" fontId="0" fillId="0" borderId="0" xfId="0" applyAlignment="1">
      <alignment horizontal="center" vertical="center"/>
    </xf>
    <xf numFmtId="0" fontId="2" fillId="0" borderId="2" xfId="2" quotePrefix="1" applyNumberFormat="1" applyFill="1" applyBorder="1" applyAlignment="1">
      <alignment horizontal="center" vertical="center"/>
    </xf>
    <xf numFmtId="0" fontId="2" fillId="0" borderId="2" xfId="2" applyNumberFormat="1" applyFill="1" applyBorder="1" applyAlignment="1">
      <alignment horizontal="center" vertical="center"/>
    </xf>
    <xf numFmtId="2" fontId="3" fillId="4" borderId="5" xfId="0" applyNumberFormat="1" applyFont="1" applyFill="1" applyBorder="1" applyAlignment="1">
      <alignment horizontal="center" vertical="center" wrapText="1"/>
    </xf>
    <xf numFmtId="2" fontId="3" fillId="4" borderId="6" xfId="0" applyNumberFormat="1" applyFont="1" applyFill="1" applyBorder="1" applyAlignment="1">
      <alignment horizontal="center" vertical="center" wrapText="1"/>
    </xf>
    <xf numFmtId="2" fontId="0" fillId="0" borderId="2" xfId="0" applyNumberFormat="1" applyBorder="1"/>
    <xf numFmtId="2" fontId="0" fillId="0" borderId="3" xfId="0" applyNumberFormat="1" applyBorder="1"/>
    <xf numFmtId="9" fontId="2" fillId="0" borderId="10" xfId="2" applyNumberFormat="1" applyFill="1" applyBorder="1" applyAlignment="1">
      <alignment horizontal="center" vertical="center"/>
    </xf>
    <xf numFmtId="0" fontId="2" fillId="0" borderId="10" xfId="2" applyNumberFormat="1" applyFill="1" applyBorder="1" applyAlignment="1">
      <alignment horizontal="center" vertical="center"/>
    </xf>
    <xf numFmtId="2" fontId="0" fillId="0" borderId="10" xfId="0" applyNumberFormat="1" applyBorder="1"/>
    <xf numFmtId="2" fontId="0" fillId="0" borderId="11" xfId="0" applyNumberFormat="1" applyBorder="1"/>
    <xf numFmtId="2" fontId="3" fillId="5" borderId="7" xfId="0" applyNumberFormat="1" applyFont="1" applyFill="1" applyBorder="1" applyAlignment="1">
      <alignment horizontal="center"/>
    </xf>
    <xf numFmtId="2" fontId="0" fillId="0" borderId="0" xfId="0" applyNumberFormat="1" applyAlignment="1">
      <alignment horizontal="center" vertical="center"/>
    </xf>
    <xf numFmtId="0" fontId="3" fillId="5" borderId="8" xfId="0" applyFont="1" applyFill="1" applyBorder="1"/>
    <xf numFmtId="0" fontId="3" fillId="5" borderId="5" xfId="0" applyFont="1" applyFill="1" applyBorder="1"/>
    <xf numFmtId="0" fontId="3" fillId="5" borderId="5" xfId="0" applyFont="1" applyFill="1" applyBorder="1" applyAlignment="1">
      <alignment horizontal="center"/>
    </xf>
    <xf numFmtId="0" fontId="3" fillId="5" borderId="5" xfId="0" applyFont="1" applyFill="1" applyBorder="1" applyAlignment="1">
      <alignment horizontal="center" vertical="center"/>
    </xf>
    <xf numFmtId="2" fontId="3" fillId="5" borderId="8" xfId="0" applyNumberFormat="1" applyFont="1" applyFill="1" applyBorder="1" applyAlignment="1">
      <alignment horizontal="center" vertical="center"/>
    </xf>
    <xf numFmtId="2" fontId="3" fillId="5" borderId="5" xfId="0" applyNumberFormat="1" applyFont="1" applyFill="1" applyBorder="1"/>
    <xf numFmtId="2" fontId="0" fillId="0" borderId="2" xfId="0" applyNumberFormat="1" applyBorder="1" applyAlignment="1">
      <alignment horizontal="center" vertical="center"/>
    </xf>
    <xf numFmtId="2" fontId="3" fillId="5" borderId="8" xfId="0" applyNumberFormat="1" applyFont="1" applyFill="1" applyBorder="1"/>
    <xf numFmtId="2" fontId="3" fillId="5" borderId="5" xfId="0" applyNumberFormat="1" applyFont="1" applyFill="1" applyBorder="1" applyAlignment="1">
      <alignment horizontal="center" vertical="center"/>
    </xf>
    <xf numFmtId="0" fontId="0" fillId="0" borderId="5" xfId="0" applyBorder="1" applyAlignment="1">
      <alignment horizontal="center"/>
    </xf>
    <xf numFmtId="2" fontId="0" fillId="0" borderId="0" xfId="3" applyNumberFormat="1" applyFont="1"/>
    <xf numFmtId="2" fontId="0" fillId="0" borderId="6" xfId="3" applyNumberFormat="1" applyFont="1" applyBorder="1"/>
    <xf numFmtId="2" fontId="0" fillId="0" borderId="3" xfId="3" applyNumberFormat="1" applyFont="1" applyBorder="1"/>
    <xf numFmtId="2" fontId="0" fillId="0" borderId="11" xfId="3" applyNumberFormat="1" applyFont="1" applyBorder="1"/>
  </cellXfs>
  <cellStyles count="4">
    <cellStyle name="Calculation" xfId="2" builtinId="22"/>
    <cellStyle name="Input" xfId="1" builtinId="20"/>
    <cellStyle name="Normal" xfId="0" builtinId="0"/>
    <cellStyle name="Percent" xfId="3" builtinId="5"/>
  </cellStyles>
  <dxfs count="74">
    <dxf>
      <numFmt numFmtId="2" formatCode="0.0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2" formatCode="0.00"/>
    </dxf>
    <dxf>
      <numFmt numFmtId="2" formatCode="0.00"/>
    </dxf>
    <dxf>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outline="0">
        <left style="thin">
          <color indexed="64"/>
        </left>
        <right/>
        <top style="thin">
          <color indexed="64"/>
        </top>
        <bottom style="thin">
          <color indexed="64"/>
        </bottom>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border outline="0">
        <bottom style="thin">
          <color indexed="64"/>
        </bottom>
      </border>
    </dxf>
    <dxf>
      <fill>
        <patternFill patternType="none">
          <bgColor auto="1"/>
        </patternFill>
      </fill>
      <border diagonalUp="0" diagonalDown="0" outline="0">
        <left style="thin">
          <color indexed="64"/>
        </left>
        <right/>
        <top style="thin">
          <color indexed="64"/>
        </top>
        <bottom style="thin">
          <color indexed="64"/>
        </bottom>
      </border>
    </dxf>
    <dxf>
      <fill>
        <patternFill patternType="none">
          <bgColor auto="1"/>
        </patternFill>
      </fill>
    </dxf>
    <dxf>
      <fill>
        <patternFill patternType="none">
          <bgColor auto="1"/>
        </patternFill>
      </fill>
    </dxf>
    <dxf>
      <border outline="0">
        <left style="thin">
          <color indexed="64"/>
        </left>
        <right style="thin">
          <color indexed="64"/>
        </right>
        <top style="thin">
          <color indexed="64"/>
        </top>
      </border>
    </dxf>
    <dxf>
      <fill>
        <patternFill patternType="none">
          <bgColor auto="1"/>
        </patternFill>
      </fill>
    </dxf>
    <dxf>
      <border outline="0">
        <bottom style="thin">
          <color indexed="64"/>
        </bottom>
      </border>
    </dxf>
    <dxf>
      <fill>
        <patternFill patternType="none">
          <fgColor indexed="64"/>
          <bgColor auto="1"/>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rder>
    </dxf>
    <dxf>
      <border outline="0">
        <bottom style="thin">
          <color indexed="64"/>
        </bottom>
      </border>
    </dxf>
    <dxf>
      <border diagonalUp="0" diagonalDown="0" outline="0">
        <left style="thin">
          <color indexed="64"/>
        </left>
        <right style="thin">
          <color indexed="64"/>
        </right>
        <top/>
        <bottom/>
      </border>
    </dxf>
    <dxf>
      <numFmt numFmtId="0" formatCode="General"/>
    </dxf>
    <dxf>
      <numFmt numFmtId="2" formatCode="0.00"/>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numFmt numFmtId="2" formatCode="0.00"/>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rgb="FFFA7D00"/>
        <name val="Calibri"/>
        <family val="2"/>
        <scheme val="minor"/>
      </font>
      <numFmt numFmtId="13" formatCode="0%"/>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4" tint="0.3999755851924192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absolute">
    <xdr:from>
      <xdr:col>22</xdr:col>
      <xdr:colOff>198120</xdr:colOff>
      <xdr:row>0</xdr:row>
      <xdr:rowOff>0</xdr:rowOff>
    </xdr:from>
    <xdr:to>
      <xdr:col>25</xdr:col>
      <xdr:colOff>198120</xdr:colOff>
      <xdr:row>35</xdr:row>
      <xdr:rowOff>152400</xdr:rowOff>
    </xdr:to>
    <mc:AlternateContent xmlns:mc="http://schemas.openxmlformats.org/markup-compatibility/2006" xmlns:sle15="http://schemas.microsoft.com/office/drawing/2012/slicer">
      <mc:Choice Requires="sle15">
        <xdr:graphicFrame macro="">
          <xdr:nvGraphicFramePr>
            <xdr:cNvPr id="2" name="INDUSTRY TYPE">
              <a:extLst>
                <a:ext uri="{FF2B5EF4-FFF2-40B4-BE49-F238E27FC236}">
                  <a16:creationId xmlns:a16="http://schemas.microsoft.com/office/drawing/2014/main" id="{2B5A47CB-DED1-7CCC-406B-9C8DB746860D}"/>
                </a:ext>
              </a:extLst>
            </xdr:cNvPr>
            <xdr:cNvGraphicFramePr/>
          </xdr:nvGraphicFramePr>
          <xdr:xfrm>
            <a:off x="0" y="0"/>
            <a:ext cx="0" cy="0"/>
          </xdr:xfrm>
          <a:graphic>
            <a:graphicData uri="http://schemas.microsoft.com/office/drawing/2010/slicer">
              <sle:slicer xmlns:sle="http://schemas.microsoft.com/office/drawing/2010/slicer" name="INDUSTRY TYPE"/>
            </a:graphicData>
          </a:graphic>
        </xdr:graphicFrame>
      </mc:Choice>
      <mc:Fallback xmlns="">
        <xdr:sp macro="" textlink="">
          <xdr:nvSpPr>
            <xdr:cNvPr id="0" name=""/>
            <xdr:cNvSpPr>
              <a:spLocks noTextEdit="1"/>
            </xdr:cNvSpPr>
          </xdr:nvSpPr>
          <xdr:spPr>
            <a:xfrm>
              <a:off x="10370820" y="0"/>
              <a:ext cx="1828800" cy="88392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213360</xdr:colOff>
      <xdr:row>36</xdr:row>
      <xdr:rowOff>106680</xdr:rowOff>
    </xdr:from>
    <xdr:to>
      <xdr:col>26</xdr:col>
      <xdr:colOff>266700</xdr:colOff>
      <xdr:row>65</xdr:row>
      <xdr:rowOff>167640</xdr:rowOff>
    </xdr:to>
    <mc:AlternateContent xmlns:mc="http://schemas.openxmlformats.org/markup-compatibility/2006" xmlns:sle15="http://schemas.microsoft.com/office/drawing/2012/slicer">
      <mc:Choice Requires="sle15">
        <xdr:graphicFrame macro="">
          <xdr:nvGraphicFramePr>
            <xdr:cNvPr id="3" name="INDUSTRY">
              <a:extLst>
                <a:ext uri="{FF2B5EF4-FFF2-40B4-BE49-F238E27FC236}">
                  <a16:creationId xmlns:a16="http://schemas.microsoft.com/office/drawing/2014/main" id="{3D6AE0B3-1438-75CB-A857-71BE2F3E9178}"/>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386060" y="1021080"/>
              <a:ext cx="2491740" cy="2255520"/>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91440</xdr:colOff>
      <xdr:row>0</xdr:row>
      <xdr:rowOff>53341</xdr:rowOff>
    </xdr:from>
    <xdr:to>
      <xdr:col>11</xdr:col>
      <xdr:colOff>426720</xdr:colOff>
      <xdr:row>17</xdr:row>
      <xdr:rowOff>38100</xdr:rowOff>
    </xdr:to>
    <mc:AlternateContent xmlns:mc="http://schemas.openxmlformats.org/markup-compatibility/2006" xmlns:sle15="http://schemas.microsoft.com/office/drawing/2012/slicer">
      <mc:Choice Requires="sle15">
        <xdr:graphicFrame macro="">
          <xdr:nvGraphicFramePr>
            <xdr:cNvPr id="2" name="INDUSTRY 1">
              <a:extLst>
                <a:ext uri="{FF2B5EF4-FFF2-40B4-BE49-F238E27FC236}">
                  <a16:creationId xmlns:a16="http://schemas.microsoft.com/office/drawing/2014/main" id="{A68576D1-207B-8C84-4B5C-5036A7496588}"/>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4853940" y="53341"/>
              <a:ext cx="3992880" cy="1813559"/>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0</xdr:col>
      <xdr:colOff>76200</xdr:colOff>
      <xdr:row>5</xdr:row>
      <xdr:rowOff>76200</xdr:rowOff>
    </xdr:to>
    <xdr:sp macro="" textlink="">
      <xdr:nvSpPr>
        <xdr:cNvPr id="38" name="AutoShape 2" descr="Coins">
          <a:extLst>
            <a:ext uri="{FF2B5EF4-FFF2-40B4-BE49-F238E27FC236}">
              <a16:creationId xmlns:a16="http://schemas.microsoft.com/office/drawing/2014/main" id="{EEC31967-55C0-4963-B2F4-494D5B3C258B}"/>
            </a:ext>
          </a:extLst>
        </xdr:cNvPr>
        <xdr:cNvSpPr>
          <a:spLocks noChangeAspect="1" noChangeArrowheads="1"/>
        </xdr:cNvSpPr>
      </xdr:nvSpPr>
      <xdr:spPr bwMode="auto">
        <a:xfrm>
          <a:off x="0" y="64008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xdr:row>
      <xdr:rowOff>0</xdr:rowOff>
    </xdr:from>
    <xdr:to>
      <xdr:col>0</xdr:col>
      <xdr:colOff>76200</xdr:colOff>
      <xdr:row>4</xdr:row>
      <xdr:rowOff>76200</xdr:rowOff>
    </xdr:to>
    <xdr:sp macro="" textlink="">
      <xdr:nvSpPr>
        <xdr:cNvPr id="39" name="AutoShape 3" descr="Coins">
          <a:extLst>
            <a:ext uri="{FF2B5EF4-FFF2-40B4-BE49-F238E27FC236}">
              <a16:creationId xmlns:a16="http://schemas.microsoft.com/office/drawing/2014/main" id="{15F8E1F3-5A23-46AB-B393-47BB5EA1BDC6}"/>
            </a:ext>
          </a:extLst>
        </xdr:cNvPr>
        <xdr:cNvSpPr>
          <a:spLocks noChangeAspect="1" noChangeArrowheads="1"/>
        </xdr:cNvSpPr>
      </xdr:nvSpPr>
      <xdr:spPr bwMode="auto">
        <a:xfrm>
          <a:off x="0" y="5486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76200</xdr:colOff>
      <xdr:row>7</xdr:row>
      <xdr:rowOff>76200</xdr:rowOff>
    </xdr:to>
    <xdr:sp macro="" textlink="">
      <xdr:nvSpPr>
        <xdr:cNvPr id="40" name="AutoShape 5" descr="Coins">
          <a:extLst>
            <a:ext uri="{FF2B5EF4-FFF2-40B4-BE49-F238E27FC236}">
              <a16:creationId xmlns:a16="http://schemas.microsoft.com/office/drawing/2014/main" id="{2C3C79CB-F1BB-4995-B511-FA4F3DFD6582}"/>
            </a:ext>
          </a:extLst>
        </xdr:cNvPr>
        <xdr:cNvSpPr>
          <a:spLocks noChangeAspect="1" noChangeArrowheads="1"/>
        </xdr:cNvSpPr>
      </xdr:nvSpPr>
      <xdr:spPr bwMode="auto">
        <a:xfrm>
          <a:off x="0" y="32918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30</xdr:row>
      <xdr:rowOff>0</xdr:rowOff>
    </xdr:from>
    <xdr:to>
      <xdr:col>0</xdr:col>
      <xdr:colOff>76200</xdr:colOff>
      <xdr:row>30</xdr:row>
      <xdr:rowOff>76200</xdr:rowOff>
    </xdr:to>
    <xdr:sp macro="" textlink="">
      <xdr:nvSpPr>
        <xdr:cNvPr id="41" name="AutoShape 6" descr="Coins">
          <a:extLst>
            <a:ext uri="{FF2B5EF4-FFF2-40B4-BE49-F238E27FC236}">
              <a16:creationId xmlns:a16="http://schemas.microsoft.com/office/drawing/2014/main" id="{86DFE538-7E52-4229-B8D6-4DC06FC7D2CB}"/>
            </a:ext>
          </a:extLst>
        </xdr:cNvPr>
        <xdr:cNvSpPr>
          <a:spLocks noChangeAspect="1" noChangeArrowheads="1"/>
        </xdr:cNvSpPr>
      </xdr:nvSpPr>
      <xdr:spPr bwMode="auto">
        <a:xfrm>
          <a:off x="0" y="10972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8</xdr:row>
      <xdr:rowOff>0</xdr:rowOff>
    </xdr:from>
    <xdr:to>
      <xdr:col>0</xdr:col>
      <xdr:colOff>76200</xdr:colOff>
      <xdr:row>8</xdr:row>
      <xdr:rowOff>76200</xdr:rowOff>
    </xdr:to>
    <xdr:sp macro="" textlink="">
      <xdr:nvSpPr>
        <xdr:cNvPr id="42" name="AutoShape 8" descr="Coins">
          <a:extLst>
            <a:ext uri="{FF2B5EF4-FFF2-40B4-BE49-F238E27FC236}">
              <a16:creationId xmlns:a16="http://schemas.microsoft.com/office/drawing/2014/main" id="{4FD83BD6-849C-4460-BF33-6A9A20998D8D}"/>
            </a:ext>
          </a:extLst>
        </xdr:cNvPr>
        <xdr:cNvSpPr>
          <a:spLocks noChangeAspect="1" noChangeArrowheads="1"/>
        </xdr:cNvSpPr>
      </xdr:nvSpPr>
      <xdr:spPr bwMode="auto">
        <a:xfrm>
          <a:off x="0" y="74980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34</xdr:row>
      <xdr:rowOff>0</xdr:rowOff>
    </xdr:from>
    <xdr:to>
      <xdr:col>0</xdr:col>
      <xdr:colOff>76200</xdr:colOff>
      <xdr:row>34</xdr:row>
      <xdr:rowOff>76200</xdr:rowOff>
    </xdr:to>
    <xdr:sp macro="" textlink="">
      <xdr:nvSpPr>
        <xdr:cNvPr id="43" name="AutoShape 9" descr="Coins">
          <a:extLst>
            <a:ext uri="{FF2B5EF4-FFF2-40B4-BE49-F238E27FC236}">
              <a16:creationId xmlns:a16="http://schemas.microsoft.com/office/drawing/2014/main" id="{AF05880C-11A7-4BA7-AB32-B0DF56A7ACAD}"/>
            </a:ext>
          </a:extLst>
        </xdr:cNvPr>
        <xdr:cNvSpPr>
          <a:spLocks noChangeAspect="1" noChangeArrowheads="1"/>
        </xdr:cNvSpPr>
      </xdr:nvSpPr>
      <xdr:spPr bwMode="auto">
        <a:xfrm>
          <a:off x="0" y="16459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46</xdr:row>
      <xdr:rowOff>0</xdr:rowOff>
    </xdr:from>
    <xdr:to>
      <xdr:col>0</xdr:col>
      <xdr:colOff>76200</xdr:colOff>
      <xdr:row>46</xdr:row>
      <xdr:rowOff>76200</xdr:rowOff>
    </xdr:to>
    <xdr:sp macro="" textlink="">
      <xdr:nvSpPr>
        <xdr:cNvPr id="44" name="AutoShape 11" descr="Coins">
          <a:extLst>
            <a:ext uri="{FF2B5EF4-FFF2-40B4-BE49-F238E27FC236}">
              <a16:creationId xmlns:a16="http://schemas.microsoft.com/office/drawing/2014/main" id="{2D865BD2-FD3C-4BE7-A7F1-034739FBDD11}"/>
            </a:ext>
          </a:extLst>
        </xdr:cNvPr>
        <xdr:cNvSpPr>
          <a:spLocks noChangeAspect="1" noChangeArrowheads="1"/>
        </xdr:cNvSpPr>
      </xdr:nvSpPr>
      <xdr:spPr bwMode="auto">
        <a:xfrm>
          <a:off x="0" y="56692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37</xdr:row>
      <xdr:rowOff>0</xdr:rowOff>
    </xdr:from>
    <xdr:to>
      <xdr:col>0</xdr:col>
      <xdr:colOff>76200</xdr:colOff>
      <xdr:row>37</xdr:row>
      <xdr:rowOff>76200</xdr:rowOff>
    </xdr:to>
    <xdr:sp macro="" textlink="">
      <xdr:nvSpPr>
        <xdr:cNvPr id="45" name="AutoShape 12" descr="Coins">
          <a:extLst>
            <a:ext uri="{FF2B5EF4-FFF2-40B4-BE49-F238E27FC236}">
              <a16:creationId xmlns:a16="http://schemas.microsoft.com/office/drawing/2014/main" id="{8750D00B-081E-4F1F-BAD9-C01D87874890}"/>
            </a:ext>
          </a:extLst>
        </xdr:cNvPr>
        <xdr:cNvSpPr>
          <a:spLocks noChangeAspect="1" noChangeArrowheads="1"/>
        </xdr:cNvSpPr>
      </xdr:nvSpPr>
      <xdr:spPr bwMode="auto">
        <a:xfrm>
          <a:off x="0" y="21945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44</xdr:row>
      <xdr:rowOff>0</xdr:rowOff>
    </xdr:from>
    <xdr:to>
      <xdr:col>0</xdr:col>
      <xdr:colOff>76200</xdr:colOff>
      <xdr:row>44</xdr:row>
      <xdr:rowOff>76200</xdr:rowOff>
    </xdr:to>
    <xdr:sp macro="" textlink="">
      <xdr:nvSpPr>
        <xdr:cNvPr id="46" name="AutoShape 14" descr="Coins">
          <a:extLst>
            <a:ext uri="{FF2B5EF4-FFF2-40B4-BE49-F238E27FC236}">
              <a16:creationId xmlns:a16="http://schemas.microsoft.com/office/drawing/2014/main" id="{5C6887C1-3294-4D40-8A81-BB61394C9FD8}"/>
            </a:ext>
          </a:extLst>
        </xdr:cNvPr>
        <xdr:cNvSpPr>
          <a:spLocks noChangeAspect="1" noChangeArrowheads="1"/>
        </xdr:cNvSpPr>
      </xdr:nvSpPr>
      <xdr:spPr bwMode="auto">
        <a:xfrm>
          <a:off x="0" y="5303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39</xdr:row>
      <xdr:rowOff>0</xdr:rowOff>
    </xdr:from>
    <xdr:to>
      <xdr:col>0</xdr:col>
      <xdr:colOff>76200</xdr:colOff>
      <xdr:row>39</xdr:row>
      <xdr:rowOff>76200</xdr:rowOff>
    </xdr:to>
    <xdr:sp macro="" textlink="">
      <xdr:nvSpPr>
        <xdr:cNvPr id="47" name="AutoShape 15" descr="Coins">
          <a:extLst>
            <a:ext uri="{FF2B5EF4-FFF2-40B4-BE49-F238E27FC236}">
              <a16:creationId xmlns:a16="http://schemas.microsoft.com/office/drawing/2014/main" id="{C56D7834-BB43-44EE-B943-A2477C74F88E}"/>
            </a:ext>
          </a:extLst>
        </xdr:cNvPr>
        <xdr:cNvSpPr>
          <a:spLocks noChangeAspect="1" noChangeArrowheads="1"/>
        </xdr:cNvSpPr>
      </xdr:nvSpPr>
      <xdr:spPr bwMode="auto">
        <a:xfrm>
          <a:off x="0" y="27432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11</xdr:row>
      <xdr:rowOff>0</xdr:rowOff>
    </xdr:from>
    <xdr:to>
      <xdr:col>0</xdr:col>
      <xdr:colOff>76200</xdr:colOff>
      <xdr:row>11</xdr:row>
      <xdr:rowOff>76200</xdr:rowOff>
    </xdr:to>
    <xdr:sp macro="" textlink="">
      <xdr:nvSpPr>
        <xdr:cNvPr id="48" name="AutoShape 17" descr="Coins">
          <a:extLst>
            <a:ext uri="{FF2B5EF4-FFF2-40B4-BE49-F238E27FC236}">
              <a16:creationId xmlns:a16="http://schemas.microsoft.com/office/drawing/2014/main" id="{69459635-E0BC-4377-9430-58D3C06082D8}"/>
            </a:ext>
          </a:extLst>
        </xdr:cNvPr>
        <xdr:cNvSpPr>
          <a:spLocks noChangeAspect="1" noChangeArrowheads="1"/>
        </xdr:cNvSpPr>
      </xdr:nvSpPr>
      <xdr:spPr bwMode="auto">
        <a:xfrm>
          <a:off x="0" y="73152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7</xdr:row>
      <xdr:rowOff>0</xdr:rowOff>
    </xdr:from>
    <xdr:to>
      <xdr:col>0</xdr:col>
      <xdr:colOff>76200</xdr:colOff>
      <xdr:row>7</xdr:row>
      <xdr:rowOff>76200</xdr:rowOff>
    </xdr:to>
    <xdr:sp macro="" textlink="">
      <xdr:nvSpPr>
        <xdr:cNvPr id="49" name="AutoShape 18" descr="Coins">
          <a:extLst>
            <a:ext uri="{FF2B5EF4-FFF2-40B4-BE49-F238E27FC236}">
              <a16:creationId xmlns:a16="http://schemas.microsoft.com/office/drawing/2014/main" id="{E7349E92-67C2-42A6-9454-3C5204A4A36F}"/>
            </a:ext>
          </a:extLst>
        </xdr:cNvPr>
        <xdr:cNvSpPr>
          <a:spLocks noChangeAspect="1" noChangeArrowheads="1"/>
        </xdr:cNvSpPr>
      </xdr:nvSpPr>
      <xdr:spPr bwMode="auto">
        <a:xfrm>
          <a:off x="0" y="32918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35</xdr:row>
      <xdr:rowOff>0</xdr:rowOff>
    </xdr:from>
    <xdr:to>
      <xdr:col>0</xdr:col>
      <xdr:colOff>76200</xdr:colOff>
      <xdr:row>35</xdr:row>
      <xdr:rowOff>76200</xdr:rowOff>
    </xdr:to>
    <xdr:sp macro="" textlink="">
      <xdr:nvSpPr>
        <xdr:cNvPr id="50" name="AutoShape 20" descr="Coins">
          <a:extLst>
            <a:ext uri="{FF2B5EF4-FFF2-40B4-BE49-F238E27FC236}">
              <a16:creationId xmlns:a16="http://schemas.microsoft.com/office/drawing/2014/main" id="{1CD77F07-8905-44ED-9E63-B40B6E7F3521}"/>
            </a:ext>
          </a:extLst>
        </xdr:cNvPr>
        <xdr:cNvSpPr>
          <a:spLocks noChangeAspect="1" noChangeArrowheads="1"/>
        </xdr:cNvSpPr>
      </xdr:nvSpPr>
      <xdr:spPr bwMode="auto">
        <a:xfrm>
          <a:off x="0" y="18288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13</xdr:row>
      <xdr:rowOff>0</xdr:rowOff>
    </xdr:from>
    <xdr:to>
      <xdr:col>0</xdr:col>
      <xdr:colOff>76200</xdr:colOff>
      <xdr:row>13</xdr:row>
      <xdr:rowOff>76200</xdr:rowOff>
    </xdr:to>
    <xdr:sp macro="" textlink="">
      <xdr:nvSpPr>
        <xdr:cNvPr id="51" name="AutoShape 21" descr="Coins">
          <a:extLst>
            <a:ext uri="{FF2B5EF4-FFF2-40B4-BE49-F238E27FC236}">
              <a16:creationId xmlns:a16="http://schemas.microsoft.com/office/drawing/2014/main" id="{49342B42-162C-4E32-91E8-42EF83B783D6}"/>
            </a:ext>
          </a:extLst>
        </xdr:cNvPr>
        <xdr:cNvSpPr>
          <a:spLocks noChangeAspect="1" noChangeArrowheads="1"/>
        </xdr:cNvSpPr>
      </xdr:nvSpPr>
      <xdr:spPr bwMode="auto">
        <a:xfrm>
          <a:off x="0" y="38404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10</xdr:row>
      <xdr:rowOff>0</xdr:rowOff>
    </xdr:from>
    <xdr:to>
      <xdr:col>0</xdr:col>
      <xdr:colOff>76200</xdr:colOff>
      <xdr:row>10</xdr:row>
      <xdr:rowOff>76200</xdr:rowOff>
    </xdr:to>
    <xdr:sp macro="" textlink="">
      <xdr:nvSpPr>
        <xdr:cNvPr id="52" name="AutoShape 23" descr="Coins">
          <a:extLst>
            <a:ext uri="{FF2B5EF4-FFF2-40B4-BE49-F238E27FC236}">
              <a16:creationId xmlns:a16="http://schemas.microsoft.com/office/drawing/2014/main" id="{CECAA660-2AF9-4BA1-A4BA-B60E67B452AD}"/>
            </a:ext>
          </a:extLst>
        </xdr:cNvPr>
        <xdr:cNvSpPr>
          <a:spLocks noChangeAspect="1" noChangeArrowheads="1"/>
        </xdr:cNvSpPr>
      </xdr:nvSpPr>
      <xdr:spPr bwMode="auto">
        <a:xfrm>
          <a:off x="0" y="1828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42</xdr:row>
      <xdr:rowOff>0</xdr:rowOff>
    </xdr:from>
    <xdr:to>
      <xdr:col>0</xdr:col>
      <xdr:colOff>76200</xdr:colOff>
      <xdr:row>42</xdr:row>
      <xdr:rowOff>76200</xdr:rowOff>
    </xdr:to>
    <xdr:sp macro="" textlink="">
      <xdr:nvSpPr>
        <xdr:cNvPr id="53" name="AutoShape 24" descr="Coins">
          <a:extLst>
            <a:ext uri="{FF2B5EF4-FFF2-40B4-BE49-F238E27FC236}">
              <a16:creationId xmlns:a16="http://schemas.microsoft.com/office/drawing/2014/main" id="{E972732C-78C4-4259-AA78-C1CD563012AB}"/>
            </a:ext>
          </a:extLst>
        </xdr:cNvPr>
        <xdr:cNvSpPr>
          <a:spLocks noChangeAspect="1" noChangeArrowheads="1"/>
        </xdr:cNvSpPr>
      </xdr:nvSpPr>
      <xdr:spPr bwMode="auto">
        <a:xfrm>
          <a:off x="0" y="43891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52</xdr:row>
      <xdr:rowOff>0</xdr:rowOff>
    </xdr:from>
    <xdr:to>
      <xdr:col>0</xdr:col>
      <xdr:colOff>76200</xdr:colOff>
      <xdr:row>52</xdr:row>
      <xdr:rowOff>76200</xdr:rowOff>
    </xdr:to>
    <xdr:sp macro="" textlink="">
      <xdr:nvSpPr>
        <xdr:cNvPr id="54" name="AutoShape 26" descr="Coins">
          <a:extLst>
            <a:ext uri="{FF2B5EF4-FFF2-40B4-BE49-F238E27FC236}">
              <a16:creationId xmlns:a16="http://schemas.microsoft.com/office/drawing/2014/main" id="{1375FB16-EA7D-4284-877D-3F8A510D16BE}"/>
            </a:ext>
          </a:extLst>
        </xdr:cNvPr>
        <xdr:cNvSpPr>
          <a:spLocks noChangeAspect="1" noChangeArrowheads="1"/>
        </xdr:cNvSpPr>
      </xdr:nvSpPr>
      <xdr:spPr bwMode="auto">
        <a:xfrm>
          <a:off x="0" y="91440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25</xdr:row>
      <xdr:rowOff>0</xdr:rowOff>
    </xdr:from>
    <xdr:to>
      <xdr:col>0</xdr:col>
      <xdr:colOff>76200</xdr:colOff>
      <xdr:row>25</xdr:row>
      <xdr:rowOff>76200</xdr:rowOff>
    </xdr:to>
    <xdr:sp macro="" textlink="">
      <xdr:nvSpPr>
        <xdr:cNvPr id="55" name="AutoShape 27" descr="Coins">
          <a:extLst>
            <a:ext uri="{FF2B5EF4-FFF2-40B4-BE49-F238E27FC236}">
              <a16:creationId xmlns:a16="http://schemas.microsoft.com/office/drawing/2014/main" id="{D549D8D3-D09A-4E35-A7F1-B8283B128139}"/>
            </a:ext>
          </a:extLst>
        </xdr:cNvPr>
        <xdr:cNvSpPr>
          <a:spLocks noChangeAspect="1" noChangeArrowheads="1"/>
        </xdr:cNvSpPr>
      </xdr:nvSpPr>
      <xdr:spPr bwMode="auto">
        <a:xfrm>
          <a:off x="0" y="49377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20</xdr:row>
      <xdr:rowOff>0</xdr:rowOff>
    </xdr:from>
    <xdr:to>
      <xdr:col>0</xdr:col>
      <xdr:colOff>76200</xdr:colOff>
      <xdr:row>20</xdr:row>
      <xdr:rowOff>76200</xdr:rowOff>
    </xdr:to>
    <xdr:sp macro="" textlink="">
      <xdr:nvSpPr>
        <xdr:cNvPr id="56" name="AutoShape 29" descr="Coins">
          <a:extLst>
            <a:ext uri="{FF2B5EF4-FFF2-40B4-BE49-F238E27FC236}">
              <a16:creationId xmlns:a16="http://schemas.microsoft.com/office/drawing/2014/main" id="{7C9DC333-2563-4F72-8C3C-084DC7330E89}"/>
            </a:ext>
          </a:extLst>
        </xdr:cNvPr>
        <xdr:cNvSpPr>
          <a:spLocks noChangeAspect="1" noChangeArrowheads="1"/>
        </xdr:cNvSpPr>
      </xdr:nvSpPr>
      <xdr:spPr bwMode="auto">
        <a:xfrm>
          <a:off x="0" y="3657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45</xdr:row>
      <xdr:rowOff>0</xdr:rowOff>
    </xdr:from>
    <xdr:to>
      <xdr:col>0</xdr:col>
      <xdr:colOff>76200</xdr:colOff>
      <xdr:row>45</xdr:row>
      <xdr:rowOff>76200</xdr:rowOff>
    </xdr:to>
    <xdr:sp macro="" textlink="">
      <xdr:nvSpPr>
        <xdr:cNvPr id="57" name="AutoShape 30" descr="Coins">
          <a:extLst>
            <a:ext uri="{FF2B5EF4-FFF2-40B4-BE49-F238E27FC236}">
              <a16:creationId xmlns:a16="http://schemas.microsoft.com/office/drawing/2014/main" id="{358F3C22-88E5-48A6-A9DF-AA323D4FCB04}"/>
            </a:ext>
          </a:extLst>
        </xdr:cNvPr>
        <xdr:cNvSpPr>
          <a:spLocks noChangeAspect="1" noChangeArrowheads="1"/>
        </xdr:cNvSpPr>
      </xdr:nvSpPr>
      <xdr:spPr bwMode="auto">
        <a:xfrm>
          <a:off x="0" y="54864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76200</xdr:colOff>
      <xdr:row>21</xdr:row>
      <xdr:rowOff>76200</xdr:rowOff>
    </xdr:to>
    <xdr:sp macro="" textlink="">
      <xdr:nvSpPr>
        <xdr:cNvPr id="58" name="AutoShape 32" descr="Coins">
          <a:extLst>
            <a:ext uri="{FF2B5EF4-FFF2-40B4-BE49-F238E27FC236}">
              <a16:creationId xmlns:a16="http://schemas.microsoft.com/office/drawing/2014/main" id="{79AE9DAE-F13C-44E6-B0EA-C5F96917967F}"/>
            </a:ext>
          </a:extLst>
        </xdr:cNvPr>
        <xdr:cNvSpPr>
          <a:spLocks noChangeAspect="1" noChangeArrowheads="1"/>
        </xdr:cNvSpPr>
      </xdr:nvSpPr>
      <xdr:spPr bwMode="auto">
        <a:xfrm>
          <a:off x="0" y="76809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76200</xdr:colOff>
      <xdr:row>48</xdr:row>
      <xdr:rowOff>76200</xdr:rowOff>
    </xdr:to>
    <xdr:sp macro="" textlink="">
      <xdr:nvSpPr>
        <xdr:cNvPr id="59" name="AutoShape 33" descr="Coins">
          <a:extLst>
            <a:ext uri="{FF2B5EF4-FFF2-40B4-BE49-F238E27FC236}">
              <a16:creationId xmlns:a16="http://schemas.microsoft.com/office/drawing/2014/main" id="{2E8F1CC4-6C17-490D-B759-F6D0EC554ACE}"/>
            </a:ext>
          </a:extLst>
        </xdr:cNvPr>
        <xdr:cNvSpPr>
          <a:spLocks noChangeAspect="1" noChangeArrowheads="1"/>
        </xdr:cNvSpPr>
      </xdr:nvSpPr>
      <xdr:spPr bwMode="auto">
        <a:xfrm>
          <a:off x="0" y="6035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19</xdr:row>
      <xdr:rowOff>0</xdr:rowOff>
    </xdr:from>
    <xdr:to>
      <xdr:col>0</xdr:col>
      <xdr:colOff>76200</xdr:colOff>
      <xdr:row>19</xdr:row>
      <xdr:rowOff>76200</xdr:rowOff>
    </xdr:to>
    <xdr:sp macro="" textlink="">
      <xdr:nvSpPr>
        <xdr:cNvPr id="60" name="AutoShape 35" descr="Coins">
          <a:extLst>
            <a:ext uri="{FF2B5EF4-FFF2-40B4-BE49-F238E27FC236}">
              <a16:creationId xmlns:a16="http://schemas.microsoft.com/office/drawing/2014/main" id="{606FB5A0-F8E9-4623-AF8D-744A8F3D998D}"/>
            </a:ext>
          </a:extLst>
        </xdr:cNvPr>
        <xdr:cNvSpPr>
          <a:spLocks noChangeAspect="1" noChangeArrowheads="1"/>
        </xdr:cNvSpPr>
      </xdr:nvSpPr>
      <xdr:spPr bwMode="auto">
        <a:xfrm>
          <a:off x="0" y="100584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xdr:row>
      <xdr:rowOff>0</xdr:rowOff>
    </xdr:from>
    <xdr:to>
      <xdr:col>0</xdr:col>
      <xdr:colOff>76200</xdr:colOff>
      <xdr:row>17</xdr:row>
      <xdr:rowOff>76200</xdr:rowOff>
    </xdr:to>
    <xdr:sp macro="" textlink="">
      <xdr:nvSpPr>
        <xdr:cNvPr id="61" name="AutoShape 36" descr="Coins">
          <a:extLst>
            <a:ext uri="{FF2B5EF4-FFF2-40B4-BE49-F238E27FC236}">
              <a16:creationId xmlns:a16="http://schemas.microsoft.com/office/drawing/2014/main" id="{6C8A238C-02F5-4394-8A9F-C2FEE6424DE4}"/>
            </a:ext>
          </a:extLst>
        </xdr:cNvPr>
        <xdr:cNvSpPr>
          <a:spLocks noChangeAspect="1" noChangeArrowheads="1"/>
        </xdr:cNvSpPr>
      </xdr:nvSpPr>
      <xdr:spPr bwMode="auto">
        <a:xfrm>
          <a:off x="0" y="65836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48</xdr:row>
      <xdr:rowOff>0</xdr:rowOff>
    </xdr:from>
    <xdr:to>
      <xdr:col>0</xdr:col>
      <xdr:colOff>76200</xdr:colOff>
      <xdr:row>48</xdr:row>
      <xdr:rowOff>76200</xdr:rowOff>
    </xdr:to>
    <xdr:sp macro="" textlink="">
      <xdr:nvSpPr>
        <xdr:cNvPr id="62" name="AutoShape 38" descr="Coins">
          <a:extLst>
            <a:ext uri="{FF2B5EF4-FFF2-40B4-BE49-F238E27FC236}">
              <a16:creationId xmlns:a16="http://schemas.microsoft.com/office/drawing/2014/main" id="{B4C9A9DC-28B0-4D3D-B576-41F3390708F2}"/>
            </a:ext>
          </a:extLst>
        </xdr:cNvPr>
        <xdr:cNvSpPr>
          <a:spLocks noChangeAspect="1" noChangeArrowheads="1"/>
        </xdr:cNvSpPr>
      </xdr:nvSpPr>
      <xdr:spPr bwMode="auto">
        <a:xfrm>
          <a:off x="0" y="6035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15</xdr:row>
      <xdr:rowOff>0</xdr:rowOff>
    </xdr:from>
    <xdr:to>
      <xdr:col>0</xdr:col>
      <xdr:colOff>76200</xdr:colOff>
      <xdr:row>15</xdr:row>
      <xdr:rowOff>76200</xdr:rowOff>
    </xdr:to>
    <xdr:sp macro="" textlink="">
      <xdr:nvSpPr>
        <xdr:cNvPr id="63" name="AutoShape 39" descr="Coins">
          <a:extLst>
            <a:ext uri="{FF2B5EF4-FFF2-40B4-BE49-F238E27FC236}">
              <a16:creationId xmlns:a16="http://schemas.microsoft.com/office/drawing/2014/main" id="{5E1312E0-0730-4C31-9123-357EDFEA9CFA}"/>
            </a:ext>
          </a:extLst>
        </xdr:cNvPr>
        <xdr:cNvSpPr>
          <a:spLocks noChangeAspect="1" noChangeArrowheads="1"/>
        </xdr:cNvSpPr>
      </xdr:nvSpPr>
      <xdr:spPr bwMode="auto">
        <a:xfrm>
          <a:off x="0" y="71323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27</xdr:row>
      <xdr:rowOff>0</xdr:rowOff>
    </xdr:from>
    <xdr:to>
      <xdr:col>0</xdr:col>
      <xdr:colOff>76200</xdr:colOff>
      <xdr:row>27</xdr:row>
      <xdr:rowOff>76200</xdr:rowOff>
    </xdr:to>
    <xdr:sp macro="" textlink="">
      <xdr:nvSpPr>
        <xdr:cNvPr id="64" name="AutoShape 41" descr="Coins">
          <a:extLst>
            <a:ext uri="{FF2B5EF4-FFF2-40B4-BE49-F238E27FC236}">
              <a16:creationId xmlns:a16="http://schemas.microsoft.com/office/drawing/2014/main" id="{0A6331AE-6F3D-4C79-8143-07CF0D499075}"/>
            </a:ext>
          </a:extLst>
        </xdr:cNvPr>
        <xdr:cNvSpPr>
          <a:spLocks noChangeAspect="1" noChangeArrowheads="1"/>
        </xdr:cNvSpPr>
      </xdr:nvSpPr>
      <xdr:spPr bwMode="auto">
        <a:xfrm>
          <a:off x="0" y="731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xdr:row>
      <xdr:rowOff>0</xdr:rowOff>
    </xdr:from>
    <xdr:to>
      <xdr:col>0</xdr:col>
      <xdr:colOff>76200</xdr:colOff>
      <xdr:row>21</xdr:row>
      <xdr:rowOff>76200</xdr:rowOff>
    </xdr:to>
    <xdr:sp macro="" textlink="">
      <xdr:nvSpPr>
        <xdr:cNvPr id="65" name="AutoShape 42" descr="Coins">
          <a:extLst>
            <a:ext uri="{FF2B5EF4-FFF2-40B4-BE49-F238E27FC236}">
              <a16:creationId xmlns:a16="http://schemas.microsoft.com/office/drawing/2014/main" id="{D4C4E6DD-8C40-4DE7-9D61-9BE93CB61391}"/>
            </a:ext>
          </a:extLst>
        </xdr:cNvPr>
        <xdr:cNvSpPr>
          <a:spLocks noChangeAspect="1" noChangeArrowheads="1"/>
        </xdr:cNvSpPr>
      </xdr:nvSpPr>
      <xdr:spPr bwMode="auto">
        <a:xfrm>
          <a:off x="0" y="76809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33</xdr:row>
      <xdr:rowOff>0</xdr:rowOff>
    </xdr:from>
    <xdr:to>
      <xdr:col>0</xdr:col>
      <xdr:colOff>76200</xdr:colOff>
      <xdr:row>33</xdr:row>
      <xdr:rowOff>76200</xdr:rowOff>
    </xdr:to>
    <xdr:sp macro="" textlink="">
      <xdr:nvSpPr>
        <xdr:cNvPr id="66" name="AutoShape 44" descr="Coins">
          <a:extLst>
            <a:ext uri="{FF2B5EF4-FFF2-40B4-BE49-F238E27FC236}">
              <a16:creationId xmlns:a16="http://schemas.microsoft.com/office/drawing/2014/main" id="{5891CBD5-6C3D-4024-B06E-E09FF8366BBD}"/>
            </a:ext>
          </a:extLst>
        </xdr:cNvPr>
        <xdr:cNvSpPr>
          <a:spLocks noChangeAspect="1" noChangeArrowheads="1"/>
        </xdr:cNvSpPr>
      </xdr:nvSpPr>
      <xdr:spPr bwMode="auto">
        <a:xfrm>
          <a:off x="0" y="14630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xdr:row>
      <xdr:rowOff>0</xdr:rowOff>
    </xdr:from>
    <xdr:to>
      <xdr:col>0</xdr:col>
      <xdr:colOff>76200</xdr:colOff>
      <xdr:row>3</xdr:row>
      <xdr:rowOff>76200</xdr:rowOff>
    </xdr:to>
    <xdr:sp macro="" textlink="">
      <xdr:nvSpPr>
        <xdr:cNvPr id="67" name="AutoShape 45" descr="Coins">
          <a:extLst>
            <a:ext uri="{FF2B5EF4-FFF2-40B4-BE49-F238E27FC236}">
              <a16:creationId xmlns:a16="http://schemas.microsoft.com/office/drawing/2014/main" id="{F61AF58B-5A86-4DF1-BA13-EE10C44EA42A}"/>
            </a:ext>
          </a:extLst>
        </xdr:cNvPr>
        <xdr:cNvSpPr>
          <a:spLocks noChangeAspect="1" noChangeArrowheads="1"/>
        </xdr:cNvSpPr>
      </xdr:nvSpPr>
      <xdr:spPr bwMode="auto">
        <a:xfrm>
          <a:off x="0" y="82296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22</xdr:row>
      <xdr:rowOff>0</xdr:rowOff>
    </xdr:from>
    <xdr:to>
      <xdr:col>0</xdr:col>
      <xdr:colOff>76200</xdr:colOff>
      <xdr:row>22</xdr:row>
      <xdr:rowOff>76200</xdr:rowOff>
    </xdr:to>
    <xdr:sp macro="" textlink="">
      <xdr:nvSpPr>
        <xdr:cNvPr id="68" name="AutoShape 47" descr="Coins">
          <a:extLst>
            <a:ext uri="{FF2B5EF4-FFF2-40B4-BE49-F238E27FC236}">
              <a16:creationId xmlns:a16="http://schemas.microsoft.com/office/drawing/2014/main" id="{0E5BC180-9721-4974-8F4D-C0DD1E0F4CF5}"/>
            </a:ext>
          </a:extLst>
        </xdr:cNvPr>
        <xdr:cNvSpPr>
          <a:spLocks noChangeAspect="1" noChangeArrowheads="1"/>
        </xdr:cNvSpPr>
      </xdr:nvSpPr>
      <xdr:spPr bwMode="auto">
        <a:xfrm>
          <a:off x="0" y="676656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50</xdr:row>
      <xdr:rowOff>0</xdr:rowOff>
    </xdr:from>
    <xdr:to>
      <xdr:col>0</xdr:col>
      <xdr:colOff>76200</xdr:colOff>
      <xdr:row>50</xdr:row>
      <xdr:rowOff>76200</xdr:rowOff>
    </xdr:to>
    <xdr:sp macro="" textlink="">
      <xdr:nvSpPr>
        <xdr:cNvPr id="69" name="AutoShape 48" descr="Coins">
          <a:extLst>
            <a:ext uri="{FF2B5EF4-FFF2-40B4-BE49-F238E27FC236}">
              <a16:creationId xmlns:a16="http://schemas.microsoft.com/office/drawing/2014/main" id="{34E6BB3E-5EC3-4885-BA8B-E429A97A0E51}"/>
            </a:ext>
          </a:extLst>
        </xdr:cNvPr>
        <xdr:cNvSpPr>
          <a:spLocks noChangeAspect="1" noChangeArrowheads="1"/>
        </xdr:cNvSpPr>
      </xdr:nvSpPr>
      <xdr:spPr bwMode="auto">
        <a:xfrm>
          <a:off x="0" y="87782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xdr:row>
      <xdr:rowOff>0</xdr:rowOff>
    </xdr:from>
    <xdr:to>
      <xdr:col>0</xdr:col>
      <xdr:colOff>76200</xdr:colOff>
      <xdr:row>43</xdr:row>
      <xdr:rowOff>76200</xdr:rowOff>
    </xdr:to>
    <xdr:sp macro="" textlink="">
      <xdr:nvSpPr>
        <xdr:cNvPr id="70" name="AutoShape 50" descr="Coins">
          <a:extLst>
            <a:ext uri="{FF2B5EF4-FFF2-40B4-BE49-F238E27FC236}">
              <a16:creationId xmlns:a16="http://schemas.microsoft.com/office/drawing/2014/main" id="{4763B20D-3EB3-43CD-A516-EC1217576743}"/>
            </a:ext>
          </a:extLst>
        </xdr:cNvPr>
        <xdr:cNvSpPr>
          <a:spLocks noChangeAspect="1" noChangeArrowheads="1"/>
        </xdr:cNvSpPr>
      </xdr:nvSpPr>
      <xdr:spPr bwMode="auto">
        <a:xfrm>
          <a:off x="0" y="457200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53</xdr:row>
      <xdr:rowOff>0</xdr:rowOff>
    </xdr:from>
    <xdr:to>
      <xdr:col>0</xdr:col>
      <xdr:colOff>76200</xdr:colOff>
      <xdr:row>53</xdr:row>
      <xdr:rowOff>76200</xdr:rowOff>
    </xdr:to>
    <xdr:sp macro="" textlink="">
      <xdr:nvSpPr>
        <xdr:cNvPr id="71" name="AutoShape 51" descr="Coins">
          <a:extLst>
            <a:ext uri="{FF2B5EF4-FFF2-40B4-BE49-F238E27FC236}">
              <a16:creationId xmlns:a16="http://schemas.microsoft.com/office/drawing/2014/main" id="{EC39DD03-7AD7-4009-85B8-B48A2E042547}"/>
            </a:ext>
          </a:extLst>
        </xdr:cNvPr>
        <xdr:cNvSpPr>
          <a:spLocks noChangeAspect="1" noChangeArrowheads="1"/>
        </xdr:cNvSpPr>
      </xdr:nvSpPr>
      <xdr:spPr bwMode="auto">
        <a:xfrm>
          <a:off x="0" y="932688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38</xdr:row>
      <xdr:rowOff>0</xdr:rowOff>
    </xdr:from>
    <xdr:to>
      <xdr:col>0</xdr:col>
      <xdr:colOff>76200</xdr:colOff>
      <xdr:row>38</xdr:row>
      <xdr:rowOff>76200</xdr:rowOff>
    </xdr:to>
    <xdr:sp macro="" textlink="">
      <xdr:nvSpPr>
        <xdr:cNvPr id="72" name="AutoShape 53" descr="Coins">
          <a:extLst>
            <a:ext uri="{FF2B5EF4-FFF2-40B4-BE49-F238E27FC236}">
              <a16:creationId xmlns:a16="http://schemas.microsoft.com/office/drawing/2014/main" id="{8C4D39E7-B6B4-4FC3-AA54-F5F824896FCE}"/>
            </a:ext>
          </a:extLst>
        </xdr:cNvPr>
        <xdr:cNvSpPr>
          <a:spLocks noChangeAspect="1" noChangeArrowheads="1"/>
        </xdr:cNvSpPr>
      </xdr:nvSpPr>
      <xdr:spPr bwMode="auto">
        <a:xfrm>
          <a:off x="0" y="237744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56</xdr:row>
      <xdr:rowOff>0</xdr:rowOff>
    </xdr:from>
    <xdr:to>
      <xdr:col>0</xdr:col>
      <xdr:colOff>76200</xdr:colOff>
      <xdr:row>56</xdr:row>
      <xdr:rowOff>76200</xdr:rowOff>
    </xdr:to>
    <xdr:sp macro="" textlink="">
      <xdr:nvSpPr>
        <xdr:cNvPr id="73" name="AutoShape 54" descr="Coins">
          <a:extLst>
            <a:ext uri="{FF2B5EF4-FFF2-40B4-BE49-F238E27FC236}">
              <a16:creationId xmlns:a16="http://schemas.microsoft.com/office/drawing/2014/main" id="{9A07CEB0-5FC3-4D4C-92EE-AC22E76BA353}"/>
            </a:ext>
          </a:extLst>
        </xdr:cNvPr>
        <xdr:cNvSpPr>
          <a:spLocks noChangeAspect="1" noChangeArrowheads="1"/>
        </xdr:cNvSpPr>
      </xdr:nvSpPr>
      <xdr:spPr bwMode="auto">
        <a:xfrm>
          <a:off x="0" y="9875520"/>
          <a:ext cx="76200" cy="762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6CDCFA-E6DC-4746-BB7F-5162725CDC48}" autoFormatId="16" applyNumberFormats="0" applyBorderFormats="0" applyFontFormats="0" applyPatternFormats="0" applyAlignmentFormats="0" applyWidthHeightFormats="0">
  <queryTableRefresh nextId="3">
    <queryTableFields count="2">
      <queryTableField id="1" name="product" tableColumnId="1"/>
      <queryTableField id="2" name="price"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D6FA05D6-300C-4E49-8513-17AD8C7ADC72}" sourceName="INDUSTRY">
  <extLst>
    <x:ext xmlns:x15="http://schemas.microsoft.com/office/spreadsheetml/2010/11/main" uri="{2F2917AC-EB37-4324-AD4E-5DD8C200BD13}">
      <x15:tableSlicerCache tableId="10"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_TYPE" xr10:uid="{4C699EBC-70A1-422F-8DA9-B7764B027E1F}" sourceName="INDUSTRY TYPE">
  <extLst>
    <x:ext xmlns:x15="http://schemas.microsoft.com/office/spreadsheetml/2010/11/main" uri="{2F2917AC-EB37-4324-AD4E-5DD8C200BD13}">
      <x15:tableSlicerCache tableId="9"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EF2956CE-EAFF-4508-AE9D-5BB821AA82D7}" sourceName="INDUSTRY">
  <extLst>
    <x:ext xmlns:x15="http://schemas.microsoft.com/office/spreadsheetml/2010/11/main" uri="{2F2917AC-EB37-4324-AD4E-5DD8C200BD13}">
      <x15:tableSlicerCache tableId="9"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TYPE" xr10:uid="{4B11AF04-7368-4080-ADD2-FE45C80B7285}" cache="Slicer_INDUSTRY_TYPE" caption="INDUSTRY TYPE" rowHeight="234950"/>
  <slicer name="INDUSTRY" xr10:uid="{6069541B-1D3D-4F23-9F15-120FE44872D2}" cache="Slicer_INDUSTRY" caption="INDUSTRY"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1" xr10:uid="{F2AC4E1E-B9DF-4762-B152-248BDB5F2134}" cache="Slicer_INDUSTRY1" caption="INDUSTRY" columnCount="3" rowHeight="234950"/>
</slicers>
</file>

<file path=xl/tables/_rels/table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695FAC-E6FD-4330-AB74-15D431B0FED4}" name="Table4" displayName="Table4" ref="A1:L19" totalsRowShown="0" headerRowDxfId="73" dataDxfId="71" headerRowBorderDxfId="72" tableBorderDxfId="70" totalsRowBorderDxfId="69">
  <autoFilter ref="A1:L19" xr:uid="{BC695FAC-E6FD-4330-AB74-15D431B0FED4}"/>
  <tableColumns count="12">
    <tableColumn id="1" xr3:uid="{E8E74072-2AFF-415D-BC0D-FD4CE8ACC944}" name="INDUSTRY" dataDxfId="68"/>
    <tableColumn id="2" xr3:uid="{4C9FB818-1C9E-40F0-A9EF-6F85BAE68BD6}" name="PRODUCT ID" dataDxfId="67"/>
    <tableColumn id="3" xr3:uid="{F304E335-4770-45E1-B016-4D9DF3B675AD}" name="PRODUCT" dataDxfId="66"/>
    <tableColumn id="4" xr3:uid="{558E58E7-2173-41CA-9399-ECF4AE3303A4}" name="DROP RATE" dataDxfId="65" dataCellStyle="Calculation"/>
    <tableColumn id="7" xr3:uid="{8B86639C-8624-43E3-BF58-7DA78BADAB91}" name="QNTY" dataDxfId="64" dataCellStyle="Calculation"/>
    <tableColumn id="5" xr3:uid="{902F547B-8299-424F-96C3-F05188475044}" name="ENERGY CONSUMPTION" dataDxfId="63" dataCellStyle="Input"/>
    <tableColumn id="6" xr3:uid="{A1AD98EA-3D9E-40F2-9B0B-CD0DA6CBC6D4}" name="MARKET PRICE" dataDxfId="62">
      <calculatedColumnFormula>VLOOKUP(C2,MarketPrice!A:B,2,FALSE)</calculatedColumnFormula>
    </tableColumn>
    <tableColumn id="8" xr3:uid="{4424AE01-9872-4AAA-A641-9BADF2CF8F45}" name="PROFIT" dataDxfId="61">
      <calculatedColumnFormula>Table4[[#This Row],[DROP RATE]]*Table4[[#This Row],[QNTY]]*99%*Table4[[#This Row],[MARKET PRICE]]</calculatedColumnFormula>
    </tableColumn>
    <tableColumn id="9" xr3:uid="{F2F39D28-4834-4D49-9458-089A5C8CE84D}" name="PROFIT/energy" dataDxfId="60">
      <calculatedColumnFormula>Table4[[#This Row],[PROFIT]]/Table4[[#This Row],[ENERGY CONSUMPTION]]</calculatedColumnFormula>
    </tableColumn>
    <tableColumn id="11" xr3:uid="{5BBD1F5E-2E09-4F73-8941-53414D3F9785}" name="ResourceInvest" dataDxfId="59"/>
    <tableColumn id="12" xr3:uid="{2FCB6654-7BBF-497E-9CA5-D9061F1B56A8}" name="No.of collect" dataDxfId="58"/>
    <tableColumn id="10" xr3:uid="{F1D529F5-B318-4AB6-A0BF-D6749F0C13E2}" name="ActualPE collect 140" dataDxfId="57">
      <calculatedColumnFormula>(Table4[[#This Row],[DROP RATE]]*Table4[[#This Row],[QNTY]]*Table4[[#This Row],[MARKET PRICE]]*99%*Table4[[#This Row],[No.of collect]]-Table4[[#This Row],[ResourceInvest]])/(Table4[[#This Row],[No.of collect]]*Table4[[#This Row],[ENERGY CONSUMPTION]])</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C00201A-BAD3-4F0B-B185-BE746C5D59F3}" name="Table8" displayName="Table8" ref="A1:O90" totalsRowShown="0" headerRowDxfId="56" tableBorderDxfId="55">
  <autoFilter ref="A1:O90" xr:uid="{EC00201A-BAD3-4F0B-B185-BE746C5D59F3}"/>
  <tableColumns count="15">
    <tableColumn id="1" xr3:uid="{4A0920A4-031F-4285-B1D3-5FB1B97AF7D9}" name="INDUSTRY" dataDxfId="54"/>
    <tableColumn id="2" xr3:uid="{F7A7CF2D-4052-4B4D-8404-79A66C1F7366}" name="PRODUCT ID" dataDxfId="53"/>
    <tableColumn id="3" xr3:uid="{4EC07746-BB9E-4DE2-BD20-E08231938F3C}" name="PRODUCT" dataDxfId="52"/>
    <tableColumn id="4" xr3:uid="{51C2954B-A649-4700-8CA5-E87FB594C2ED}" name="INGREDIENTS" dataDxfId="51" dataCellStyle="Input"/>
    <tableColumn id="5" xr3:uid="{F2DD9DDC-F9D6-4195-9D14-F7E84E9FC1DB}" name="INGREDIENTS_QUANTITY" dataDxfId="50" dataCellStyle="Input"/>
    <tableColumn id="6" xr3:uid="{7D4BF4F3-7C0A-4CDE-8838-FAF145B34366}" name="INGREDIENTS MP" dataDxfId="49">
      <calculatedColumnFormula>_xlfn.IFNA(VLOOKUP(Table8[[#This Row],[INGREDIENTS]],MARKET_id!B:C,2,FALSE),999999)</calculatedColumnFormula>
    </tableColumn>
    <tableColumn id="7" xr3:uid="{5831CCDC-2348-4545-9D22-C9A17CA3E763}" name="INGREDIENTS TV_STORES" dataDxfId="48">
      <calculatedColumnFormula>_xlfn.IFNA(VLOOKUP(D2,tv_store[],2,FALSE),999999)</calculatedColumnFormula>
    </tableColumn>
    <tableColumn id="8" xr3:uid="{48F45026-F14E-4587-B028-AFF4C86EBFCF}" name="MIN_COST PER  QNTY" dataDxfId="47">
      <calculatedColumnFormula>IF(OR(Table8[[#This Row],[INGREDIENTS MP]]&lt;100000,Table8[[#This Row],[INGREDIENTS TV_STORES]]&lt;100000),MIN(Table8[[#This Row],[INGREDIENTS MP]:[INGREDIENTS TV_STORES]]),"NA")</calculatedColumnFormula>
    </tableColumn>
    <tableColumn id="9" xr3:uid="{7C4C784F-947D-4330-9052-C4E6A738E43D}" name="COST PER INGREDIENT" dataDxfId="46">
      <calculatedColumnFormula>IFERROR(Table8[[#This Row],[INGREDIENTS_QUANTITY]]*Table8[[#This Row],[MIN_COST PER  QNTY]],"NA")</calculatedColumnFormula>
    </tableColumn>
    <tableColumn id="14" xr3:uid="{E9B4D650-B576-4833-8D64-A8E4F3F31561}" name="Total cost" dataDxfId="45">
      <calculatedColumnFormula>SUMIF(B:B,Table8[[#This Row],[PRODUCT ID]],I:I)</calculatedColumnFormula>
    </tableColumn>
    <tableColumn id="10" xr3:uid="{5D872EDA-39B0-4BBD-AD60-BF2A4E74BAB1}" name="DROPRATE" dataDxfId="44"/>
    <tableColumn id="11" xr3:uid="{F752B9FE-C00D-4735-91FB-86C1DE8F3E8F}" name="ENERGY NEEDED" dataDxfId="43"/>
    <tableColumn id="12" xr3:uid="{D2004077-D646-4882-8314-42BCA4CB161E}" name="PRODUCT_MP VALUE" dataDxfId="42">
      <calculatedColumnFormula>_xlfn.IFNA(VLOOKUP(Table8[[#This Row],[PRODUCT]],MARKET_id!B:C,2,FALSE),0)</calculatedColumnFormula>
    </tableColumn>
    <tableColumn id="13" xr3:uid="{E8148C45-03CE-4E42-9732-DD9DDB7E8663}" name="PROFIT" dataDxfId="41">
      <calculatedColumnFormula>IF(AND(Table8[[#This Row],[Total cost]]&lt;&gt;0,Table8[[#This Row],[PRODUCT_MP VALUE]]&lt;&gt;0),Table8[[#This Row],[PRODUCT_MP VALUE]]*99%*Table8[[#This Row],[DROPRATE]]-Table8[[#This Row],[Total cost]],"NA")</calculatedColumnFormula>
    </tableColumn>
    <tableColumn id="15" xr3:uid="{8FF294BA-A5D6-4894-8B80-05DB040D189E}" name="PROFIT/ENERGY" dataDxfId="40">
      <calculatedColumnFormula>IFERROR(IF(Table8[[#This Row],[ENERGY NEEDED]]&lt;&gt;0,Table8[[#This Row],[PROFIT]]/Table8[[#This Row],[ENERGY NEEDED]],"inf"),"NA")</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5728938-5F26-4D36-A873-AB93B7308FAF}" name="pixels_extract" displayName="pixels_extract" ref="A1:B898" totalsRowShown="0">
  <autoFilter ref="A1:B898" xr:uid="{25728938-5F26-4D36-A873-AB93B7308FAF}"/>
  <tableColumns count="2">
    <tableColumn id="1" xr3:uid="{24A509D3-DD31-425F-A270-761CBA7430E7}" name="item" dataDxfId="39"/>
    <tableColumn id="2" xr3:uid="{EB907A79-5F9B-4D82-8271-F3F46DCB5553}" name="pric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5D4B923-957C-424E-980A-B989E979304C}" name="tv_store" displayName="tv_store" ref="A1:B18" totalsRowShown="0" headerRowDxfId="38" headerRowBorderDxfId="37" tableBorderDxfId="36">
  <autoFilter ref="A1:B18" xr:uid="{05D4B923-957C-424E-980A-B989E979304C}"/>
  <tableColumns count="2">
    <tableColumn id="1" xr3:uid="{20343379-2740-4AA4-B3A9-F6699758D3DC}" name="ITEM" dataDxfId="35"/>
    <tableColumn id="2" xr3:uid="{5CB66026-2845-484C-99D8-6FAAC853CEB5}" name="Price"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8D00DE-EB5C-4BB9-A153-339B036F751E}" name="pixels_api" displayName="pixels_api" ref="A1:B69" tableType="queryTable" totalsRowShown="0">
  <autoFilter ref="A1:B69" xr:uid="{168D00DE-EB5C-4BB9-A153-339B036F751E}"/>
  <tableColumns count="2">
    <tableColumn id="1" xr3:uid="{58731430-8F7E-4B27-A189-6C6EE2924841}" uniqueName="1" name="product" queryTableFieldId="1"/>
    <tableColumn id="2" xr3:uid="{A6670D16-96D5-48B5-8E41-CC2684AF537E}" uniqueName="2" name="price"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6CCECD4-64CE-481F-8A19-73FE5E2885DC}" name="api_data" displayName="api_data" ref="A1:C105" totalsRowShown="0" headerRowDxfId="33" dataDxfId="31" headerRowBorderDxfId="32" tableBorderDxfId="30">
  <autoFilter ref="A1:C105" xr:uid="{A6CCECD4-64CE-481F-8A19-73FE5E2885DC}"/>
  <sortState xmlns:xlrd2="http://schemas.microsoft.com/office/spreadsheetml/2017/richdata2" ref="A2:C104">
    <sortCondition ref="B2:B104"/>
  </sortState>
  <tableColumns count="3">
    <tableColumn id="1" xr3:uid="{ECDC9BAA-21C7-4A22-A779-4D73D0E1D8EC}" name="item_id" dataDxfId="29"/>
    <tableColumn id="2" xr3:uid="{32CA2EEC-452C-42B2-BB6A-3CBE8C28E92A}" name="product name" dataDxfId="28"/>
    <tableColumn id="3" xr3:uid="{71D9EEEA-D3C6-4530-A591-CBB4340EE15A}" name="MP" dataDxfId="27">
      <calculatedColumnFormula>VLOOKUP(A2,pixels_api!A:B,2,FALSE)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6FA1D8-9826-4FDD-948C-F51CC790296A}" name="Table9" displayName="Table9" ref="A1:L61" totalsRowShown="0" headerRowBorderDxfId="26" tableBorderDxfId="25">
  <autoFilter ref="A1:L61" xr:uid="{D26FA1D8-9826-4FDD-948C-F51CC790296A}">
    <filterColumn colId="0">
      <filters>
        <filter val="Craft"/>
      </filters>
    </filterColumn>
    <filterColumn colId="1">
      <filters>
        <filter val="Farming"/>
      </filters>
    </filterColumn>
  </autoFilter>
  <sortState xmlns:xlrd2="http://schemas.microsoft.com/office/spreadsheetml/2017/richdata2" ref="A2:L61">
    <sortCondition descending="1" ref="J2:J61"/>
  </sortState>
  <tableColumns count="12">
    <tableColumn id="1" xr3:uid="{8F325201-7752-4E17-B9C6-77A1C5280AC7}" name="INDUSTRY TYPE" dataDxfId="24"/>
    <tableColumn id="2" xr3:uid="{14CA0FC0-E07A-4FA9-B35F-07FC132C49A5}" name="INDUSTRY" dataDxfId="23"/>
    <tableColumn id="10" xr3:uid="{2A7595A6-6F84-496B-8ED3-EF876FC3426A}" name="sub_industry" dataDxfId="22"/>
    <tableColumn id="3" xr3:uid="{671A0E87-05C8-463C-8481-6088F6631975}" name="PRODUCT ID" dataDxfId="21"/>
    <tableColumn id="4" xr3:uid="{31401C6A-15B4-4802-84D9-A40C32765E2F}" name="PRODUCT" dataDxfId="20"/>
    <tableColumn id="5" xr3:uid="{2D95DA97-DA5B-4B8A-B69A-F7C38B49C0B7}" name="TOTAL COST PER PRODUCT" dataDxfId="19">
      <calculatedColumnFormula>IF(A2="Resource",0,VLOOKUP(D2,Crafting!B:O,9,FALSE))</calculatedColumnFormula>
    </tableColumn>
    <tableColumn id="6" xr3:uid="{0CF6F404-29EF-41AB-9183-77701794780D}" name=" ENERGY NEEDED" dataDxfId="18">
      <calculatedColumnFormula>IF(A2="Resource",VLOOKUP(D2,Resources!B:G,5,FALSE),VLOOKUP(D2,Crafting!B:O,11,FALSE))</calculatedColumnFormula>
    </tableColumn>
    <tableColumn id="12" xr3:uid="{42B89740-D30C-4A8F-907B-B1810CB275A8}" name="MP" dataDxfId="17">
      <calculatedColumnFormula>_xlfn.IFNA(VLOOKUP(Table9[[#This Row],[PRODUCT]],MARKET_id!B:C,2,FALSE),"no dsata")</calculatedColumnFormula>
    </tableColumn>
    <tableColumn id="7" xr3:uid="{2E153593-7DBC-4EBD-B107-747D3E1DF55C}" name="PROFIT" dataDxfId="16">
      <calculatedColumnFormula>IF(A2="Resource",VLOOKUP(D2,Resources!B:L,7,FALSE),VLOOKUP(D2,Crafting!B:O,13,FALSE))</calculatedColumnFormula>
    </tableColumn>
    <tableColumn id="8" xr3:uid="{A6A1AC78-2ECF-4E35-9643-26A41DEE5617}" name="PE" dataDxfId="15">
      <calculatedColumnFormula>IF(A2="Resource",VLOOKUP(D2,Resources!B:L,11,FALSE),VLOOKUP(D2,Crafting!B:O,14,FALSE))</calculatedColumnFormula>
    </tableColumn>
    <tableColumn id="11" xr3:uid="{CEE19878-DCF6-4753-A6C8-2001978EA4CA}" name="Industry_profit" dataDxfId="14">
      <calculatedColumnFormula>SUMIF(C:C,Table9[[#This Row],[sub_industry]],I:II)</calculatedColumnFormula>
    </tableColumn>
    <tableColumn id="9" xr3:uid="{920CE01B-A6A4-46BE-AE38-EC4E8F96D143}" name="INDUSTRY_PE" dataDxfId="13">
      <calculatedColumnFormula>SUMIF(C:C,Table9[[#This Row],[sub_industry]],J:J)</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DDA458D-D9C5-4D65-9B2D-9BA836046FD5}" name="Table10" displayName="Table10" ref="A1:D49" totalsRowShown="0">
  <autoFilter ref="A1:D49" xr:uid="{6DDA458D-D9C5-4D65-9B2D-9BA836046FD5}">
    <filterColumn colId="0">
      <filters>
        <filter val="Farming"/>
      </filters>
    </filterColumn>
  </autoFilter>
  <tableColumns count="4">
    <tableColumn id="1" xr3:uid="{CC344711-FE5C-4443-865C-0BDC1AE66A16}" name="INDUSTRY"/>
    <tableColumn id="2" xr3:uid="{71236DCD-BCB6-4227-BE95-BF736DD4CF37}" name="suib_industry"/>
    <tableColumn id="3" xr3:uid="{444353AC-E100-43D5-93F5-DC96AAB56012}" name="PROFIT" dataDxfId="12">
      <calculatedColumnFormula>VLOOKUP(Table10[[#This Row],[suib_industry]],ITEM_SUMMARY!C:L,8,0)</calculatedColumnFormula>
    </tableColumn>
    <tableColumn id="4" xr3:uid="{D5B2CCCD-3B4A-43E2-9E52-4748EB2A0729}" name="PE" dataDxfId="11">
      <calculatedColumnFormula>VLOOKUP(Table10[[#This Row],[suib_industry]],ITEM_SUMMARY!C:L,10,0)</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A4F6649-3BEF-41F4-A048-307ED4F277B3}" name="Table6" displayName="Table6" ref="A1:G57" totalsRowShown="0" headerRowDxfId="10" headerRowBorderDxfId="9" tableBorderDxfId="8" totalsRowBorderDxfId="7">
  <autoFilter ref="A1:G57" xr:uid="{0A4F6649-3BEF-41F4-A048-307ED4F277B3}"/>
  <sortState xmlns:xlrd2="http://schemas.microsoft.com/office/spreadsheetml/2017/richdata2" ref="A2:G57">
    <sortCondition ref="G2:G57"/>
  </sortState>
  <tableColumns count="7">
    <tableColumn id="1" xr3:uid="{82C04996-E0BD-4BCC-B105-3E6ECEF28FD9}" name="ITEM" dataDxfId="6"/>
    <tableColumn id="2" xr3:uid="{B4F41BAB-D55A-4BFB-9657-5E684400E85D}" name="ENERGY" dataDxfId="5"/>
    <tableColumn id="3" xr3:uid="{0DE13DCE-3A53-4C1C-85AC-F95EDFD37657}" name="crafting cost" dataDxfId="4">
      <calculatedColumnFormula>_xlfn.IFNA(VLOOKUP(Table6[[#This Row],[ITEM]],ITEM_SUMMARY!E:G,2,FALSE),"No data")</calculatedColumnFormula>
    </tableColumn>
    <tableColumn id="5" xr3:uid="{CAA1A2C8-F981-4AB1-A110-8F557F52B54F}" name="eNERGY_CRAFTING" dataDxfId="3">
      <calculatedColumnFormula>_xlfn.IFNA(VLOOKUP(Table6[[#This Row],[ITEM]],ITEM_SUMMARY!E:G,3,FALSE),"No data")</calculatedColumnFormula>
    </tableColumn>
    <tableColumn id="4" xr3:uid="{76707A93-5E7E-45E0-B50F-5587F290EFEE}" name="Market" dataDxfId="2">
      <calculatedColumnFormula>_xlfn.IFNA(VLOOKUP(Table6[[#This Row],[ITEM]],MARKET_id!B:C,2,FALSE),"no data")</calculatedColumnFormula>
    </tableColumn>
    <tableColumn id="6" xr3:uid="{FCB02A91-BF29-4498-A259-1652867B95ED}" name="craft/BUY" dataDxfId="1">
      <calculatedColumnFormula>IF(Table6[[#This Row],[eNERGY_CRAFTING]]=0,IF(Table6[[#This Row],[crafting cost]]&lt;Table6[[#This Row],[Market]],"CRAFT","BUY"),"BUY")</calculatedColumnFormula>
    </tableColumn>
    <tableColumn id="7" xr3:uid="{430DB2A7-F3B9-48CD-84B3-06EA37C1016E}" name="coins/ENERGY" dataDxfId="0" dataCellStyle="Percent">
      <calculatedColumnFormula>IFERROR(IF(Table6[[#This Row],[craft/BUY]]="BUY",Table6[[#This Row],[Market]]/Table6[[#This Row],[ENERGY]],Table6[[#This Row],[crafting cost]]/Table6[[#This Row],[ENERGY]]),"NO DDATA")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7.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8.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3B273-2E2B-484F-94FD-BA69EBCD3234}">
  <sheetPr codeName="Sheet1"/>
  <dimension ref="A1:L19"/>
  <sheetViews>
    <sheetView workbookViewId="0">
      <selection activeCell="N11" sqref="N11"/>
    </sheetView>
  </sheetViews>
  <sheetFormatPr defaultRowHeight="14.4" x14ac:dyDescent="0.3"/>
  <cols>
    <col min="1" max="1" width="19" bestFit="1" customWidth="1"/>
    <col min="2" max="2" width="13.33203125" customWidth="1"/>
    <col min="3" max="3" width="14.5546875" customWidth="1"/>
    <col min="4" max="5" width="12.44140625" customWidth="1"/>
    <col min="6" max="6" width="23.21875" customWidth="1"/>
    <col min="7" max="7" width="10.33203125" customWidth="1"/>
    <col min="8" max="8" width="12.5546875" style="5" customWidth="1"/>
    <col min="9" max="10" width="17.109375" style="5" customWidth="1"/>
    <col min="11" max="11" width="15.6640625" style="5" customWidth="1"/>
    <col min="12" max="12" width="13.5546875" style="5" customWidth="1"/>
  </cols>
  <sheetData>
    <row r="1" spans="1:12" ht="28.8" x14ac:dyDescent="0.3">
      <c r="A1" s="13" t="s">
        <v>0</v>
      </c>
      <c r="B1" s="14" t="s">
        <v>4</v>
      </c>
      <c r="C1" s="14" t="s">
        <v>1</v>
      </c>
      <c r="D1" s="14" t="s">
        <v>283</v>
      </c>
      <c r="E1" s="14" t="s">
        <v>307</v>
      </c>
      <c r="F1" s="14" t="s">
        <v>284</v>
      </c>
      <c r="G1" s="14" t="s">
        <v>285</v>
      </c>
      <c r="H1" s="35" t="s">
        <v>8</v>
      </c>
      <c r="I1" s="35" t="s">
        <v>308</v>
      </c>
      <c r="J1" s="35" t="s">
        <v>310</v>
      </c>
      <c r="K1" s="35" t="s">
        <v>311</v>
      </c>
      <c r="L1" s="36" t="s">
        <v>309</v>
      </c>
    </row>
    <row r="2" spans="1:12" x14ac:dyDescent="0.3">
      <c r="A2" s="8" t="s">
        <v>2</v>
      </c>
      <c r="B2" s="3">
        <v>1</v>
      </c>
      <c r="C2" s="2" t="s">
        <v>3</v>
      </c>
      <c r="D2" s="18">
        <v>0.88</v>
      </c>
      <c r="E2" s="33">
        <v>1</v>
      </c>
      <c r="F2" s="12">
        <v>1.5</v>
      </c>
      <c r="G2" s="2" t="e">
        <f>VLOOKUP(C2,MarketPrice!A:B,2,FALSE)</f>
        <v>#N/A</v>
      </c>
      <c r="H2" s="37" t="e">
        <f>Table4[[#This Row],[DROP RATE]]*Table4[[#This Row],[QNTY]]*99%*Table4[[#This Row],[MARKET PRICE]]</f>
        <v>#N/A</v>
      </c>
      <c r="I2" s="37" t="e">
        <f>Table4[[#This Row],[PROFIT]]/Table4[[#This Row],[ENERGY CONSUMPTION]]</f>
        <v>#N/A</v>
      </c>
      <c r="J2" s="37">
        <v>500</v>
      </c>
      <c r="K2" s="37">
        <v>140</v>
      </c>
      <c r="L2" s="38" t="e">
        <f>(Table4[[#This Row],[DROP RATE]]*Table4[[#This Row],[QNTY]]*Table4[[#This Row],[MARKET PRICE]]*99%*Table4[[#This Row],[No.of collect]]-Table4[[#This Row],[ResourceInvest]])/(Table4[[#This Row],[No.of collect]]*Table4[[#This Row],[ENERGY CONSUMPTION]])</f>
        <v>#N/A</v>
      </c>
    </row>
    <row r="3" spans="1:12" x14ac:dyDescent="0.3">
      <c r="A3" s="8" t="s">
        <v>2</v>
      </c>
      <c r="B3" s="3">
        <v>2</v>
      </c>
      <c r="C3" s="2" t="s">
        <v>161</v>
      </c>
      <c r="D3" s="19">
        <v>0.1</v>
      </c>
      <c r="E3" s="34">
        <v>1</v>
      </c>
      <c r="F3" s="12">
        <v>1.5</v>
      </c>
      <c r="G3" s="2" t="e">
        <f>VLOOKUP(C3,MarketPrice!A:B,2,FALSE)</f>
        <v>#N/A</v>
      </c>
      <c r="H3" s="37" t="e">
        <f>Table4[[#This Row],[DROP RATE]]*Table4[[#This Row],[QNTY]]*99%*Table4[[#This Row],[MARKET PRICE]]</f>
        <v>#N/A</v>
      </c>
      <c r="I3" s="37" t="e">
        <f>Table4[[#This Row],[PROFIT]]/Table4[[#This Row],[ENERGY CONSUMPTION]]</f>
        <v>#N/A</v>
      </c>
      <c r="J3" s="37">
        <v>500</v>
      </c>
      <c r="K3" s="37">
        <v>140</v>
      </c>
      <c r="L3" s="38" t="e">
        <f>(Table4[[#This Row],[DROP RATE]]*Table4[[#This Row],[QNTY]]*Table4[[#This Row],[MARKET PRICE]]*99%*Table4[[#This Row],[No.of collect]]-Table4[[#This Row],[ResourceInvest]])/(Table4[[#This Row],[No.of collect]]*Table4[[#This Row],[ENERGY CONSUMPTION]])</f>
        <v>#N/A</v>
      </c>
    </row>
    <row r="4" spans="1:12" x14ac:dyDescent="0.3">
      <c r="A4" s="8" t="s">
        <v>2</v>
      </c>
      <c r="B4" s="3">
        <v>3</v>
      </c>
      <c r="C4" s="2" t="s">
        <v>125</v>
      </c>
      <c r="D4" s="19">
        <v>0.02</v>
      </c>
      <c r="E4" s="34">
        <v>1</v>
      </c>
      <c r="F4" s="12">
        <v>1.5</v>
      </c>
      <c r="G4" s="2" t="e">
        <f>VLOOKUP(C4,MarketPrice!A:B,2,FALSE)</f>
        <v>#N/A</v>
      </c>
      <c r="H4" s="37" t="e">
        <f>Table4[[#This Row],[DROP RATE]]*Table4[[#This Row],[QNTY]]*99%*Table4[[#This Row],[MARKET PRICE]]</f>
        <v>#N/A</v>
      </c>
      <c r="I4" s="37" t="e">
        <f>Table4[[#This Row],[PROFIT]]/Table4[[#This Row],[ENERGY CONSUMPTION]]</f>
        <v>#N/A</v>
      </c>
      <c r="J4" s="37">
        <v>500</v>
      </c>
      <c r="K4" s="37">
        <v>140</v>
      </c>
      <c r="L4" s="38" t="e">
        <f>(Table4[[#This Row],[DROP RATE]]*Table4[[#This Row],[QNTY]]*Table4[[#This Row],[MARKET PRICE]]*99%*Table4[[#This Row],[No.of collect]]-Table4[[#This Row],[ResourceInvest]])/(Table4[[#This Row],[No.of collect]]*Table4[[#This Row],[ENERGY CONSUMPTION]])</f>
        <v>#N/A</v>
      </c>
    </row>
    <row r="5" spans="1:12" x14ac:dyDescent="0.3">
      <c r="A5" s="8" t="s">
        <v>221</v>
      </c>
      <c r="B5" s="3">
        <v>4</v>
      </c>
      <c r="C5" s="2" t="s">
        <v>130</v>
      </c>
      <c r="D5" s="19">
        <v>1</v>
      </c>
      <c r="E5" s="34">
        <v>3</v>
      </c>
      <c r="F5" s="12">
        <v>2.5</v>
      </c>
      <c r="G5" s="2" t="e">
        <f>VLOOKUP(C5,MarketPrice!A:B,2,FALSE)</f>
        <v>#N/A</v>
      </c>
      <c r="H5" s="37" t="e">
        <f>Table4[[#This Row],[DROP RATE]]*Table4[[#This Row],[QNTY]]*99%*Table4[[#This Row],[MARKET PRICE]]</f>
        <v>#N/A</v>
      </c>
      <c r="I5" s="37" t="e">
        <f>Table4[[#This Row],[PROFIT]]/Table4[[#This Row],[ENERGY CONSUMPTION]]</f>
        <v>#N/A</v>
      </c>
      <c r="J5" s="37">
        <v>1000</v>
      </c>
      <c r="K5" s="37">
        <v>140</v>
      </c>
      <c r="L5" s="38" t="e">
        <f>(Table4[[#This Row],[DROP RATE]]*Table4[[#This Row],[QNTY]]*Table4[[#This Row],[MARKET PRICE]]*99%*Table4[[#This Row],[No.of collect]]-Table4[[#This Row],[ResourceInvest]])/(Table4[[#This Row],[No.of collect]]*Table4[[#This Row],[ENERGY CONSUMPTION]])</f>
        <v>#N/A</v>
      </c>
    </row>
    <row r="6" spans="1:12" x14ac:dyDescent="0.3">
      <c r="A6" s="8" t="s">
        <v>221</v>
      </c>
      <c r="B6" s="3">
        <v>5</v>
      </c>
      <c r="C6" s="2" t="s">
        <v>153</v>
      </c>
      <c r="D6" s="19">
        <v>0.15</v>
      </c>
      <c r="E6" s="34">
        <v>2</v>
      </c>
      <c r="F6" s="12">
        <v>2.5</v>
      </c>
      <c r="G6" s="2" t="e">
        <f>VLOOKUP(C6,MarketPrice!A:B,2,FALSE)</f>
        <v>#N/A</v>
      </c>
      <c r="H6" s="37" t="e">
        <f>Table4[[#This Row],[DROP RATE]]*Table4[[#This Row],[QNTY]]*99%*Table4[[#This Row],[MARKET PRICE]]</f>
        <v>#N/A</v>
      </c>
      <c r="I6" s="37" t="e">
        <f>Table4[[#This Row],[PROFIT]]/Table4[[#This Row],[ENERGY CONSUMPTION]]</f>
        <v>#N/A</v>
      </c>
      <c r="J6" s="37">
        <v>1000</v>
      </c>
      <c r="K6" s="37">
        <v>140</v>
      </c>
      <c r="L6" s="38" t="e">
        <f>(Table4[[#This Row],[DROP RATE]]*Table4[[#This Row],[QNTY]]*Table4[[#This Row],[MARKET PRICE]]*99%*Table4[[#This Row],[No.of collect]]-Table4[[#This Row],[ResourceInvest]])/(Table4[[#This Row],[No.of collect]]*Table4[[#This Row],[ENERGY CONSUMPTION]])</f>
        <v>#N/A</v>
      </c>
    </row>
    <row r="7" spans="1:12" x14ac:dyDescent="0.3">
      <c r="A7" s="8" t="s">
        <v>221</v>
      </c>
      <c r="B7" s="3">
        <v>6</v>
      </c>
      <c r="C7" s="2" t="s">
        <v>150</v>
      </c>
      <c r="D7" s="19">
        <v>5.0000000000000001E-3</v>
      </c>
      <c r="E7" s="34">
        <v>1</v>
      </c>
      <c r="F7" s="12">
        <v>2.5</v>
      </c>
      <c r="G7" s="2" t="e">
        <f>VLOOKUP(C7,MarketPrice!A:B,2,FALSE)</f>
        <v>#N/A</v>
      </c>
      <c r="H7" s="37" t="e">
        <f>Table4[[#This Row],[DROP RATE]]*Table4[[#This Row],[QNTY]]*99%*Table4[[#This Row],[MARKET PRICE]]</f>
        <v>#N/A</v>
      </c>
      <c r="I7" s="37" t="e">
        <f>Table4[[#This Row],[PROFIT]]/Table4[[#This Row],[ENERGY CONSUMPTION]]</f>
        <v>#N/A</v>
      </c>
      <c r="J7" s="37">
        <v>1000</v>
      </c>
      <c r="K7" s="37">
        <v>140</v>
      </c>
      <c r="L7" s="38" t="e">
        <f>(Table4[[#This Row],[DROP RATE]]*Table4[[#This Row],[QNTY]]*Table4[[#This Row],[MARKET PRICE]]*99%*Table4[[#This Row],[No.of collect]]-Table4[[#This Row],[ResourceInvest]])/(Table4[[#This Row],[No.of collect]]*Table4[[#This Row],[ENERGY CONSUMPTION]])</f>
        <v>#N/A</v>
      </c>
    </row>
    <row r="8" spans="1:12" x14ac:dyDescent="0.3">
      <c r="A8" s="8" t="s">
        <v>232</v>
      </c>
      <c r="B8" s="3">
        <v>7</v>
      </c>
      <c r="C8" s="2" t="s">
        <v>154</v>
      </c>
      <c r="D8" s="19">
        <v>1</v>
      </c>
      <c r="E8" s="34">
        <v>3</v>
      </c>
      <c r="F8" s="12">
        <v>8</v>
      </c>
      <c r="G8" s="2" t="e">
        <f>VLOOKUP(C8,MarketPrice!A:B,2,FALSE)</f>
        <v>#N/A</v>
      </c>
      <c r="H8" s="37" t="e">
        <f>Table4[[#This Row],[DROP RATE]]*Table4[[#This Row],[QNTY]]*99%*Table4[[#This Row],[MARKET PRICE]]</f>
        <v>#N/A</v>
      </c>
      <c r="I8" s="37" t="e">
        <f>Table4[[#This Row],[PROFIT]]/Table4[[#This Row],[ENERGY CONSUMPTION]]</f>
        <v>#N/A</v>
      </c>
      <c r="J8" s="37">
        <v>500</v>
      </c>
      <c r="K8" s="37">
        <v>999999</v>
      </c>
      <c r="L8" s="38" t="e">
        <f>(Table4[[#This Row],[DROP RATE]]*Table4[[#This Row],[QNTY]]*Table4[[#This Row],[MARKET PRICE]]*99%*Table4[[#This Row],[No.of collect]]-Table4[[#This Row],[ResourceInvest]])/(Table4[[#This Row],[No.of collect]]*Table4[[#This Row],[ENERGY CONSUMPTION]])</f>
        <v>#N/A</v>
      </c>
    </row>
    <row r="9" spans="1:12" x14ac:dyDescent="0.3">
      <c r="A9" s="8" t="s">
        <v>231</v>
      </c>
      <c r="B9" s="3">
        <v>7</v>
      </c>
      <c r="C9" s="2" t="s">
        <v>154</v>
      </c>
      <c r="D9" s="19">
        <v>1</v>
      </c>
      <c r="E9" s="34">
        <v>3</v>
      </c>
      <c r="F9" s="12">
        <v>8</v>
      </c>
      <c r="G9" s="2" t="e">
        <f>VLOOKUP(C9,MarketPrice!A:B,2,FALSE)</f>
        <v>#N/A</v>
      </c>
      <c r="H9" s="37" t="e">
        <f>Table4[[#This Row],[DROP RATE]]*Table4[[#This Row],[QNTY]]*99%*Table4[[#This Row],[MARKET PRICE]]</f>
        <v>#N/A</v>
      </c>
      <c r="I9" s="37" t="e">
        <f>Table4[[#This Row],[PROFIT]]/Table4[[#This Row],[ENERGY CONSUMPTION]]</f>
        <v>#N/A</v>
      </c>
      <c r="J9" s="37">
        <v>500</v>
      </c>
      <c r="K9" s="37">
        <v>999999</v>
      </c>
      <c r="L9" s="38" t="e">
        <f>(Table4[[#This Row],[DROP RATE]]*Table4[[#This Row],[QNTY]]*Table4[[#This Row],[MARKET PRICE]]*99%*Table4[[#This Row],[No.of collect]]-Table4[[#This Row],[ResourceInvest]])/(Table4[[#This Row],[No.of collect]]*Table4[[#This Row],[ENERGY CONSUMPTION]])</f>
        <v>#N/A</v>
      </c>
    </row>
    <row r="10" spans="1:12" x14ac:dyDescent="0.3">
      <c r="A10" s="8" t="s">
        <v>233</v>
      </c>
      <c r="B10" s="3">
        <v>7</v>
      </c>
      <c r="C10" s="2" t="s">
        <v>154</v>
      </c>
      <c r="D10" s="19">
        <v>1</v>
      </c>
      <c r="E10" s="34">
        <v>3</v>
      </c>
      <c r="F10" s="12">
        <v>8</v>
      </c>
      <c r="G10" s="2" t="e">
        <f>VLOOKUP(C10,MarketPrice!A:B,2,FALSE)</f>
        <v>#N/A</v>
      </c>
      <c r="H10" s="37" t="e">
        <f>Table4[[#This Row],[DROP RATE]]*Table4[[#This Row],[QNTY]]*99%*Table4[[#This Row],[MARKET PRICE]]</f>
        <v>#N/A</v>
      </c>
      <c r="I10" s="37" t="e">
        <f>Table4[[#This Row],[PROFIT]]/Table4[[#This Row],[ENERGY CONSUMPTION]]</f>
        <v>#N/A</v>
      </c>
      <c r="J10" s="37">
        <v>500</v>
      </c>
      <c r="K10" s="37">
        <v>999999</v>
      </c>
      <c r="L10" s="38" t="e">
        <f>(Table4[[#This Row],[DROP RATE]]*Table4[[#This Row],[QNTY]]*Table4[[#This Row],[MARKET PRICE]]*99%*Table4[[#This Row],[No.of collect]]-Table4[[#This Row],[ResourceInvest]])/(Table4[[#This Row],[No.of collect]]*Table4[[#This Row],[ENERGY CONSUMPTION]])</f>
        <v>#N/A</v>
      </c>
    </row>
    <row r="11" spans="1:12" x14ac:dyDescent="0.3">
      <c r="A11" s="8" t="s">
        <v>232</v>
      </c>
      <c r="B11" s="3">
        <v>8</v>
      </c>
      <c r="C11" s="2" t="s">
        <v>122</v>
      </c>
      <c r="D11" s="19">
        <v>0.25</v>
      </c>
      <c r="E11" s="34">
        <v>2</v>
      </c>
      <c r="F11" s="12">
        <v>8</v>
      </c>
      <c r="G11" s="2" t="e">
        <f>VLOOKUP(C11,MarketPrice!A:B,2,FALSE)</f>
        <v>#N/A</v>
      </c>
      <c r="H11" s="37" t="e">
        <f>Table4[[#This Row],[DROP RATE]]*Table4[[#This Row],[QNTY]]*99%*Table4[[#This Row],[MARKET PRICE]]</f>
        <v>#N/A</v>
      </c>
      <c r="I11" s="37" t="e">
        <f>Table4[[#This Row],[PROFIT]]/Table4[[#This Row],[ENERGY CONSUMPTION]]</f>
        <v>#N/A</v>
      </c>
      <c r="J11" s="37">
        <v>500</v>
      </c>
      <c r="K11" s="37">
        <v>999999</v>
      </c>
      <c r="L11" s="38" t="e">
        <f>(Table4[[#This Row],[DROP RATE]]*Table4[[#This Row],[QNTY]]*Table4[[#This Row],[MARKET PRICE]]*99%*Table4[[#This Row],[No.of collect]]-Table4[[#This Row],[ResourceInvest]])/(Table4[[#This Row],[No.of collect]]*Table4[[#This Row],[ENERGY CONSUMPTION]])</f>
        <v>#N/A</v>
      </c>
    </row>
    <row r="12" spans="1:12" x14ac:dyDescent="0.3">
      <c r="A12" s="8" t="s">
        <v>231</v>
      </c>
      <c r="B12" s="3">
        <v>9</v>
      </c>
      <c r="C12" s="2" t="s">
        <v>152</v>
      </c>
      <c r="D12" s="19">
        <v>0.15</v>
      </c>
      <c r="E12" s="34">
        <v>2</v>
      </c>
      <c r="F12" s="12">
        <v>8</v>
      </c>
      <c r="G12" s="2" t="e">
        <f>VLOOKUP(C12,MarketPrice!A:B,2,FALSE)</f>
        <v>#N/A</v>
      </c>
      <c r="H12" s="37" t="e">
        <f>Table4[[#This Row],[DROP RATE]]*Table4[[#This Row],[QNTY]]*99%*Table4[[#This Row],[MARKET PRICE]]</f>
        <v>#N/A</v>
      </c>
      <c r="I12" s="37" t="e">
        <f>Table4[[#This Row],[PROFIT]]/Table4[[#This Row],[ENERGY CONSUMPTION]]</f>
        <v>#N/A</v>
      </c>
      <c r="J12" s="37">
        <v>500</v>
      </c>
      <c r="K12" s="37">
        <v>999999</v>
      </c>
      <c r="L12" s="38" t="e">
        <f>(Table4[[#This Row],[DROP RATE]]*Table4[[#This Row],[QNTY]]*Table4[[#This Row],[MARKET PRICE]]*99%*Table4[[#This Row],[No.of collect]]-Table4[[#This Row],[ResourceInvest]])/(Table4[[#This Row],[No.of collect]]*Table4[[#This Row],[ENERGY CONSUMPTION]])</f>
        <v>#N/A</v>
      </c>
    </row>
    <row r="13" spans="1:12" x14ac:dyDescent="0.3">
      <c r="A13" s="8" t="s">
        <v>233</v>
      </c>
      <c r="B13" s="3">
        <v>10</v>
      </c>
      <c r="C13" s="2" t="s">
        <v>159</v>
      </c>
      <c r="D13" s="19">
        <v>0.05</v>
      </c>
      <c r="E13" s="34">
        <v>1</v>
      </c>
      <c r="F13" s="12">
        <v>8</v>
      </c>
      <c r="G13" s="2" t="e">
        <f>VLOOKUP(C13,MarketPrice!A:B,2,FALSE)</f>
        <v>#N/A</v>
      </c>
      <c r="H13" s="37" t="e">
        <f>Table4[[#This Row],[DROP RATE]]*Table4[[#This Row],[QNTY]]*99%*Table4[[#This Row],[MARKET PRICE]]</f>
        <v>#N/A</v>
      </c>
      <c r="I13" s="37" t="e">
        <f>Table4[[#This Row],[PROFIT]]/Table4[[#This Row],[ENERGY CONSUMPTION]]</f>
        <v>#N/A</v>
      </c>
      <c r="J13" s="37">
        <v>500</v>
      </c>
      <c r="K13" s="37">
        <v>999999</v>
      </c>
      <c r="L13" s="38" t="e">
        <f>(Table4[[#This Row],[DROP RATE]]*Table4[[#This Row],[QNTY]]*Table4[[#This Row],[MARKET PRICE]]*99%*Table4[[#This Row],[No.of collect]]-Table4[[#This Row],[ResourceInvest]])/(Table4[[#This Row],[No.of collect]]*Table4[[#This Row],[ENERGY CONSUMPTION]])</f>
        <v>#N/A</v>
      </c>
    </row>
    <row r="14" spans="1:12" x14ac:dyDescent="0.3">
      <c r="A14" s="8" t="s">
        <v>222</v>
      </c>
      <c r="B14" s="3">
        <v>11</v>
      </c>
      <c r="C14" s="2" t="s">
        <v>180</v>
      </c>
      <c r="D14" s="19">
        <v>1</v>
      </c>
      <c r="E14" s="34">
        <v>3</v>
      </c>
      <c r="F14" s="12">
        <v>5</v>
      </c>
      <c r="G14" s="2" t="e">
        <f>VLOOKUP(C14,MarketPrice!A:B,2,FALSE)</f>
        <v>#N/A</v>
      </c>
      <c r="H14" s="37" t="e">
        <f>Table4[[#This Row],[DROP RATE]]*Table4[[#This Row],[QNTY]]*99%*Table4[[#This Row],[MARKET PRICE]]</f>
        <v>#N/A</v>
      </c>
      <c r="I14" s="37" t="e">
        <f>Table4[[#This Row],[PROFIT]]/Table4[[#This Row],[ENERGY CONSUMPTION]]</f>
        <v>#N/A</v>
      </c>
      <c r="J14" s="37">
        <v>1000</v>
      </c>
      <c r="K14" s="37">
        <v>140</v>
      </c>
      <c r="L14" s="38" t="e">
        <f>(Table4[[#This Row],[DROP RATE]]*Table4[[#This Row],[QNTY]]*Table4[[#This Row],[MARKET PRICE]]*99%*Table4[[#This Row],[No.of collect]]-Table4[[#This Row],[ResourceInvest]])/(Table4[[#This Row],[No.of collect]]*Table4[[#This Row],[ENERGY CONSUMPTION]])</f>
        <v>#N/A</v>
      </c>
    </row>
    <row r="15" spans="1:12" x14ac:dyDescent="0.3">
      <c r="A15" s="8" t="s">
        <v>222</v>
      </c>
      <c r="B15" s="3">
        <v>12</v>
      </c>
      <c r="C15" s="2" t="s">
        <v>171</v>
      </c>
      <c r="D15" s="19">
        <v>0.2</v>
      </c>
      <c r="E15" s="34">
        <v>2</v>
      </c>
      <c r="F15" s="12">
        <v>5</v>
      </c>
      <c r="G15" s="2" t="e">
        <f>VLOOKUP(C15,MarketPrice!A:B,2,FALSE)</f>
        <v>#N/A</v>
      </c>
      <c r="H15" s="37" t="e">
        <f>Table4[[#This Row],[DROP RATE]]*Table4[[#This Row],[QNTY]]*99%*Table4[[#This Row],[MARKET PRICE]]</f>
        <v>#N/A</v>
      </c>
      <c r="I15" s="37" t="e">
        <f>Table4[[#This Row],[PROFIT]]/Table4[[#This Row],[ENERGY CONSUMPTION]]</f>
        <v>#N/A</v>
      </c>
      <c r="J15" s="37">
        <v>1000</v>
      </c>
      <c r="K15" s="37">
        <v>140</v>
      </c>
      <c r="L15" s="38" t="e">
        <f>(Table4[[#This Row],[DROP RATE]]*Table4[[#This Row],[QNTY]]*Table4[[#This Row],[MARKET PRICE]]*99%*Table4[[#This Row],[No.of collect]]-Table4[[#This Row],[ResourceInvest]])/(Table4[[#This Row],[No.of collect]]*Table4[[#This Row],[ENERGY CONSUMPTION]])</f>
        <v>#N/A</v>
      </c>
    </row>
    <row r="16" spans="1:12" x14ac:dyDescent="0.3">
      <c r="A16" s="8" t="s">
        <v>222</v>
      </c>
      <c r="B16" s="3">
        <v>13</v>
      </c>
      <c r="C16" s="2" t="s">
        <v>167</v>
      </c>
      <c r="D16" s="19">
        <v>0.05</v>
      </c>
      <c r="E16" s="34">
        <v>1</v>
      </c>
      <c r="F16" s="12">
        <v>5</v>
      </c>
      <c r="G16" s="2" t="e">
        <f>VLOOKUP(C16,MarketPrice!A:B,2,FALSE)</f>
        <v>#N/A</v>
      </c>
      <c r="H16" s="37" t="e">
        <f>Table4[[#This Row],[DROP RATE]]*Table4[[#This Row],[QNTY]]*99%*Table4[[#This Row],[MARKET PRICE]]</f>
        <v>#N/A</v>
      </c>
      <c r="I16" s="37" t="e">
        <f>Table4[[#This Row],[PROFIT]]/Table4[[#This Row],[ENERGY CONSUMPTION]]</f>
        <v>#N/A</v>
      </c>
      <c r="J16" s="37">
        <v>1000</v>
      </c>
      <c r="K16" s="37">
        <v>140</v>
      </c>
      <c r="L16" s="38" t="e">
        <f>(Table4[[#This Row],[DROP RATE]]*Table4[[#This Row],[QNTY]]*Table4[[#This Row],[MARKET PRICE]]*99%*Table4[[#This Row],[No.of collect]]-Table4[[#This Row],[ResourceInvest]])/(Table4[[#This Row],[No.of collect]]*Table4[[#This Row],[ENERGY CONSUMPTION]])</f>
        <v>#N/A</v>
      </c>
    </row>
    <row r="17" spans="1:12" x14ac:dyDescent="0.3">
      <c r="A17" s="8" t="s">
        <v>223</v>
      </c>
      <c r="B17" s="3">
        <v>14</v>
      </c>
      <c r="C17" s="2" t="s">
        <v>207</v>
      </c>
      <c r="D17" s="19">
        <v>1</v>
      </c>
      <c r="E17" s="34">
        <v>24</v>
      </c>
      <c r="F17" s="12">
        <v>6</v>
      </c>
      <c r="G17" s="2" t="e">
        <f>VLOOKUP(C17,MarketPrice!A:B,2,FALSE)</f>
        <v>#N/A</v>
      </c>
      <c r="H17" s="37" t="e">
        <f>Table4[[#This Row],[DROP RATE]]*Table4[[#This Row],[QNTY]]*99%*Table4[[#This Row],[MARKET PRICE]]</f>
        <v>#N/A</v>
      </c>
      <c r="I17" s="37" t="e">
        <f>Table4[[#This Row],[PROFIT]]/Table4[[#This Row],[ENERGY CONSUMPTION]]</f>
        <v>#N/A</v>
      </c>
      <c r="J17" s="37">
        <v>0</v>
      </c>
      <c r="K17" s="37">
        <v>999999</v>
      </c>
      <c r="L17" s="38" t="e">
        <f>(Table4[[#This Row],[DROP RATE]]*Table4[[#This Row],[QNTY]]*Table4[[#This Row],[MARKET PRICE]]*99%*Table4[[#This Row],[No.of collect]]-Table4[[#This Row],[ResourceInvest]])/(Table4[[#This Row],[No.of collect]]*Table4[[#This Row],[ENERGY CONSUMPTION]])</f>
        <v>#N/A</v>
      </c>
    </row>
    <row r="18" spans="1:12" x14ac:dyDescent="0.3">
      <c r="A18" s="8" t="s">
        <v>223</v>
      </c>
      <c r="B18" s="3">
        <v>15</v>
      </c>
      <c r="C18" s="2" t="s">
        <v>164</v>
      </c>
      <c r="D18" s="19">
        <v>0.2</v>
      </c>
      <c r="E18" s="34">
        <v>6</v>
      </c>
      <c r="F18" s="12">
        <v>6</v>
      </c>
      <c r="G18" s="2" t="e">
        <f>VLOOKUP(C18,MarketPrice!A:B,2,FALSE)</f>
        <v>#N/A</v>
      </c>
      <c r="H18" s="37" t="e">
        <f>Table4[[#This Row],[DROP RATE]]*Table4[[#This Row],[QNTY]]*99%*Table4[[#This Row],[MARKET PRICE]]</f>
        <v>#N/A</v>
      </c>
      <c r="I18" s="37" t="e">
        <f>Table4[[#This Row],[PROFIT]]/Table4[[#This Row],[ENERGY CONSUMPTION]]</f>
        <v>#N/A</v>
      </c>
      <c r="J18" s="37">
        <v>0</v>
      </c>
      <c r="K18" s="37">
        <v>999999</v>
      </c>
      <c r="L18" s="38" t="e">
        <f>(Table4[[#This Row],[DROP RATE]]*Table4[[#This Row],[QNTY]]*Table4[[#This Row],[MARKET PRICE]]*99%*Table4[[#This Row],[No.of collect]]-Table4[[#This Row],[ResourceInvest]])/(Table4[[#This Row],[No.of collect]]*Table4[[#This Row],[ENERGY CONSUMPTION]])</f>
        <v>#N/A</v>
      </c>
    </row>
    <row r="19" spans="1:12" x14ac:dyDescent="0.3">
      <c r="A19" s="9" t="s">
        <v>223</v>
      </c>
      <c r="B19" s="26">
        <v>16</v>
      </c>
      <c r="C19" s="10" t="s">
        <v>151</v>
      </c>
      <c r="D19" s="39">
        <v>2.5000000000000001E-2</v>
      </c>
      <c r="E19" s="40">
        <v>1</v>
      </c>
      <c r="F19" s="27">
        <v>6</v>
      </c>
      <c r="G19" s="10" t="e">
        <f>VLOOKUP(C19,MarketPrice!A:B,2,FALSE)</f>
        <v>#N/A</v>
      </c>
      <c r="H19" s="41" t="e">
        <f>Table4[[#This Row],[DROP RATE]]*Table4[[#This Row],[QNTY]]*99%*Table4[[#This Row],[MARKET PRICE]]</f>
        <v>#N/A</v>
      </c>
      <c r="I19" s="41" t="e">
        <f>Table4[[#This Row],[PROFIT]]/Table4[[#This Row],[ENERGY CONSUMPTION]]</f>
        <v>#N/A</v>
      </c>
      <c r="J19" s="41">
        <v>0</v>
      </c>
      <c r="K19" s="41">
        <v>999999</v>
      </c>
      <c r="L19" s="42" t="e">
        <f>(Table4[[#This Row],[DROP RATE]]*Table4[[#This Row],[QNTY]]*Table4[[#This Row],[MARKET PRICE]]*99%*Table4[[#This Row],[No.of collect]]-Table4[[#This Row],[ResourceInvest]])/(Table4[[#This Row],[No.of collect]]*Table4[[#This Row],[ENERGY CONSUMPTION]])</f>
        <v>#N/A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EE96-FD81-433F-873C-D44F834FAE43}">
  <sheetPr codeName="Sheet2"/>
  <dimension ref="A1:O90"/>
  <sheetViews>
    <sheetView workbookViewId="0">
      <selection activeCell="M39" sqref="M39"/>
    </sheetView>
  </sheetViews>
  <sheetFormatPr defaultRowHeight="14.4" x14ac:dyDescent="0.3"/>
  <cols>
    <col min="1" max="1" width="13.6640625" customWidth="1"/>
    <col min="2" max="2" width="13.33203125" customWidth="1"/>
    <col min="3" max="3" width="21.44140625" customWidth="1"/>
    <col min="4" max="4" width="15.6640625" bestFit="1" customWidth="1"/>
    <col min="5" max="5" width="8.6640625" customWidth="1"/>
    <col min="6" max="6" width="15" customWidth="1"/>
    <col min="7" max="7" width="12.88671875" customWidth="1"/>
    <col min="8" max="8" width="11.77734375" customWidth="1"/>
    <col min="9" max="10" width="13" customWidth="1"/>
    <col min="11" max="11" width="11.5546875" customWidth="1"/>
    <col min="12" max="12" width="12.21875" bestFit="1" customWidth="1"/>
    <col min="13" max="13" width="20.21875" customWidth="1"/>
    <col min="14" max="14" width="10.6640625" style="1" customWidth="1"/>
    <col min="15" max="15" width="10.44140625" style="7" customWidth="1"/>
  </cols>
  <sheetData>
    <row r="1" spans="1:15" ht="28.8" x14ac:dyDescent="0.3">
      <c r="A1" s="25" t="s">
        <v>0</v>
      </c>
      <c r="B1" s="20" t="s">
        <v>4</v>
      </c>
      <c r="C1" s="20" t="s">
        <v>1</v>
      </c>
      <c r="D1" s="20" t="s">
        <v>286</v>
      </c>
      <c r="E1" s="20" t="s">
        <v>287</v>
      </c>
      <c r="F1" s="20" t="s">
        <v>288</v>
      </c>
      <c r="G1" s="20" t="s">
        <v>289</v>
      </c>
      <c r="H1" s="20" t="s">
        <v>296</v>
      </c>
      <c r="I1" s="20" t="s">
        <v>295</v>
      </c>
      <c r="J1" s="20" t="s">
        <v>299</v>
      </c>
      <c r="K1" s="20" t="s">
        <v>6</v>
      </c>
      <c r="L1" s="20" t="s">
        <v>297</v>
      </c>
      <c r="M1" s="20" t="s">
        <v>298</v>
      </c>
      <c r="N1" s="20" t="s">
        <v>8</v>
      </c>
      <c r="O1" s="29" t="s">
        <v>300</v>
      </c>
    </row>
    <row r="2" spans="1:15" x14ac:dyDescent="0.3">
      <c r="A2" s="8" t="s">
        <v>224</v>
      </c>
      <c r="B2" s="3">
        <v>17</v>
      </c>
      <c r="C2" s="2" t="s">
        <v>162</v>
      </c>
      <c r="D2" s="12" t="s">
        <v>209</v>
      </c>
      <c r="E2" s="12">
        <v>1</v>
      </c>
      <c r="F2" s="4">
        <f>_xlfn.IFNA(VLOOKUP(Table8[[#This Row],[INGREDIENTS]],MARKET_id!B:C,2,FALSE),999999)</f>
        <v>999999</v>
      </c>
      <c r="G2" s="4">
        <f>_xlfn.IFNA(VLOOKUP(D2,tv_store[],2,FALSE),999999)</f>
        <v>1</v>
      </c>
      <c r="H2" s="4">
        <f>IF(OR(Table8[[#This Row],[INGREDIENTS MP]]&lt;100000,Table8[[#This Row],[INGREDIENTS TV_STORES]]&lt;100000),MIN(Table8[[#This Row],[INGREDIENTS MP]:[INGREDIENTS TV_STORES]]),"NA")</f>
        <v>1</v>
      </c>
      <c r="I2" s="2">
        <f>IFERROR(Table8[[#This Row],[INGREDIENTS_QUANTITY]]*Table8[[#This Row],[MIN_COST PER  QNTY]],"NA")</f>
        <v>1</v>
      </c>
      <c r="J2" s="2">
        <f>SUMIF(B:B,Table8[[#This Row],[PRODUCT ID]],I:I)</f>
        <v>1</v>
      </c>
      <c r="K2" s="28">
        <v>1</v>
      </c>
      <c r="L2" s="2">
        <v>3.5</v>
      </c>
      <c r="M2" s="2">
        <f>_xlfn.IFNA(VLOOKUP(Table8[[#This Row],[PRODUCT]],MARKET_id!B:C,2,FALSE),0)</f>
        <v>42</v>
      </c>
      <c r="N2" s="4">
        <f>IF(AND(Table8[[#This Row],[Total cost]]&lt;&gt;0,Table8[[#This Row],[PRODUCT_MP VALUE]]&lt;&gt;0),Table8[[#This Row],[PRODUCT_MP VALUE]]*99%*Table8[[#This Row],[DROPRATE]]-Table8[[#This Row],[Total cost]],"NA")</f>
        <v>40.58</v>
      </c>
      <c r="O2" s="6">
        <f>IFERROR(IF(Table8[[#This Row],[ENERGY NEEDED]]&lt;&gt;0,Table8[[#This Row],[PROFIT]]/Table8[[#This Row],[ENERGY NEEDED]],"inf"),"NA")</f>
        <v>11.594285714285714</v>
      </c>
    </row>
    <row r="3" spans="1:15" x14ac:dyDescent="0.3">
      <c r="A3" s="8" t="s">
        <v>224</v>
      </c>
      <c r="B3" s="3">
        <v>18</v>
      </c>
      <c r="C3" s="2" t="s">
        <v>10</v>
      </c>
      <c r="D3" s="12" t="s">
        <v>213</v>
      </c>
      <c r="E3" s="12">
        <v>1</v>
      </c>
      <c r="F3" s="4">
        <f>_xlfn.IFNA(VLOOKUP(Table8[[#This Row],[INGREDIENTS]],MARKET_id!B:C,2,FALSE),999999)</f>
        <v>999999</v>
      </c>
      <c r="G3" s="4">
        <f>_xlfn.IFNA(VLOOKUP(D3,tv_store[],2,FALSE),999999)</f>
        <v>1</v>
      </c>
      <c r="H3" s="4">
        <f>IF(OR(Table8[[#This Row],[INGREDIENTS MP]]&lt;100000,Table8[[#This Row],[INGREDIENTS TV_STORES]]&lt;100000),MIN(Table8[[#This Row],[INGREDIENTS MP]:[INGREDIENTS TV_STORES]]),"NA")</f>
        <v>1</v>
      </c>
      <c r="I3" s="2">
        <f>IFERROR(Table8[[#This Row],[INGREDIENTS_QUANTITY]]*Table8[[#This Row],[MIN_COST PER  QNTY]],"NA")</f>
        <v>1</v>
      </c>
      <c r="J3" s="2">
        <f>SUMIF(B:B,Table8[[#This Row],[PRODUCT ID]],I:I)</f>
        <v>1</v>
      </c>
      <c r="K3" s="28">
        <v>1</v>
      </c>
      <c r="L3" s="2">
        <v>3.5</v>
      </c>
      <c r="M3" s="2">
        <f>_xlfn.IFNA(VLOOKUP(Table8[[#This Row],[PRODUCT]],MARKET_id!B:C,2,FALSE),0)</f>
        <v>46</v>
      </c>
      <c r="N3" s="4">
        <f>IF(AND(Table8[[#This Row],[Total cost]]&lt;&gt;0,Table8[[#This Row],[PRODUCT_MP VALUE]]&lt;&gt;0),Table8[[#This Row],[PRODUCT_MP VALUE]]*99%*Table8[[#This Row],[DROPRATE]]-Table8[[#This Row],[Total cost]],"NA")</f>
        <v>44.54</v>
      </c>
      <c r="O3" s="6">
        <f>IFERROR(IF(Table8[[#This Row],[ENERGY NEEDED]]&lt;&gt;0,Table8[[#This Row],[PROFIT]]/Table8[[#This Row],[ENERGY NEEDED]],"inf"),"NA")</f>
        <v>12.725714285714286</v>
      </c>
    </row>
    <row r="4" spans="1:15" x14ac:dyDescent="0.3">
      <c r="A4" s="8" t="s">
        <v>224</v>
      </c>
      <c r="B4" s="3">
        <v>19</v>
      </c>
      <c r="C4" s="2" t="s">
        <v>128</v>
      </c>
      <c r="D4" s="12" t="s">
        <v>210</v>
      </c>
      <c r="E4" s="12">
        <v>1</v>
      </c>
      <c r="F4" s="4">
        <f>_xlfn.IFNA(VLOOKUP(Table8[[#This Row],[INGREDIENTS]],MARKET_id!B:C,2,FALSE),999999)</f>
        <v>999999</v>
      </c>
      <c r="G4" s="4">
        <f>_xlfn.IFNA(VLOOKUP(D4,tv_store[],2,FALSE),999999)</f>
        <v>3</v>
      </c>
      <c r="H4" s="4">
        <f>IF(OR(Table8[[#This Row],[INGREDIENTS MP]]&lt;100000,Table8[[#This Row],[INGREDIENTS TV_STORES]]&lt;100000),MIN(Table8[[#This Row],[INGREDIENTS MP]:[INGREDIENTS TV_STORES]]),"NA")</f>
        <v>3</v>
      </c>
      <c r="I4" s="2">
        <f>IFERROR(Table8[[#This Row],[INGREDIENTS_QUANTITY]]*Table8[[#This Row],[MIN_COST PER  QNTY]],"NA")</f>
        <v>3</v>
      </c>
      <c r="J4" s="2">
        <f>SUMIF(B:B,Table8[[#This Row],[PRODUCT ID]],I:I)</f>
        <v>3</v>
      </c>
      <c r="K4" s="28">
        <v>1</v>
      </c>
      <c r="L4" s="2">
        <v>4</v>
      </c>
      <c r="M4" s="2">
        <f>_xlfn.IFNA(VLOOKUP(Table8[[#This Row],[PRODUCT]],MARKET_id!B:C,2,FALSE),0)</f>
        <v>53</v>
      </c>
      <c r="N4" s="4">
        <f>IF(AND(Table8[[#This Row],[Total cost]]&lt;&gt;0,Table8[[#This Row],[PRODUCT_MP VALUE]]&lt;&gt;0),Table8[[#This Row],[PRODUCT_MP VALUE]]*99%*Table8[[#This Row],[DROPRATE]]-Table8[[#This Row],[Total cost]],"NA")</f>
        <v>49.47</v>
      </c>
      <c r="O4" s="6">
        <f>IFERROR(IF(Table8[[#This Row],[ENERGY NEEDED]]&lt;&gt;0,Table8[[#This Row],[PROFIT]]/Table8[[#This Row],[ENERGY NEEDED]],"inf"),"NA")</f>
        <v>12.3675</v>
      </c>
    </row>
    <row r="5" spans="1:15" x14ac:dyDescent="0.3">
      <c r="A5" s="8" t="s">
        <v>224</v>
      </c>
      <c r="B5" s="3">
        <v>20</v>
      </c>
      <c r="C5" s="2" t="s">
        <v>183</v>
      </c>
      <c r="D5" s="12" t="s">
        <v>212</v>
      </c>
      <c r="E5" s="12">
        <v>1</v>
      </c>
      <c r="F5" s="4">
        <f>_xlfn.IFNA(VLOOKUP(Table8[[#This Row],[INGREDIENTS]],MARKET_id!B:C,2,FALSE),999999)</f>
        <v>999999</v>
      </c>
      <c r="G5" s="4">
        <f>_xlfn.IFNA(VLOOKUP(D5,tv_store[],2,FALSE),999999)</f>
        <v>15</v>
      </c>
      <c r="H5" s="4">
        <f>IF(OR(Table8[[#This Row],[INGREDIENTS MP]]&lt;100000,Table8[[#This Row],[INGREDIENTS TV_STORES]]&lt;100000),MIN(Table8[[#This Row],[INGREDIENTS MP]:[INGREDIENTS TV_STORES]]),"NA")</f>
        <v>15</v>
      </c>
      <c r="I5" s="2">
        <f>IFERROR(Table8[[#This Row],[INGREDIENTS_QUANTITY]]*Table8[[#This Row],[MIN_COST PER  QNTY]],"NA")</f>
        <v>15</v>
      </c>
      <c r="J5" s="2">
        <f>SUMIF(B:B,Table8[[#This Row],[PRODUCT ID]],I:I)</f>
        <v>15</v>
      </c>
      <c r="K5" s="28">
        <v>1</v>
      </c>
      <c r="L5" s="2">
        <v>8</v>
      </c>
      <c r="M5" s="2">
        <f>_xlfn.IFNA(VLOOKUP(Table8[[#This Row],[PRODUCT]],MARKET_id!B:C,2,FALSE),0)</f>
        <v>87</v>
      </c>
      <c r="N5" s="4">
        <f>IF(AND(Table8[[#This Row],[Total cost]]&lt;&gt;0,Table8[[#This Row],[PRODUCT_MP VALUE]]&lt;&gt;0),Table8[[#This Row],[PRODUCT_MP VALUE]]*99%*Table8[[#This Row],[DROPRATE]]-Table8[[#This Row],[Total cost]],"NA")</f>
        <v>71.13</v>
      </c>
      <c r="O5" s="6">
        <f>IFERROR(IF(Table8[[#This Row],[ENERGY NEEDED]]&lt;&gt;0,Table8[[#This Row],[PROFIT]]/Table8[[#This Row],[ENERGY NEEDED]],"inf"),"NA")</f>
        <v>8.8912499999999994</v>
      </c>
    </row>
    <row r="6" spans="1:15" x14ac:dyDescent="0.3">
      <c r="A6" s="8" t="s">
        <v>224</v>
      </c>
      <c r="B6" s="3">
        <v>21</v>
      </c>
      <c r="C6" s="2" t="s">
        <v>155</v>
      </c>
      <c r="D6" s="12" t="s">
        <v>211</v>
      </c>
      <c r="E6" s="12">
        <v>1</v>
      </c>
      <c r="F6" s="4">
        <f>_xlfn.IFNA(VLOOKUP(Table8[[#This Row],[INGREDIENTS]],MARKET_id!B:C,2,FALSE),999999)</f>
        <v>999999</v>
      </c>
      <c r="G6" s="4">
        <f>_xlfn.IFNA(VLOOKUP(D6,tv_store[],2,FALSE),999999)</f>
        <v>9</v>
      </c>
      <c r="H6" s="4">
        <f>IF(OR(Table8[[#This Row],[INGREDIENTS MP]]&lt;100000,Table8[[#This Row],[INGREDIENTS TV_STORES]]&lt;100000),MIN(Table8[[#This Row],[INGREDIENTS MP]:[INGREDIENTS TV_STORES]]),"NA")</f>
        <v>9</v>
      </c>
      <c r="I6" s="2">
        <f>IFERROR(Table8[[#This Row],[INGREDIENTS_QUANTITY]]*Table8[[#This Row],[MIN_COST PER  QNTY]],"NA")</f>
        <v>9</v>
      </c>
      <c r="J6" s="2">
        <f>SUMIF(B:B,Table8[[#This Row],[PRODUCT ID]],I:I)</f>
        <v>9</v>
      </c>
      <c r="K6" s="28">
        <v>1</v>
      </c>
      <c r="L6" s="2">
        <v>7</v>
      </c>
      <c r="M6" s="2">
        <f>_xlfn.IFNA(VLOOKUP(Table8[[#This Row],[PRODUCT]],MARKET_id!B:C,2,FALSE),0)</f>
        <v>119</v>
      </c>
      <c r="N6" s="4">
        <f>IF(AND(Table8[[#This Row],[Total cost]]&lt;&gt;0,Table8[[#This Row],[PRODUCT_MP VALUE]]&lt;&gt;0),Table8[[#This Row],[PRODUCT_MP VALUE]]*99%*Table8[[#This Row],[DROPRATE]]-Table8[[#This Row],[Total cost]],"NA")</f>
        <v>108.81</v>
      </c>
      <c r="O6" s="6">
        <f>IFERROR(IF(Table8[[#This Row],[ENERGY NEEDED]]&lt;&gt;0,Table8[[#This Row],[PROFIT]]/Table8[[#This Row],[ENERGY NEEDED]],"inf"),"NA")</f>
        <v>15.544285714285715</v>
      </c>
    </row>
    <row r="7" spans="1:15" x14ac:dyDescent="0.3">
      <c r="A7" s="8" t="s">
        <v>224</v>
      </c>
      <c r="B7" s="3">
        <v>22</v>
      </c>
      <c r="C7" s="2" t="s">
        <v>184</v>
      </c>
      <c r="D7" s="12" t="s">
        <v>217</v>
      </c>
      <c r="E7" s="12">
        <v>1</v>
      </c>
      <c r="F7" s="4">
        <f>_xlfn.IFNA(VLOOKUP(Table8[[#This Row],[INGREDIENTS]],MARKET_id!B:C,2,FALSE),999999)</f>
        <v>999999</v>
      </c>
      <c r="G7" s="4">
        <f>_xlfn.IFNA(VLOOKUP(D7,tv_store[],2,FALSE),999999)</f>
        <v>3</v>
      </c>
      <c r="H7" s="4">
        <f>IF(OR(Table8[[#This Row],[INGREDIENTS MP]]&lt;100000,Table8[[#This Row],[INGREDIENTS TV_STORES]]&lt;100000),MIN(Table8[[#This Row],[INGREDIENTS MP]:[INGREDIENTS TV_STORES]]),"NA")</f>
        <v>3</v>
      </c>
      <c r="I7" s="2">
        <f>IFERROR(Table8[[#This Row],[INGREDIENTS_QUANTITY]]*Table8[[#This Row],[MIN_COST PER  QNTY]],"NA")</f>
        <v>3</v>
      </c>
      <c r="J7" s="2">
        <f>SUMIF(B:B,Table8[[#This Row],[PRODUCT ID]],I:I)</f>
        <v>3</v>
      </c>
      <c r="K7" s="28">
        <v>0.99</v>
      </c>
      <c r="L7" s="2">
        <v>5</v>
      </c>
      <c r="M7" s="2">
        <f>_xlfn.IFNA(VLOOKUP(Table8[[#This Row],[PRODUCT]],MARKET_id!B:C,2,FALSE),0)</f>
        <v>52</v>
      </c>
      <c r="N7" s="4">
        <f>IF(AND(Table8[[#This Row],[Total cost]]&lt;&gt;0,Table8[[#This Row],[PRODUCT_MP VALUE]]&lt;&gt;0),Table8[[#This Row],[PRODUCT_MP VALUE]]*99%*Table8[[#This Row],[DROPRATE]]-Table8[[#This Row],[Total cost]],"NA")</f>
        <v>47.965199999999996</v>
      </c>
      <c r="O7" s="6">
        <f>IFERROR(IF(Table8[[#This Row],[ENERGY NEEDED]]&lt;&gt;0,Table8[[#This Row],[PROFIT]]/Table8[[#This Row],[ENERGY NEEDED]],"inf"),"NA")</f>
        <v>9.5930399999999985</v>
      </c>
    </row>
    <row r="8" spans="1:15" x14ac:dyDescent="0.3">
      <c r="A8" s="8" t="s">
        <v>224</v>
      </c>
      <c r="B8" s="3">
        <v>23</v>
      </c>
      <c r="C8" s="2" t="s">
        <v>133</v>
      </c>
      <c r="D8" s="12" t="s">
        <v>214</v>
      </c>
      <c r="E8" s="12">
        <v>1</v>
      </c>
      <c r="F8" s="4">
        <f>_xlfn.IFNA(VLOOKUP(Table8[[#This Row],[INGREDIENTS]],MARKET_id!B:C,2,FALSE),999999)</f>
        <v>999999</v>
      </c>
      <c r="G8" s="4">
        <f>_xlfn.IFNA(VLOOKUP(D8,tv_store[],2,FALSE),999999)</f>
        <v>999999</v>
      </c>
      <c r="H8" s="4" t="str">
        <f>IF(OR(Table8[[#This Row],[INGREDIENTS MP]]&lt;100000,Table8[[#This Row],[INGREDIENTS TV_STORES]]&lt;100000),MIN(Table8[[#This Row],[INGREDIENTS MP]:[INGREDIENTS TV_STORES]]),"NA")</f>
        <v>NA</v>
      </c>
      <c r="I8" s="2" t="str">
        <f>IFERROR(Table8[[#This Row],[INGREDIENTS_QUANTITY]]*Table8[[#This Row],[MIN_COST PER  QNTY]],"NA")</f>
        <v>NA</v>
      </c>
      <c r="J8" s="2">
        <f>SUMIF(B:B,Table8[[#This Row],[PRODUCT ID]],I:I)</f>
        <v>0</v>
      </c>
      <c r="K8" s="28">
        <v>1</v>
      </c>
      <c r="L8" s="2">
        <v>10.5</v>
      </c>
      <c r="M8" s="2">
        <f>_xlfn.IFNA(VLOOKUP(Table8[[#This Row],[PRODUCT]],MARKET_id!B:C,2,FALSE),0)</f>
        <v>235</v>
      </c>
      <c r="N8" s="4" t="str">
        <f>IF(AND(Table8[[#This Row],[Total cost]]&lt;&gt;0,Table8[[#This Row],[PRODUCT_MP VALUE]]&lt;&gt;0),Table8[[#This Row],[PRODUCT_MP VALUE]]*99%*Table8[[#This Row],[DROPRATE]]-Table8[[#This Row],[Total cost]],"NA")</f>
        <v>NA</v>
      </c>
      <c r="O8" s="6" t="str">
        <f>IFERROR(IF(Table8[[#This Row],[ENERGY NEEDED]]&lt;&gt;0,Table8[[#This Row],[PROFIT]]/Table8[[#This Row],[ENERGY NEEDED]],"inf"),"NA")</f>
        <v>NA</v>
      </c>
    </row>
    <row r="9" spans="1:15" x14ac:dyDescent="0.3">
      <c r="A9" s="8" t="s">
        <v>224</v>
      </c>
      <c r="B9" s="3">
        <v>24</v>
      </c>
      <c r="C9" s="2" t="s">
        <v>156</v>
      </c>
      <c r="D9" s="12" t="s">
        <v>216</v>
      </c>
      <c r="E9" s="12">
        <v>1</v>
      </c>
      <c r="F9" s="4">
        <f>_xlfn.IFNA(VLOOKUP(Table8[[#This Row],[INGREDIENTS]],MARKET_id!B:C,2,FALSE),999999)</f>
        <v>999999</v>
      </c>
      <c r="G9" s="4">
        <f>_xlfn.IFNA(VLOOKUP(D9,tv_store[],2,FALSE),999999)</f>
        <v>12</v>
      </c>
      <c r="H9" s="4">
        <f>IF(OR(Table8[[#This Row],[INGREDIENTS MP]]&lt;100000,Table8[[#This Row],[INGREDIENTS TV_STORES]]&lt;100000),MIN(Table8[[#This Row],[INGREDIENTS MP]:[INGREDIENTS TV_STORES]]),"NA")</f>
        <v>12</v>
      </c>
      <c r="I9" s="2">
        <f>IFERROR(Table8[[#This Row],[INGREDIENTS_QUANTITY]]*Table8[[#This Row],[MIN_COST PER  QNTY]],"NA")</f>
        <v>12</v>
      </c>
      <c r="J9" s="2">
        <f>SUMIF(B:B,Table8[[#This Row],[PRODUCT ID]],I:I)</f>
        <v>12</v>
      </c>
      <c r="K9" s="28">
        <v>1</v>
      </c>
      <c r="L9" s="2">
        <v>8</v>
      </c>
      <c r="M9" s="2">
        <f>_xlfn.IFNA(VLOOKUP(Table8[[#This Row],[PRODUCT]],MARKET_id!B:C,2,FALSE),0)</f>
        <v>79</v>
      </c>
      <c r="N9" s="4">
        <f>IF(AND(Table8[[#This Row],[Total cost]]&lt;&gt;0,Table8[[#This Row],[PRODUCT_MP VALUE]]&lt;&gt;0),Table8[[#This Row],[PRODUCT_MP VALUE]]*99%*Table8[[#This Row],[DROPRATE]]-Table8[[#This Row],[Total cost]],"NA")</f>
        <v>66.209999999999994</v>
      </c>
      <c r="O9" s="6">
        <f>IFERROR(IF(Table8[[#This Row],[ENERGY NEEDED]]&lt;&gt;0,Table8[[#This Row],[PROFIT]]/Table8[[#This Row],[ENERGY NEEDED]],"inf"),"NA")</f>
        <v>8.2762499999999992</v>
      </c>
    </row>
    <row r="10" spans="1:15" x14ac:dyDescent="0.3">
      <c r="A10" s="8" t="s">
        <v>224</v>
      </c>
      <c r="B10" s="3">
        <v>25</v>
      </c>
      <c r="C10" s="2" t="s">
        <v>177</v>
      </c>
      <c r="D10" s="12" t="s">
        <v>193</v>
      </c>
      <c r="E10" s="12">
        <v>1</v>
      </c>
      <c r="F10" s="4">
        <f>_xlfn.IFNA(VLOOKUP(Table8[[#This Row],[INGREDIENTS]],MARKET_id!B:C,2,FALSE),999999)</f>
        <v>999999</v>
      </c>
      <c r="G10" s="4">
        <f>_xlfn.IFNA(VLOOKUP(D10,tv_store[],2,FALSE),999999)</f>
        <v>18</v>
      </c>
      <c r="H10" s="4">
        <f>IF(OR(Table8[[#This Row],[INGREDIENTS MP]]&lt;100000,Table8[[#This Row],[INGREDIENTS TV_STORES]]&lt;100000),MIN(Table8[[#This Row],[INGREDIENTS MP]:[INGREDIENTS TV_STORES]]),"NA")</f>
        <v>18</v>
      </c>
      <c r="I10" s="2">
        <f>IFERROR(Table8[[#This Row],[INGREDIENTS_QUANTITY]]*Table8[[#This Row],[MIN_COST PER  QNTY]],"NA")</f>
        <v>18</v>
      </c>
      <c r="J10" s="2">
        <f>SUMIF(B:B,Table8[[#This Row],[PRODUCT ID]],I:I)</f>
        <v>18</v>
      </c>
      <c r="K10" s="28">
        <v>1</v>
      </c>
      <c r="L10" s="2">
        <v>11.5</v>
      </c>
      <c r="M10" s="2">
        <f>_xlfn.IFNA(VLOOKUP(Table8[[#This Row],[PRODUCT]],MARKET_id!B:C,2,FALSE),0)</f>
        <v>120</v>
      </c>
      <c r="N10" s="4">
        <f>IF(AND(Table8[[#This Row],[Total cost]]&lt;&gt;0,Table8[[#This Row],[PRODUCT_MP VALUE]]&lt;&gt;0),Table8[[#This Row],[PRODUCT_MP VALUE]]*99%*Table8[[#This Row],[DROPRATE]]-Table8[[#This Row],[Total cost]],"NA")</f>
        <v>100.8</v>
      </c>
      <c r="O10" s="6">
        <f>IFERROR(IF(Table8[[#This Row],[ENERGY NEEDED]]&lt;&gt;0,Table8[[#This Row],[PROFIT]]/Table8[[#This Row],[ENERGY NEEDED]],"inf"),"NA")</f>
        <v>8.765217391304347</v>
      </c>
    </row>
    <row r="11" spans="1:15" x14ac:dyDescent="0.3">
      <c r="A11" s="8" t="s">
        <v>224</v>
      </c>
      <c r="B11" s="3">
        <v>26</v>
      </c>
      <c r="C11" s="2" t="s">
        <v>135</v>
      </c>
      <c r="D11" s="12" t="s">
        <v>215</v>
      </c>
      <c r="E11" s="12">
        <v>1</v>
      </c>
      <c r="F11" s="4">
        <f>_xlfn.IFNA(VLOOKUP(Table8[[#This Row],[INGREDIENTS]],MARKET_id!B:C,2,FALSE),999999)</f>
        <v>999999</v>
      </c>
      <c r="G11" s="4">
        <f>_xlfn.IFNA(VLOOKUP(D11,tv_store[],2,FALSE),999999)</f>
        <v>36</v>
      </c>
      <c r="H11" s="4">
        <f>IF(OR(Table8[[#This Row],[INGREDIENTS MP]]&lt;100000,Table8[[#This Row],[INGREDIENTS TV_STORES]]&lt;100000),MIN(Table8[[#This Row],[INGREDIENTS MP]:[INGREDIENTS TV_STORES]]),"NA")</f>
        <v>36</v>
      </c>
      <c r="I11" s="2">
        <f>IFERROR(Table8[[#This Row],[INGREDIENTS_QUANTITY]]*Table8[[#This Row],[MIN_COST PER  QNTY]],"NA")</f>
        <v>36</v>
      </c>
      <c r="J11" s="2">
        <f>SUMIF(B:B,Table8[[#This Row],[PRODUCT ID]],I:I)</f>
        <v>36</v>
      </c>
      <c r="K11" s="28">
        <v>1</v>
      </c>
      <c r="L11" s="2">
        <v>8.5</v>
      </c>
      <c r="M11" s="2">
        <f>_xlfn.IFNA(VLOOKUP(Table8[[#This Row],[PRODUCT]],MARKET_id!B:C,2,FALSE),0)</f>
        <v>138</v>
      </c>
      <c r="N11" s="4">
        <f>IF(AND(Table8[[#This Row],[Total cost]]&lt;&gt;0,Table8[[#This Row],[PRODUCT_MP VALUE]]&lt;&gt;0),Table8[[#This Row],[PRODUCT_MP VALUE]]*99%*Table8[[#This Row],[DROPRATE]]-Table8[[#This Row],[Total cost]],"NA")</f>
        <v>100.62</v>
      </c>
      <c r="O11" s="6">
        <f>IFERROR(IF(Table8[[#This Row],[ENERGY NEEDED]]&lt;&gt;0,Table8[[#This Row],[PROFIT]]/Table8[[#This Row],[ENERGY NEEDED]],"inf"),"NA")</f>
        <v>11.83764705882353</v>
      </c>
    </row>
    <row r="12" spans="1:15" x14ac:dyDescent="0.3">
      <c r="A12" s="8" t="s">
        <v>224</v>
      </c>
      <c r="B12" s="3">
        <v>27</v>
      </c>
      <c r="C12" s="2" t="s">
        <v>218</v>
      </c>
      <c r="D12" s="12" t="s">
        <v>226</v>
      </c>
      <c r="E12" s="12">
        <v>1</v>
      </c>
      <c r="F12" s="4">
        <f>_xlfn.IFNA(VLOOKUP(Table8[[#This Row],[INGREDIENTS]],MARKET_id!B:C,2,FALSE),999999)</f>
        <v>999999</v>
      </c>
      <c r="G12" s="4">
        <f>_xlfn.IFNA(VLOOKUP(D12,tv_store[],2,FALSE),999999)</f>
        <v>1</v>
      </c>
      <c r="H12" s="4">
        <f>IF(OR(Table8[[#This Row],[INGREDIENTS MP]]&lt;100000,Table8[[#This Row],[INGREDIENTS TV_STORES]]&lt;100000),MIN(Table8[[#This Row],[INGREDIENTS MP]:[INGREDIENTS TV_STORES]]),"NA")</f>
        <v>1</v>
      </c>
      <c r="I12" s="2">
        <f>IFERROR(Table8[[#This Row],[INGREDIENTS_QUANTITY]]*Table8[[#This Row],[MIN_COST PER  QNTY]],"NA")</f>
        <v>1</v>
      </c>
      <c r="J12" s="2">
        <f>SUMIF(B:B,Table8[[#This Row],[PRODUCT ID]],I:I)</f>
        <v>1</v>
      </c>
      <c r="K12" s="28">
        <v>1</v>
      </c>
      <c r="L12" s="2">
        <v>3.5</v>
      </c>
      <c r="M12" s="2">
        <f>_xlfn.IFNA(VLOOKUP(Table8[[#This Row],[PRODUCT]],MARKET_id!B:C,2,FALSE),0)</f>
        <v>0</v>
      </c>
      <c r="N12" s="4" t="str">
        <f>IF(AND(Table8[[#This Row],[Total cost]]&lt;&gt;0,Table8[[#This Row],[PRODUCT_MP VALUE]]&lt;&gt;0),Table8[[#This Row],[PRODUCT_MP VALUE]]*99%*Table8[[#This Row],[DROPRATE]]-Table8[[#This Row],[Total cost]],"NA")</f>
        <v>NA</v>
      </c>
      <c r="O12" s="6" t="str">
        <f>IFERROR(IF(Table8[[#This Row],[ENERGY NEEDED]]&lt;&gt;0,Table8[[#This Row],[PROFIT]]/Table8[[#This Row],[ENERGY NEEDED]],"inf"),"NA")</f>
        <v>NA</v>
      </c>
    </row>
    <row r="13" spans="1:15" x14ac:dyDescent="0.3">
      <c r="A13" s="9" t="s">
        <v>224</v>
      </c>
      <c r="B13" s="3">
        <v>28</v>
      </c>
      <c r="C13" s="2" t="s">
        <v>163</v>
      </c>
      <c r="D13" s="12" t="s">
        <v>217</v>
      </c>
      <c r="E13" s="12">
        <v>1</v>
      </c>
      <c r="F13" s="4">
        <f>_xlfn.IFNA(VLOOKUP(Table8[[#This Row],[INGREDIENTS]],MARKET_id!B:C,2,FALSE),999999)</f>
        <v>999999</v>
      </c>
      <c r="G13" s="4">
        <f>_xlfn.IFNA(VLOOKUP(D13,tv_store[],2,FALSE),999999)</f>
        <v>3</v>
      </c>
      <c r="H13" s="4">
        <f>IF(OR(Table8[[#This Row],[INGREDIENTS MP]]&lt;100000,Table8[[#This Row],[INGREDIENTS TV_STORES]]&lt;100000),MIN(Table8[[#This Row],[INGREDIENTS MP]:[INGREDIENTS TV_STORES]]),"NA")</f>
        <v>3</v>
      </c>
      <c r="I13" s="2">
        <f>IFERROR(Table8[[#This Row],[INGREDIENTS_QUANTITY]]*Table8[[#This Row],[MIN_COST PER  QNTY]],"NA")</f>
        <v>3</v>
      </c>
      <c r="J13" s="2">
        <f>SUMIF(B:B,Table8[[#This Row],[PRODUCT ID]],I:I)</f>
        <v>3</v>
      </c>
      <c r="K13" s="28">
        <v>0.01</v>
      </c>
      <c r="L13" s="2">
        <v>5</v>
      </c>
      <c r="M13" s="2">
        <f>_xlfn.IFNA(VLOOKUP(Table8[[#This Row],[PRODUCT]],MARKET_id!B:C,2,FALSE),0)</f>
        <v>396</v>
      </c>
      <c r="N13" s="4">
        <f>IF(AND(Table8[[#This Row],[Total cost]]&lt;&gt;0,Table8[[#This Row],[PRODUCT_MP VALUE]]&lt;&gt;0),Table8[[#This Row],[PRODUCT_MP VALUE]]*99%*Table8[[#This Row],[DROPRATE]]-Table8[[#This Row],[Total cost]],"NA")</f>
        <v>0.92040000000000033</v>
      </c>
      <c r="O13" s="6">
        <f>IFERROR(IF(Table8[[#This Row],[ENERGY NEEDED]]&lt;&gt;0,Table8[[#This Row],[PROFIT]]/Table8[[#This Row],[ENERGY NEEDED]],"inf"),"NA")</f>
        <v>0.18408000000000008</v>
      </c>
    </row>
    <row r="14" spans="1:15" ht="17.399999999999999" customHeight="1" x14ac:dyDescent="0.3">
      <c r="A14" s="8" t="s">
        <v>225</v>
      </c>
      <c r="B14" s="3">
        <v>29</v>
      </c>
      <c r="C14" s="2" t="s">
        <v>202</v>
      </c>
      <c r="D14" s="12" t="s">
        <v>162</v>
      </c>
      <c r="E14" s="12">
        <v>2</v>
      </c>
      <c r="F14" s="4">
        <f>_xlfn.IFNA(VLOOKUP(Table8[[#This Row],[INGREDIENTS]],MARKET_id!B:C,2,FALSE),999999)</f>
        <v>42</v>
      </c>
      <c r="G14" s="4">
        <f>_xlfn.IFNA(VLOOKUP(D14,tv_store[],2,FALSE),999999)</f>
        <v>999999</v>
      </c>
      <c r="H14" s="4">
        <f>IF(OR(Table8[[#This Row],[INGREDIENTS MP]]&lt;100000,Table8[[#This Row],[INGREDIENTS TV_STORES]]&lt;100000),MIN(Table8[[#This Row],[INGREDIENTS MP]:[INGREDIENTS TV_STORES]]),"NA")</f>
        <v>42</v>
      </c>
      <c r="I14" s="2">
        <f>IFERROR(Table8[[#This Row],[INGREDIENTS_QUANTITY]]*Table8[[#This Row],[MIN_COST PER  QNTY]],"NA")</f>
        <v>84</v>
      </c>
      <c r="J14" s="2">
        <f>SUMIF(B:B,Table8[[#This Row],[PRODUCT ID]],I:I)</f>
        <v>94</v>
      </c>
      <c r="K14" s="28">
        <v>1</v>
      </c>
      <c r="L14" s="2">
        <v>0</v>
      </c>
      <c r="M14" s="2">
        <f>_xlfn.IFNA(VLOOKUP(Table8[[#This Row],[PRODUCT]],MARKET_id!B:C,2,FALSE),0)</f>
        <v>108</v>
      </c>
      <c r="N14" s="4">
        <f>IF(AND(Table8[[#This Row],[Total cost]]&lt;&gt;0,Table8[[#This Row],[PRODUCT_MP VALUE]]&lt;&gt;0),Table8[[#This Row],[PRODUCT_MP VALUE]]*99%*Table8[[#This Row],[DROPRATE]]-Table8[[#This Row],[Total cost]],"NA")</f>
        <v>12.920000000000002</v>
      </c>
      <c r="O14" s="6" t="str">
        <f>IFERROR(IF(Table8[[#This Row],[ENERGY NEEDED]]&lt;&gt;0,Table8[[#This Row],[PROFIT]]/Table8[[#This Row],[ENERGY NEEDED]],"inf"),"NA")</f>
        <v>inf</v>
      </c>
    </row>
    <row r="15" spans="1:15" x14ac:dyDescent="0.3">
      <c r="A15" s="8" t="s">
        <v>225</v>
      </c>
      <c r="B15" s="3">
        <v>29</v>
      </c>
      <c r="C15" s="2" t="s">
        <v>202</v>
      </c>
      <c r="D15" s="12" t="s">
        <v>188</v>
      </c>
      <c r="E15" s="12">
        <v>1</v>
      </c>
      <c r="F15" s="4">
        <f>_xlfn.IFNA(VLOOKUP(Table8[[#This Row],[INGREDIENTS]],MARKET_id!B:C,2,FALSE),999999)</f>
        <v>999999</v>
      </c>
      <c r="G15" s="4">
        <f>_xlfn.IFNA(VLOOKUP(D15,tv_store[],2,FALSE),999999)</f>
        <v>10</v>
      </c>
      <c r="H15" s="4">
        <f>IF(OR(Table8[[#This Row],[INGREDIENTS MP]]&lt;100000,Table8[[#This Row],[INGREDIENTS TV_STORES]]&lt;100000),MIN(Table8[[#This Row],[INGREDIENTS MP]:[INGREDIENTS TV_STORES]]),"NA")</f>
        <v>10</v>
      </c>
      <c r="I15" s="2">
        <f>IFERROR(Table8[[#This Row],[INGREDIENTS_QUANTITY]]*Table8[[#This Row],[MIN_COST PER  QNTY]],"NA")</f>
        <v>10</v>
      </c>
      <c r="J15" s="2">
        <f>SUMIF(B:B,Table8[[#This Row],[PRODUCT ID]],I:I)</f>
        <v>94</v>
      </c>
      <c r="K15" s="28">
        <v>1</v>
      </c>
      <c r="L15" s="2">
        <v>0</v>
      </c>
      <c r="M15" s="2">
        <f>_xlfn.IFNA(VLOOKUP(Table8[[#This Row],[PRODUCT]],MARKET_id!B:C,2,FALSE),0)</f>
        <v>108</v>
      </c>
      <c r="N15" s="4">
        <f>IF(AND(Table8[[#This Row],[Total cost]]&lt;&gt;0,Table8[[#This Row],[PRODUCT_MP VALUE]]&lt;&gt;0),Table8[[#This Row],[PRODUCT_MP VALUE]]*99%*Table8[[#This Row],[DROPRATE]]-Table8[[#This Row],[Total cost]],"NA")</f>
        <v>12.920000000000002</v>
      </c>
      <c r="O15" s="6" t="str">
        <f>IFERROR(IF(Table8[[#This Row],[ENERGY NEEDED]]&lt;&gt;0,Table8[[#This Row],[PROFIT]]/Table8[[#This Row],[ENERGY NEEDED]],"inf"),"NA")</f>
        <v>inf</v>
      </c>
    </row>
    <row r="16" spans="1:15" x14ac:dyDescent="0.3">
      <c r="A16" s="8" t="s">
        <v>225</v>
      </c>
      <c r="B16" s="3">
        <v>30</v>
      </c>
      <c r="C16" s="2" t="s">
        <v>195</v>
      </c>
      <c r="D16" s="12" t="s">
        <v>162</v>
      </c>
      <c r="E16" s="12">
        <v>2</v>
      </c>
      <c r="F16" s="4">
        <f>_xlfn.IFNA(VLOOKUP(Table8[[#This Row],[INGREDIENTS]],MARKET_id!B:C,2,FALSE),999999)</f>
        <v>42</v>
      </c>
      <c r="G16" s="4">
        <f>_xlfn.IFNA(VLOOKUP(D16,tv_store[],2,FALSE),999999)</f>
        <v>999999</v>
      </c>
      <c r="H16" s="4">
        <f>IF(OR(Table8[[#This Row],[INGREDIENTS MP]]&lt;100000,Table8[[#This Row],[INGREDIENTS TV_STORES]]&lt;100000),MIN(Table8[[#This Row],[INGREDIENTS MP]:[INGREDIENTS TV_STORES]]),"NA")</f>
        <v>42</v>
      </c>
      <c r="I16" s="2">
        <f>IFERROR(Table8[[#This Row],[INGREDIENTS_QUANTITY]]*Table8[[#This Row],[MIN_COST PER  QNTY]],"NA")</f>
        <v>84</v>
      </c>
      <c r="J16" s="2">
        <f>SUMIF(B:B,Table8[[#This Row],[PRODUCT ID]],I:I)</f>
        <v>283</v>
      </c>
      <c r="K16" s="28">
        <v>1</v>
      </c>
      <c r="L16" s="2">
        <v>0</v>
      </c>
      <c r="M16" s="2">
        <f>_xlfn.IFNA(VLOOKUP(Table8[[#This Row],[PRODUCT]],MARKET_id!B:C,2,FALSE),0)</f>
        <v>397</v>
      </c>
      <c r="N16" s="4">
        <f>IF(AND(Table8[[#This Row],[Total cost]]&lt;&gt;0,Table8[[#This Row],[PRODUCT_MP VALUE]]&lt;&gt;0),Table8[[#This Row],[PRODUCT_MP VALUE]]*99%*Table8[[#This Row],[DROPRATE]]-Table8[[#This Row],[Total cost]],"NA")</f>
        <v>110.02999999999997</v>
      </c>
      <c r="O16" s="6" t="str">
        <f>IFERROR(IF(Table8[[#This Row],[ENERGY NEEDED]]&lt;&gt;0,Table8[[#This Row],[PROFIT]]/Table8[[#This Row],[ENERGY NEEDED]],"inf"),"NA")</f>
        <v>inf</v>
      </c>
    </row>
    <row r="17" spans="1:15" x14ac:dyDescent="0.3">
      <c r="A17" s="8" t="s">
        <v>225</v>
      </c>
      <c r="B17" s="3">
        <v>30</v>
      </c>
      <c r="C17" s="2" t="s">
        <v>195</v>
      </c>
      <c r="D17" s="12" t="s">
        <v>188</v>
      </c>
      <c r="E17" s="12">
        <v>1</v>
      </c>
      <c r="F17" s="4">
        <f>_xlfn.IFNA(VLOOKUP(Table8[[#This Row],[INGREDIENTS]],MARKET_id!B:C,2,FALSE),999999)</f>
        <v>999999</v>
      </c>
      <c r="G17" s="4">
        <f>_xlfn.IFNA(VLOOKUP(D17,tv_store[],2,FALSE),999999)</f>
        <v>10</v>
      </c>
      <c r="H17" s="4">
        <f>IF(OR(Table8[[#This Row],[INGREDIENTS MP]]&lt;100000,Table8[[#This Row],[INGREDIENTS TV_STORES]]&lt;100000),MIN(Table8[[#This Row],[INGREDIENTS MP]:[INGREDIENTS TV_STORES]]),"NA")</f>
        <v>10</v>
      </c>
      <c r="I17" s="2">
        <f>IFERROR(Table8[[#This Row],[INGREDIENTS_QUANTITY]]*Table8[[#This Row],[MIN_COST PER  QNTY]],"NA")</f>
        <v>10</v>
      </c>
      <c r="J17" s="2">
        <f>SUMIF(B:B,Table8[[#This Row],[PRODUCT ID]],I:I)</f>
        <v>283</v>
      </c>
      <c r="K17" s="28">
        <v>1</v>
      </c>
      <c r="L17" s="2">
        <v>0</v>
      </c>
      <c r="M17" s="2">
        <f>_xlfn.IFNA(VLOOKUP(Table8[[#This Row],[PRODUCT]],MARKET_id!B:C,2,FALSE),0)</f>
        <v>397</v>
      </c>
      <c r="N17" s="4">
        <f>IF(AND(Table8[[#This Row],[Total cost]]&lt;&gt;0,Table8[[#This Row],[PRODUCT_MP VALUE]]&lt;&gt;0),Table8[[#This Row],[PRODUCT_MP VALUE]]*99%*Table8[[#This Row],[DROPRATE]]-Table8[[#This Row],[Total cost]],"NA")</f>
        <v>110.02999999999997</v>
      </c>
      <c r="O17" s="6" t="str">
        <f>IFERROR(IF(Table8[[#This Row],[ENERGY NEEDED]]&lt;&gt;0,Table8[[#This Row],[PROFIT]]/Table8[[#This Row],[ENERGY NEEDED]],"inf"),"NA")</f>
        <v>inf</v>
      </c>
    </row>
    <row r="18" spans="1:15" x14ac:dyDescent="0.3">
      <c r="A18" s="8" t="s">
        <v>225</v>
      </c>
      <c r="B18" s="3">
        <v>30</v>
      </c>
      <c r="C18" s="2" t="s">
        <v>195</v>
      </c>
      <c r="D18" s="12" t="s">
        <v>127</v>
      </c>
      <c r="E18" s="12">
        <v>1</v>
      </c>
      <c r="F18" s="4">
        <f>_xlfn.IFNA(VLOOKUP(Table8[[#This Row],[INGREDIENTS]],MARKET_id!B:C,2,FALSE),999999)</f>
        <v>145</v>
      </c>
      <c r="G18" s="4">
        <f>_xlfn.IFNA(VLOOKUP(D18,tv_store[],2,FALSE),999999)</f>
        <v>999999</v>
      </c>
      <c r="H18" s="4">
        <f>IF(OR(Table8[[#This Row],[INGREDIENTS MP]]&lt;100000,Table8[[#This Row],[INGREDIENTS TV_STORES]]&lt;100000),MIN(Table8[[#This Row],[INGREDIENTS MP]:[INGREDIENTS TV_STORES]]),"NA")</f>
        <v>145</v>
      </c>
      <c r="I18" s="2">
        <f>IFERROR(Table8[[#This Row],[INGREDIENTS_QUANTITY]]*Table8[[#This Row],[MIN_COST PER  QNTY]],"NA")</f>
        <v>145</v>
      </c>
      <c r="J18" s="2">
        <f>SUMIF(B:B,Table8[[#This Row],[PRODUCT ID]],I:I)</f>
        <v>283</v>
      </c>
      <c r="K18" s="28">
        <v>1</v>
      </c>
      <c r="L18" s="2">
        <v>0</v>
      </c>
      <c r="M18" s="2">
        <f>_xlfn.IFNA(VLOOKUP(Table8[[#This Row],[PRODUCT]],MARKET_id!B:C,2,FALSE),0)</f>
        <v>397</v>
      </c>
      <c r="N18" s="4">
        <f>IF(AND(Table8[[#This Row],[Total cost]]&lt;&gt;0,Table8[[#This Row],[PRODUCT_MP VALUE]]&lt;&gt;0),Table8[[#This Row],[PRODUCT_MP VALUE]]*99%*Table8[[#This Row],[DROPRATE]]-Table8[[#This Row],[Total cost]],"NA")</f>
        <v>110.02999999999997</v>
      </c>
      <c r="O18" s="6" t="str">
        <f>IFERROR(IF(Table8[[#This Row],[ENERGY NEEDED]]&lt;&gt;0,Table8[[#This Row],[PROFIT]]/Table8[[#This Row],[ENERGY NEEDED]],"inf"),"NA")</f>
        <v>inf</v>
      </c>
    </row>
    <row r="19" spans="1:15" x14ac:dyDescent="0.3">
      <c r="A19" s="8" t="s">
        <v>225</v>
      </c>
      <c r="B19" s="3">
        <v>30</v>
      </c>
      <c r="C19" s="2" t="s">
        <v>195</v>
      </c>
      <c r="D19" s="12" t="s">
        <v>3</v>
      </c>
      <c r="E19" s="12">
        <v>1</v>
      </c>
      <c r="F19" s="4">
        <f>_xlfn.IFNA(VLOOKUP(Table8[[#This Row],[INGREDIENTS]],MARKET_id!B:C,2,FALSE),999999)</f>
        <v>44</v>
      </c>
      <c r="G19" s="4">
        <f>_xlfn.IFNA(VLOOKUP(D19,tv_store[],2,FALSE),999999)</f>
        <v>999999</v>
      </c>
      <c r="H19" s="4">
        <f>IF(OR(Table8[[#This Row],[INGREDIENTS MP]]&lt;100000,Table8[[#This Row],[INGREDIENTS TV_STORES]]&lt;100000),MIN(Table8[[#This Row],[INGREDIENTS MP]:[INGREDIENTS TV_STORES]]),"NA")</f>
        <v>44</v>
      </c>
      <c r="I19" s="2">
        <f>IFERROR(Table8[[#This Row],[INGREDIENTS_QUANTITY]]*Table8[[#This Row],[MIN_COST PER  QNTY]],"NA")</f>
        <v>44</v>
      </c>
      <c r="J19" s="2">
        <f>SUMIF(B:B,Table8[[#This Row],[PRODUCT ID]],I:I)</f>
        <v>283</v>
      </c>
      <c r="K19" s="28">
        <v>1</v>
      </c>
      <c r="L19" s="2">
        <v>0</v>
      </c>
      <c r="M19" s="2">
        <f>_xlfn.IFNA(VLOOKUP(Table8[[#This Row],[PRODUCT]],MARKET_id!B:C,2,FALSE),0)</f>
        <v>397</v>
      </c>
      <c r="N19" s="4">
        <f>IF(AND(Table8[[#This Row],[Total cost]]&lt;&gt;0,Table8[[#This Row],[PRODUCT_MP VALUE]]&lt;&gt;0),Table8[[#This Row],[PRODUCT_MP VALUE]]*99%*Table8[[#This Row],[DROPRATE]]-Table8[[#This Row],[Total cost]],"NA")</f>
        <v>110.02999999999997</v>
      </c>
      <c r="O19" s="6" t="str">
        <f>IFERROR(IF(Table8[[#This Row],[ENERGY NEEDED]]&lt;&gt;0,Table8[[#This Row],[PROFIT]]/Table8[[#This Row],[ENERGY NEEDED]],"inf"),"NA")</f>
        <v>inf</v>
      </c>
    </row>
    <row r="20" spans="1:15" x14ac:dyDescent="0.3">
      <c r="A20" s="8" t="s">
        <v>225</v>
      </c>
      <c r="B20" s="3">
        <v>31</v>
      </c>
      <c r="C20" s="2" t="s">
        <v>9</v>
      </c>
      <c r="D20" s="12" t="s">
        <v>10</v>
      </c>
      <c r="E20" s="12">
        <v>2</v>
      </c>
      <c r="F20" s="4">
        <f>_xlfn.IFNA(VLOOKUP(Table8[[#This Row],[INGREDIENTS]],MARKET_id!B:C,2,FALSE),999999)</f>
        <v>46</v>
      </c>
      <c r="G20" s="4">
        <f>_xlfn.IFNA(VLOOKUP(D20,tv_store[],2,FALSE),999999)</f>
        <v>999999</v>
      </c>
      <c r="H20" s="4">
        <f>IF(OR(Table8[[#This Row],[INGREDIENTS MP]]&lt;100000,Table8[[#This Row],[INGREDIENTS TV_STORES]]&lt;100000),MIN(Table8[[#This Row],[INGREDIENTS MP]:[INGREDIENTS TV_STORES]]),"NA")</f>
        <v>46</v>
      </c>
      <c r="I20" s="2">
        <f>IFERROR(Table8[[#This Row],[INGREDIENTS_QUANTITY]]*Table8[[#This Row],[MIN_COST PER  QNTY]],"NA")</f>
        <v>92</v>
      </c>
      <c r="J20" s="2">
        <f>SUMIF(B:B,Table8[[#This Row],[PRODUCT ID]],I:I)</f>
        <v>136</v>
      </c>
      <c r="K20" s="28">
        <v>1</v>
      </c>
      <c r="L20" s="2">
        <v>0</v>
      </c>
      <c r="M20" s="2">
        <f>_xlfn.IFNA(VLOOKUP(Table8[[#This Row],[PRODUCT]],MARKET_id!B:C,2,FALSE),0)</f>
        <v>159</v>
      </c>
      <c r="N20" s="4">
        <f>IF(AND(Table8[[#This Row],[Total cost]]&lt;&gt;0,Table8[[#This Row],[PRODUCT_MP VALUE]]&lt;&gt;0),Table8[[#This Row],[PRODUCT_MP VALUE]]*99%*Table8[[#This Row],[DROPRATE]]-Table8[[#This Row],[Total cost]],"NA")</f>
        <v>21.409999999999997</v>
      </c>
      <c r="O20" s="6" t="str">
        <f>IFERROR(IF(Table8[[#This Row],[ENERGY NEEDED]]&lt;&gt;0,Table8[[#This Row],[PROFIT]]/Table8[[#This Row],[ENERGY NEEDED]],"inf"),"NA")</f>
        <v>inf</v>
      </c>
    </row>
    <row r="21" spans="1:15" x14ac:dyDescent="0.3">
      <c r="A21" s="8" t="s">
        <v>225</v>
      </c>
      <c r="B21" s="3">
        <v>31</v>
      </c>
      <c r="C21" s="2" t="s">
        <v>9</v>
      </c>
      <c r="D21" s="12" t="s">
        <v>3</v>
      </c>
      <c r="E21" s="12">
        <v>1</v>
      </c>
      <c r="F21" s="4">
        <f>_xlfn.IFNA(VLOOKUP(Table8[[#This Row],[INGREDIENTS]],MARKET_id!B:C,2,FALSE),999999)</f>
        <v>44</v>
      </c>
      <c r="G21" s="4">
        <f>_xlfn.IFNA(VLOOKUP(D21,tv_store[],2,FALSE),999999)</f>
        <v>999999</v>
      </c>
      <c r="H21" s="4">
        <f>IF(OR(Table8[[#This Row],[INGREDIENTS MP]]&lt;100000,Table8[[#This Row],[INGREDIENTS TV_STORES]]&lt;100000),MIN(Table8[[#This Row],[INGREDIENTS MP]:[INGREDIENTS TV_STORES]]),"NA")</f>
        <v>44</v>
      </c>
      <c r="I21" s="2">
        <f>IFERROR(Table8[[#This Row],[INGREDIENTS_QUANTITY]]*Table8[[#This Row],[MIN_COST PER  QNTY]],"NA")</f>
        <v>44</v>
      </c>
      <c r="J21" s="2">
        <f>SUMIF(B:B,Table8[[#This Row],[PRODUCT ID]],I:I)</f>
        <v>136</v>
      </c>
      <c r="K21" s="28">
        <v>1</v>
      </c>
      <c r="L21" s="2">
        <v>0</v>
      </c>
      <c r="M21" s="2">
        <f>_xlfn.IFNA(VLOOKUP(Table8[[#This Row],[PRODUCT]],MARKET_id!B:C,2,FALSE),0)</f>
        <v>159</v>
      </c>
      <c r="N21" s="4">
        <f>IF(AND(Table8[[#This Row],[Total cost]]&lt;&gt;0,Table8[[#This Row],[PRODUCT_MP VALUE]]&lt;&gt;0),Table8[[#This Row],[PRODUCT_MP VALUE]]*99%*Table8[[#This Row],[DROPRATE]]-Table8[[#This Row],[Total cost]],"NA")</f>
        <v>21.409999999999997</v>
      </c>
      <c r="O21" s="6" t="str">
        <f>IFERROR(IF(Table8[[#This Row],[ENERGY NEEDED]]&lt;&gt;0,Table8[[#This Row],[PROFIT]]/Table8[[#This Row],[ENERGY NEEDED]],"inf"),"NA")</f>
        <v>inf</v>
      </c>
    </row>
    <row r="22" spans="1:15" x14ac:dyDescent="0.3">
      <c r="A22" s="8" t="s">
        <v>225</v>
      </c>
      <c r="B22" s="3">
        <v>32</v>
      </c>
      <c r="C22" s="2" t="s">
        <v>138</v>
      </c>
      <c r="D22" s="12" t="s">
        <v>3</v>
      </c>
      <c r="E22" s="12">
        <v>2</v>
      </c>
      <c r="F22" s="4">
        <f>_xlfn.IFNA(VLOOKUP(Table8[[#This Row],[INGREDIENTS]],MARKET_id!B:C,2,FALSE),999999)</f>
        <v>44</v>
      </c>
      <c r="G22" s="4">
        <f>_xlfn.IFNA(VLOOKUP(D22,tv_store[],2,FALSE),999999)</f>
        <v>999999</v>
      </c>
      <c r="H22" s="4">
        <f>IF(OR(Table8[[#This Row],[INGREDIENTS MP]]&lt;100000,Table8[[#This Row],[INGREDIENTS TV_STORES]]&lt;100000),MIN(Table8[[#This Row],[INGREDIENTS MP]:[INGREDIENTS TV_STORES]]),"NA")</f>
        <v>44</v>
      </c>
      <c r="I22" s="2">
        <f>IFERROR(Table8[[#This Row],[INGREDIENTS_QUANTITY]]*Table8[[#This Row],[MIN_COST PER  QNTY]],"NA")</f>
        <v>88</v>
      </c>
      <c r="J22" s="2">
        <f>SUMIF(B:B,Table8[[#This Row],[PRODUCT ID]],I:I)</f>
        <v>88</v>
      </c>
      <c r="K22" s="28">
        <v>1</v>
      </c>
      <c r="L22" s="2">
        <v>0</v>
      </c>
      <c r="M22" s="2">
        <f>_xlfn.IFNA(VLOOKUP(Table8[[#This Row],[PRODUCT]],MARKET_id!B:C,2,FALSE),0)</f>
        <v>105</v>
      </c>
      <c r="N22" s="4">
        <f>IF(AND(Table8[[#This Row],[Total cost]]&lt;&gt;0,Table8[[#This Row],[PRODUCT_MP VALUE]]&lt;&gt;0),Table8[[#This Row],[PRODUCT_MP VALUE]]*99%*Table8[[#This Row],[DROPRATE]]-Table8[[#This Row],[Total cost]],"NA")</f>
        <v>15.950000000000003</v>
      </c>
      <c r="O22" s="6" t="str">
        <f>IFERROR(IF(Table8[[#This Row],[ENERGY NEEDED]]&lt;&gt;0,Table8[[#This Row],[PROFIT]]/Table8[[#This Row],[ENERGY NEEDED]],"inf"),"NA")</f>
        <v>inf</v>
      </c>
    </row>
    <row r="23" spans="1:15" x14ac:dyDescent="0.3">
      <c r="A23" s="8" t="s">
        <v>225</v>
      </c>
      <c r="B23" s="3">
        <v>33</v>
      </c>
      <c r="C23" s="2" t="s">
        <v>197</v>
      </c>
      <c r="D23" s="12" t="s">
        <v>183</v>
      </c>
      <c r="E23" s="12">
        <v>2</v>
      </c>
      <c r="F23" s="4">
        <f>_xlfn.IFNA(VLOOKUP(Table8[[#This Row],[INGREDIENTS]],MARKET_id!B:C,2,FALSE),999999)</f>
        <v>87</v>
      </c>
      <c r="G23" s="4">
        <f>_xlfn.IFNA(VLOOKUP(D23,tv_store[],2,FALSE),999999)</f>
        <v>999999</v>
      </c>
      <c r="H23" s="4">
        <f>IF(OR(Table8[[#This Row],[INGREDIENTS MP]]&lt;100000,Table8[[#This Row],[INGREDIENTS TV_STORES]]&lt;100000),MIN(Table8[[#This Row],[INGREDIENTS MP]:[INGREDIENTS TV_STORES]]),"NA")</f>
        <v>87</v>
      </c>
      <c r="I23" s="2">
        <f>IFERROR(Table8[[#This Row],[INGREDIENTS_QUANTITY]]*Table8[[#This Row],[MIN_COST PER  QNTY]],"NA")</f>
        <v>174</v>
      </c>
      <c r="J23" s="2">
        <f>SUMIF(B:B,Table8[[#This Row],[PRODUCT ID]],I:I)</f>
        <v>184</v>
      </c>
      <c r="K23" s="28">
        <v>1</v>
      </c>
      <c r="L23" s="2">
        <v>0</v>
      </c>
      <c r="M23" s="2">
        <f>_xlfn.IFNA(VLOOKUP(Table8[[#This Row],[PRODUCT]],MARKET_id!B:C,2,FALSE),0)</f>
        <v>236</v>
      </c>
      <c r="N23" s="4">
        <f>IF(AND(Table8[[#This Row],[Total cost]]&lt;&gt;0,Table8[[#This Row],[PRODUCT_MP VALUE]]&lt;&gt;0),Table8[[#This Row],[PRODUCT_MP VALUE]]*99%*Table8[[#This Row],[DROPRATE]]-Table8[[#This Row],[Total cost]],"NA")</f>
        <v>49.639999999999986</v>
      </c>
      <c r="O23" s="6" t="str">
        <f>IFERROR(IF(Table8[[#This Row],[ENERGY NEEDED]]&lt;&gt;0,Table8[[#This Row],[PROFIT]]/Table8[[#This Row],[ENERGY NEEDED]],"inf"),"NA")</f>
        <v>inf</v>
      </c>
    </row>
    <row r="24" spans="1:15" x14ac:dyDescent="0.3">
      <c r="A24" s="8" t="s">
        <v>225</v>
      </c>
      <c r="B24" s="3">
        <v>33</v>
      </c>
      <c r="C24" s="2" t="s">
        <v>197</v>
      </c>
      <c r="D24" s="12" t="s">
        <v>188</v>
      </c>
      <c r="E24" s="12">
        <v>1</v>
      </c>
      <c r="F24" s="4">
        <f>_xlfn.IFNA(VLOOKUP(Table8[[#This Row],[INGREDIENTS]],MARKET_id!B:C,2,FALSE),999999)</f>
        <v>999999</v>
      </c>
      <c r="G24" s="4">
        <f>_xlfn.IFNA(VLOOKUP(D24,tv_store[],2,FALSE),999999)</f>
        <v>10</v>
      </c>
      <c r="H24" s="4">
        <f>IF(OR(Table8[[#This Row],[INGREDIENTS MP]]&lt;100000,Table8[[#This Row],[INGREDIENTS TV_STORES]]&lt;100000),MIN(Table8[[#This Row],[INGREDIENTS MP]:[INGREDIENTS TV_STORES]]),"NA")</f>
        <v>10</v>
      </c>
      <c r="I24" s="2">
        <f>IFERROR(Table8[[#This Row],[INGREDIENTS_QUANTITY]]*Table8[[#This Row],[MIN_COST PER  QNTY]],"NA")</f>
        <v>10</v>
      </c>
      <c r="J24" s="2">
        <f>SUMIF(B:B,Table8[[#This Row],[PRODUCT ID]],I:I)</f>
        <v>184</v>
      </c>
      <c r="K24" s="28">
        <v>1</v>
      </c>
      <c r="L24" s="2">
        <v>0</v>
      </c>
      <c r="M24" s="2">
        <f>_xlfn.IFNA(VLOOKUP(Table8[[#This Row],[PRODUCT]],MARKET_id!B:C,2,FALSE),0)</f>
        <v>236</v>
      </c>
      <c r="N24" s="4">
        <f>IF(AND(Table8[[#This Row],[Total cost]]&lt;&gt;0,Table8[[#This Row],[PRODUCT_MP VALUE]]&lt;&gt;0),Table8[[#This Row],[PRODUCT_MP VALUE]]*99%*Table8[[#This Row],[DROPRATE]]-Table8[[#This Row],[Total cost]],"NA")</f>
        <v>49.639999999999986</v>
      </c>
      <c r="O24" s="6" t="str">
        <f>IFERROR(IF(Table8[[#This Row],[ENERGY NEEDED]]&lt;&gt;0,Table8[[#This Row],[PROFIT]]/Table8[[#This Row],[ENERGY NEEDED]],"inf"),"NA")</f>
        <v>inf</v>
      </c>
    </row>
    <row r="25" spans="1:15" x14ac:dyDescent="0.3">
      <c r="A25" s="8" t="s">
        <v>225</v>
      </c>
      <c r="B25" s="3">
        <v>34</v>
      </c>
      <c r="C25" s="2" t="s">
        <v>187</v>
      </c>
      <c r="D25" s="12" t="s">
        <v>183</v>
      </c>
      <c r="E25" s="12">
        <v>2</v>
      </c>
      <c r="F25" s="4">
        <f>_xlfn.IFNA(VLOOKUP(Table8[[#This Row],[INGREDIENTS]],MARKET_id!B:C,2,FALSE),999999)</f>
        <v>87</v>
      </c>
      <c r="G25" s="4">
        <f>_xlfn.IFNA(VLOOKUP(D25,tv_store[],2,FALSE),999999)</f>
        <v>999999</v>
      </c>
      <c r="H25" s="4">
        <f>IF(OR(Table8[[#This Row],[INGREDIENTS MP]]&lt;100000,Table8[[#This Row],[INGREDIENTS TV_STORES]]&lt;100000),MIN(Table8[[#This Row],[INGREDIENTS MP]:[INGREDIENTS TV_STORES]]),"NA")</f>
        <v>87</v>
      </c>
      <c r="I25" s="2">
        <f>IFERROR(Table8[[#This Row],[INGREDIENTS_QUANTITY]]*Table8[[#This Row],[MIN_COST PER  QNTY]],"NA")</f>
        <v>174</v>
      </c>
      <c r="J25" s="2">
        <f>SUMIF(B:B,Table8[[#This Row],[PRODUCT ID]],I:I)</f>
        <v>373</v>
      </c>
      <c r="K25" s="28">
        <v>1</v>
      </c>
      <c r="L25" s="2">
        <v>0</v>
      </c>
      <c r="M25" s="2">
        <f>_xlfn.IFNA(VLOOKUP(Table8[[#This Row],[PRODUCT]],MARKET_id!B:C,2,FALSE),0)</f>
        <v>485</v>
      </c>
      <c r="N25" s="4">
        <f>IF(AND(Table8[[#This Row],[Total cost]]&lt;&gt;0,Table8[[#This Row],[PRODUCT_MP VALUE]]&lt;&gt;0),Table8[[#This Row],[PRODUCT_MP VALUE]]*99%*Table8[[#This Row],[DROPRATE]]-Table8[[#This Row],[Total cost]],"NA")</f>
        <v>107.14999999999998</v>
      </c>
      <c r="O25" s="6" t="str">
        <f>IFERROR(IF(Table8[[#This Row],[ENERGY NEEDED]]&lt;&gt;0,Table8[[#This Row],[PROFIT]]/Table8[[#This Row],[ENERGY NEEDED]],"inf"),"NA")</f>
        <v>inf</v>
      </c>
    </row>
    <row r="26" spans="1:15" x14ac:dyDescent="0.3">
      <c r="A26" s="8" t="s">
        <v>225</v>
      </c>
      <c r="B26" s="3">
        <v>34</v>
      </c>
      <c r="C26" s="2" t="s">
        <v>187</v>
      </c>
      <c r="D26" s="12" t="s">
        <v>188</v>
      </c>
      <c r="E26" s="12">
        <v>1</v>
      </c>
      <c r="F26" s="4">
        <f>_xlfn.IFNA(VLOOKUP(Table8[[#This Row],[INGREDIENTS]],MARKET_id!B:C,2,FALSE),999999)</f>
        <v>999999</v>
      </c>
      <c r="G26" s="4">
        <f>_xlfn.IFNA(VLOOKUP(D26,tv_store[],2,FALSE),999999)</f>
        <v>10</v>
      </c>
      <c r="H26" s="4">
        <f>IF(OR(Table8[[#This Row],[INGREDIENTS MP]]&lt;100000,Table8[[#This Row],[INGREDIENTS TV_STORES]]&lt;100000),MIN(Table8[[#This Row],[INGREDIENTS MP]:[INGREDIENTS TV_STORES]]),"NA")</f>
        <v>10</v>
      </c>
      <c r="I26" s="2">
        <f>IFERROR(Table8[[#This Row],[INGREDIENTS_QUANTITY]]*Table8[[#This Row],[MIN_COST PER  QNTY]],"NA")</f>
        <v>10</v>
      </c>
      <c r="J26" s="2">
        <f>SUMIF(B:B,Table8[[#This Row],[PRODUCT ID]],I:I)</f>
        <v>373</v>
      </c>
      <c r="K26" s="28">
        <v>1</v>
      </c>
      <c r="L26" s="2">
        <v>0</v>
      </c>
      <c r="M26" s="2">
        <f>_xlfn.IFNA(VLOOKUP(Table8[[#This Row],[PRODUCT]],MARKET_id!B:C,2,FALSE),0)</f>
        <v>485</v>
      </c>
      <c r="N26" s="4">
        <f>IF(AND(Table8[[#This Row],[Total cost]]&lt;&gt;0,Table8[[#This Row],[PRODUCT_MP VALUE]]&lt;&gt;0),Table8[[#This Row],[PRODUCT_MP VALUE]]*99%*Table8[[#This Row],[DROPRATE]]-Table8[[#This Row],[Total cost]],"NA")</f>
        <v>107.14999999999998</v>
      </c>
      <c r="O26" s="6" t="str">
        <f>IFERROR(IF(Table8[[#This Row],[ENERGY NEEDED]]&lt;&gt;0,Table8[[#This Row],[PROFIT]]/Table8[[#This Row],[ENERGY NEEDED]],"inf"),"NA")</f>
        <v>inf</v>
      </c>
    </row>
    <row r="27" spans="1:15" x14ac:dyDescent="0.3">
      <c r="A27" s="8" t="s">
        <v>225</v>
      </c>
      <c r="B27" s="3">
        <v>34</v>
      </c>
      <c r="C27" s="2" t="s">
        <v>187</v>
      </c>
      <c r="D27" s="12" t="s">
        <v>3</v>
      </c>
      <c r="E27" s="12">
        <v>1</v>
      </c>
      <c r="F27" s="4">
        <f>_xlfn.IFNA(VLOOKUP(Table8[[#This Row],[INGREDIENTS]],MARKET_id!B:C,2,FALSE),999999)</f>
        <v>44</v>
      </c>
      <c r="G27" s="4">
        <f>_xlfn.IFNA(VLOOKUP(D27,tv_store[],2,FALSE),999999)</f>
        <v>999999</v>
      </c>
      <c r="H27" s="4">
        <f>IF(OR(Table8[[#This Row],[INGREDIENTS MP]]&lt;100000,Table8[[#This Row],[INGREDIENTS TV_STORES]]&lt;100000),MIN(Table8[[#This Row],[INGREDIENTS MP]:[INGREDIENTS TV_STORES]]),"NA")</f>
        <v>44</v>
      </c>
      <c r="I27" s="2">
        <f>IFERROR(Table8[[#This Row],[INGREDIENTS_QUANTITY]]*Table8[[#This Row],[MIN_COST PER  QNTY]],"NA")</f>
        <v>44</v>
      </c>
      <c r="J27" s="2">
        <f>SUMIF(B:B,Table8[[#This Row],[PRODUCT ID]],I:I)</f>
        <v>373</v>
      </c>
      <c r="K27" s="28">
        <v>1</v>
      </c>
      <c r="L27" s="2">
        <v>0</v>
      </c>
      <c r="M27" s="2">
        <f>_xlfn.IFNA(VLOOKUP(Table8[[#This Row],[PRODUCT]],MARKET_id!B:C,2,FALSE),0)</f>
        <v>485</v>
      </c>
      <c r="N27" s="4">
        <f>IF(AND(Table8[[#This Row],[Total cost]]&lt;&gt;0,Table8[[#This Row],[PRODUCT_MP VALUE]]&lt;&gt;0),Table8[[#This Row],[PRODUCT_MP VALUE]]*99%*Table8[[#This Row],[DROPRATE]]-Table8[[#This Row],[Total cost]],"NA")</f>
        <v>107.14999999999998</v>
      </c>
      <c r="O27" s="6" t="str">
        <f>IFERROR(IF(Table8[[#This Row],[ENERGY NEEDED]]&lt;&gt;0,Table8[[#This Row],[PROFIT]]/Table8[[#This Row],[ENERGY NEEDED]],"inf"),"NA")</f>
        <v>inf</v>
      </c>
    </row>
    <row r="28" spans="1:15" x14ac:dyDescent="0.3">
      <c r="A28" s="8" t="s">
        <v>225</v>
      </c>
      <c r="B28" s="3">
        <v>34</v>
      </c>
      <c r="C28" s="2" t="s">
        <v>187</v>
      </c>
      <c r="D28" s="12" t="s">
        <v>127</v>
      </c>
      <c r="E28" s="12">
        <v>1</v>
      </c>
      <c r="F28" s="4">
        <f>_xlfn.IFNA(VLOOKUP(Table8[[#This Row],[INGREDIENTS]],MARKET_id!B:C,2,FALSE),999999)</f>
        <v>145</v>
      </c>
      <c r="G28" s="4">
        <f>_xlfn.IFNA(VLOOKUP(D28,tv_store[],2,FALSE),999999)</f>
        <v>999999</v>
      </c>
      <c r="H28" s="4">
        <f>IF(OR(Table8[[#This Row],[INGREDIENTS MP]]&lt;100000,Table8[[#This Row],[INGREDIENTS TV_STORES]]&lt;100000),MIN(Table8[[#This Row],[INGREDIENTS MP]:[INGREDIENTS TV_STORES]]),"NA")</f>
        <v>145</v>
      </c>
      <c r="I28" s="2">
        <f>IFERROR(Table8[[#This Row],[INGREDIENTS_QUANTITY]]*Table8[[#This Row],[MIN_COST PER  QNTY]],"NA")</f>
        <v>145</v>
      </c>
      <c r="J28" s="2">
        <f>SUMIF(B:B,Table8[[#This Row],[PRODUCT ID]],I:I)</f>
        <v>373</v>
      </c>
      <c r="K28" s="28">
        <v>1</v>
      </c>
      <c r="L28" s="2">
        <v>0</v>
      </c>
      <c r="M28" s="2">
        <f>_xlfn.IFNA(VLOOKUP(Table8[[#This Row],[PRODUCT]],MARKET_id!B:C,2,FALSE),0)</f>
        <v>485</v>
      </c>
      <c r="N28" s="4">
        <f>IF(AND(Table8[[#This Row],[Total cost]]&lt;&gt;0,Table8[[#This Row],[PRODUCT_MP VALUE]]&lt;&gt;0),Table8[[#This Row],[PRODUCT_MP VALUE]]*99%*Table8[[#This Row],[DROPRATE]]-Table8[[#This Row],[Total cost]],"NA")</f>
        <v>107.14999999999998</v>
      </c>
      <c r="O28" s="6" t="str">
        <f>IFERROR(IF(Table8[[#This Row],[ENERGY NEEDED]]&lt;&gt;0,Table8[[#This Row],[PROFIT]]/Table8[[#This Row],[ENERGY NEEDED]],"inf"),"NA")</f>
        <v>inf</v>
      </c>
    </row>
    <row r="29" spans="1:15" x14ac:dyDescent="0.3">
      <c r="A29" s="8" t="s">
        <v>225</v>
      </c>
      <c r="B29" s="3">
        <v>35</v>
      </c>
      <c r="C29" s="2" t="s">
        <v>179</v>
      </c>
      <c r="D29" s="12" t="s">
        <v>155</v>
      </c>
      <c r="E29" s="12">
        <v>2</v>
      </c>
      <c r="F29" s="4">
        <f>_xlfn.IFNA(VLOOKUP(Table8[[#This Row],[INGREDIENTS]],MARKET_id!B:C,2,FALSE),999999)</f>
        <v>119</v>
      </c>
      <c r="G29" s="4">
        <f>_xlfn.IFNA(VLOOKUP(D29,tv_store[],2,FALSE),999999)</f>
        <v>999999</v>
      </c>
      <c r="H29" s="4">
        <f>IF(OR(Table8[[#This Row],[INGREDIENTS MP]]&lt;100000,Table8[[#This Row],[INGREDIENTS TV_STORES]]&lt;100000),MIN(Table8[[#This Row],[INGREDIENTS MP]:[INGREDIENTS TV_STORES]]),"NA")</f>
        <v>119</v>
      </c>
      <c r="I29" s="2">
        <f>IFERROR(Table8[[#This Row],[INGREDIENTS_QUANTITY]]*Table8[[#This Row],[MIN_COST PER  QNTY]],"NA")</f>
        <v>238</v>
      </c>
      <c r="J29" s="2">
        <f>SUMIF(B:B,Table8[[#This Row],[PRODUCT ID]],I:I)</f>
        <v>248</v>
      </c>
      <c r="K29" s="28">
        <v>1</v>
      </c>
      <c r="L29" s="2">
        <v>0</v>
      </c>
      <c r="M29" s="2">
        <f>_xlfn.IFNA(VLOOKUP(Table8[[#This Row],[PRODUCT]],MARKET_id!B:C,2,FALSE),0)</f>
        <v>246</v>
      </c>
      <c r="N29" s="4">
        <f>IF(AND(Table8[[#This Row],[Total cost]]&lt;&gt;0,Table8[[#This Row],[PRODUCT_MP VALUE]]&lt;&gt;0),Table8[[#This Row],[PRODUCT_MP VALUE]]*99%*Table8[[#This Row],[DROPRATE]]-Table8[[#This Row],[Total cost]],"NA")</f>
        <v>-4.460000000000008</v>
      </c>
      <c r="O29" s="6" t="str">
        <f>IFERROR(IF(Table8[[#This Row],[ENERGY NEEDED]]&lt;&gt;0,Table8[[#This Row],[PROFIT]]/Table8[[#This Row],[ENERGY NEEDED]],"inf"),"NA")</f>
        <v>inf</v>
      </c>
    </row>
    <row r="30" spans="1:15" x14ac:dyDescent="0.3">
      <c r="A30" s="8" t="s">
        <v>225</v>
      </c>
      <c r="B30" s="3">
        <v>35</v>
      </c>
      <c r="C30" s="2" t="s">
        <v>179</v>
      </c>
      <c r="D30" s="12" t="s">
        <v>188</v>
      </c>
      <c r="E30" s="12">
        <v>1</v>
      </c>
      <c r="F30" s="4">
        <f>_xlfn.IFNA(VLOOKUP(Table8[[#This Row],[INGREDIENTS]],MARKET_id!B:C,2,FALSE),999999)</f>
        <v>999999</v>
      </c>
      <c r="G30" s="4">
        <f>_xlfn.IFNA(VLOOKUP(D30,tv_store[],2,FALSE),999999)</f>
        <v>10</v>
      </c>
      <c r="H30" s="4">
        <f>IF(OR(Table8[[#This Row],[INGREDIENTS MP]]&lt;100000,Table8[[#This Row],[INGREDIENTS TV_STORES]]&lt;100000),MIN(Table8[[#This Row],[INGREDIENTS MP]:[INGREDIENTS TV_STORES]]),"NA")</f>
        <v>10</v>
      </c>
      <c r="I30" s="2">
        <f>IFERROR(Table8[[#This Row],[INGREDIENTS_QUANTITY]]*Table8[[#This Row],[MIN_COST PER  QNTY]],"NA")</f>
        <v>10</v>
      </c>
      <c r="J30" s="2">
        <f>SUMIF(B:B,Table8[[#This Row],[PRODUCT ID]],I:I)</f>
        <v>248</v>
      </c>
      <c r="K30" s="28">
        <v>1</v>
      </c>
      <c r="L30" s="2">
        <v>0</v>
      </c>
      <c r="M30" s="2">
        <f>_xlfn.IFNA(VLOOKUP(Table8[[#This Row],[PRODUCT]],MARKET_id!B:C,2,FALSE),0)</f>
        <v>246</v>
      </c>
      <c r="N30" s="4">
        <f>IF(AND(Table8[[#This Row],[Total cost]]&lt;&gt;0,Table8[[#This Row],[PRODUCT_MP VALUE]]&lt;&gt;0),Table8[[#This Row],[PRODUCT_MP VALUE]]*99%*Table8[[#This Row],[DROPRATE]]-Table8[[#This Row],[Total cost]],"NA")</f>
        <v>-4.460000000000008</v>
      </c>
      <c r="O30" s="6" t="str">
        <f>IFERROR(IF(Table8[[#This Row],[ENERGY NEEDED]]&lt;&gt;0,Table8[[#This Row],[PROFIT]]/Table8[[#This Row],[ENERGY NEEDED]],"inf"),"NA")</f>
        <v>inf</v>
      </c>
    </row>
    <row r="31" spans="1:15" x14ac:dyDescent="0.3">
      <c r="A31" s="8" t="s">
        <v>225</v>
      </c>
      <c r="B31" s="3">
        <v>36</v>
      </c>
      <c r="C31" s="2" t="s">
        <v>182</v>
      </c>
      <c r="D31" s="12" t="s">
        <v>155</v>
      </c>
      <c r="E31" s="12">
        <v>2</v>
      </c>
      <c r="F31" s="4">
        <f>_xlfn.IFNA(VLOOKUP(Table8[[#This Row],[INGREDIENTS]],MARKET_id!B:C,2,FALSE),999999)</f>
        <v>119</v>
      </c>
      <c r="G31" s="4">
        <f>_xlfn.IFNA(VLOOKUP(D31,tv_store[],2,FALSE),999999)</f>
        <v>999999</v>
      </c>
      <c r="H31" s="4">
        <f>IF(OR(Table8[[#This Row],[INGREDIENTS MP]]&lt;100000,Table8[[#This Row],[INGREDIENTS TV_STORES]]&lt;100000),MIN(Table8[[#This Row],[INGREDIENTS MP]:[INGREDIENTS TV_STORES]]),"NA")</f>
        <v>119</v>
      </c>
      <c r="I31" s="2">
        <f>IFERROR(Table8[[#This Row],[INGREDIENTS_QUANTITY]]*Table8[[#This Row],[MIN_COST PER  QNTY]],"NA")</f>
        <v>238</v>
      </c>
      <c r="J31" s="2">
        <f>SUMIF(B:B,Table8[[#This Row],[PRODUCT ID]],I:I)</f>
        <v>437</v>
      </c>
      <c r="K31" s="28">
        <v>1</v>
      </c>
      <c r="L31" s="2">
        <v>0</v>
      </c>
      <c r="M31" s="2">
        <f>_xlfn.IFNA(VLOOKUP(Table8[[#This Row],[PRODUCT]],MARKET_id!B:C,2,FALSE),0)</f>
        <v>445</v>
      </c>
      <c r="N31" s="4">
        <f>IF(AND(Table8[[#This Row],[Total cost]]&lt;&gt;0,Table8[[#This Row],[PRODUCT_MP VALUE]]&lt;&gt;0),Table8[[#This Row],[PRODUCT_MP VALUE]]*99%*Table8[[#This Row],[DROPRATE]]-Table8[[#This Row],[Total cost]],"NA")</f>
        <v>3.5500000000000114</v>
      </c>
      <c r="O31" s="6" t="str">
        <f>IFERROR(IF(Table8[[#This Row],[ENERGY NEEDED]]&lt;&gt;0,Table8[[#This Row],[PROFIT]]/Table8[[#This Row],[ENERGY NEEDED]],"inf"),"NA")</f>
        <v>inf</v>
      </c>
    </row>
    <row r="32" spans="1:15" x14ac:dyDescent="0.3">
      <c r="A32" s="8" t="s">
        <v>225</v>
      </c>
      <c r="B32" s="3">
        <v>36</v>
      </c>
      <c r="C32" s="2" t="s">
        <v>182</v>
      </c>
      <c r="D32" s="12" t="s">
        <v>188</v>
      </c>
      <c r="E32" s="12">
        <v>1</v>
      </c>
      <c r="F32" s="4">
        <f>_xlfn.IFNA(VLOOKUP(Table8[[#This Row],[INGREDIENTS]],MARKET_id!B:C,2,FALSE),999999)</f>
        <v>999999</v>
      </c>
      <c r="G32" s="4">
        <f>_xlfn.IFNA(VLOOKUP(D32,tv_store[],2,FALSE),999999)</f>
        <v>10</v>
      </c>
      <c r="H32" s="4">
        <f>IF(OR(Table8[[#This Row],[INGREDIENTS MP]]&lt;100000,Table8[[#This Row],[INGREDIENTS TV_STORES]]&lt;100000),MIN(Table8[[#This Row],[INGREDIENTS MP]:[INGREDIENTS TV_STORES]]),"NA")</f>
        <v>10</v>
      </c>
      <c r="I32" s="2">
        <f>IFERROR(Table8[[#This Row],[INGREDIENTS_QUANTITY]]*Table8[[#This Row],[MIN_COST PER  QNTY]],"NA")</f>
        <v>10</v>
      </c>
      <c r="J32" s="2">
        <f>SUMIF(B:B,Table8[[#This Row],[PRODUCT ID]],I:I)</f>
        <v>437</v>
      </c>
      <c r="K32" s="28">
        <v>1</v>
      </c>
      <c r="L32" s="2">
        <v>0</v>
      </c>
      <c r="M32" s="2">
        <f>_xlfn.IFNA(VLOOKUP(Table8[[#This Row],[PRODUCT]],MARKET_id!B:C,2,FALSE),0)</f>
        <v>445</v>
      </c>
      <c r="N32" s="4">
        <f>IF(AND(Table8[[#This Row],[Total cost]]&lt;&gt;0,Table8[[#This Row],[PRODUCT_MP VALUE]]&lt;&gt;0),Table8[[#This Row],[PRODUCT_MP VALUE]]*99%*Table8[[#This Row],[DROPRATE]]-Table8[[#This Row],[Total cost]],"NA")</f>
        <v>3.5500000000000114</v>
      </c>
      <c r="O32" s="6" t="str">
        <f>IFERROR(IF(Table8[[#This Row],[ENERGY NEEDED]]&lt;&gt;0,Table8[[#This Row],[PROFIT]]/Table8[[#This Row],[ENERGY NEEDED]],"inf"),"NA")</f>
        <v>inf</v>
      </c>
    </row>
    <row r="33" spans="1:15" x14ac:dyDescent="0.3">
      <c r="A33" s="8" t="s">
        <v>225</v>
      </c>
      <c r="B33" s="3">
        <v>36</v>
      </c>
      <c r="C33" s="2" t="s">
        <v>182</v>
      </c>
      <c r="D33" s="12" t="s">
        <v>3</v>
      </c>
      <c r="E33" s="12">
        <v>1</v>
      </c>
      <c r="F33" s="4">
        <f>_xlfn.IFNA(VLOOKUP(Table8[[#This Row],[INGREDIENTS]],MARKET_id!B:C,2,FALSE),999999)</f>
        <v>44</v>
      </c>
      <c r="G33" s="4">
        <f>_xlfn.IFNA(VLOOKUP(D33,tv_store[],2,FALSE),999999)</f>
        <v>999999</v>
      </c>
      <c r="H33" s="4">
        <f>IF(OR(Table8[[#This Row],[INGREDIENTS MP]]&lt;100000,Table8[[#This Row],[INGREDIENTS TV_STORES]]&lt;100000),MIN(Table8[[#This Row],[INGREDIENTS MP]:[INGREDIENTS TV_STORES]]),"NA")</f>
        <v>44</v>
      </c>
      <c r="I33" s="2">
        <f>IFERROR(Table8[[#This Row],[INGREDIENTS_QUANTITY]]*Table8[[#This Row],[MIN_COST PER  QNTY]],"NA")</f>
        <v>44</v>
      </c>
      <c r="J33" s="2">
        <f>SUMIF(B:B,Table8[[#This Row],[PRODUCT ID]],I:I)</f>
        <v>437</v>
      </c>
      <c r="K33" s="28">
        <v>1</v>
      </c>
      <c r="L33" s="2">
        <v>0</v>
      </c>
      <c r="M33" s="2">
        <f>_xlfn.IFNA(VLOOKUP(Table8[[#This Row],[PRODUCT]],MARKET_id!B:C,2,FALSE),0)</f>
        <v>445</v>
      </c>
      <c r="N33" s="4">
        <f>IF(AND(Table8[[#This Row],[Total cost]]&lt;&gt;0,Table8[[#This Row],[PRODUCT_MP VALUE]]&lt;&gt;0),Table8[[#This Row],[PRODUCT_MP VALUE]]*99%*Table8[[#This Row],[DROPRATE]]-Table8[[#This Row],[Total cost]],"NA")</f>
        <v>3.5500000000000114</v>
      </c>
      <c r="O33" s="6" t="str">
        <f>IFERROR(IF(Table8[[#This Row],[ENERGY NEEDED]]&lt;&gt;0,Table8[[#This Row],[PROFIT]]/Table8[[#This Row],[ENERGY NEEDED]],"inf"),"NA")</f>
        <v>inf</v>
      </c>
    </row>
    <row r="34" spans="1:15" x14ac:dyDescent="0.3">
      <c r="A34" s="9" t="s">
        <v>225</v>
      </c>
      <c r="B34" s="26">
        <v>36</v>
      </c>
      <c r="C34" s="10" t="s">
        <v>182</v>
      </c>
      <c r="D34" s="27" t="s">
        <v>127</v>
      </c>
      <c r="E34" s="27">
        <v>1</v>
      </c>
      <c r="F34" s="30">
        <f>_xlfn.IFNA(VLOOKUP(Table8[[#This Row],[INGREDIENTS]],MARKET_id!B:C,2,FALSE),999999)</f>
        <v>145</v>
      </c>
      <c r="G34" s="30">
        <f>_xlfn.IFNA(VLOOKUP(D34,tv_store[],2,FALSE),999999)</f>
        <v>999999</v>
      </c>
      <c r="H34" s="30">
        <f>IF(OR(Table8[[#This Row],[INGREDIENTS MP]]&lt;100000,Table8[[#This Row],[INGREDIENTS TV_STORES]]&lt;100000),MIN(Table8[[#This Row],[INGREDIENTS MP]:[INGREDIENTS TV_STORES]]),"NA")</f>
        <v>145</v>
      </c>
      <c r="I34" s="10">
        <f>IFERROR(Table8[[#This Row],[INGREDIENTS_QUANTITY]]*Table8[[#This Row],[MIN_COST PER  QNTY]],"NA")</f>
        <v>145</v>
      </c>
      <c r="J34" s="10">
        <f>SUMIF(B:B,Table8[[#This Row],[PRODUCT ID]],I:I)</f>
        <v>437</v>
      </c>
      <c r="K34" s="28">
        <v>1</v>
      </c>
      <c r="L34" s="2">
        <v>0</v>
      </c>
      <c r="M34" s="10">
        <f>_xlfn.IFNA(VLOOKUP(Table8[[#This Row],[PRODUCT]],MARKET_id!B:C,2,FALSE),0)</f>
        <v>445</v>
      </c>
      <c r="N34" s="30">
        <f>IF(AND(Table8[[#This Row],[Total cost]]&lt;&gt;0,Table8[[#This Row],[PRODUCT_MP VALUE]]&lt;&gt;0),Table8[[#This Row],[PRODUCT_MP VALUE]]*99%*Table8[[#This Row],[DROPRATE]]-Table8[[#This Row],[Total cost]],"NA")</f>
        <v>3.5500000000000114</v>
      </c>
      <c r="O34" s="31" t="str">
        <f>IFERROR(IF(Table8[[#This Row],[ENERGY NEEDED]]&lt;&gt;0,Table8[[#This Row],[PROFIT]]/Table8[[#This Row],[ENERGY NEEDED]],"inf"),"NA")</f>
        <v>inf</v>
      </c>
    </row>
    <row r="35" spans="1:15" x14ac:dyDescent="0.3">
      <c r="A35" s="8" t="s">
        <v>228</v>
      </c>
      <c r="B35" s="3">
        <v>41</v>
      </c>
      <c r="C35" s="2" t="s">
        <v>127</v>
      </c>
      <c r="D35" s="12" t="s">
        <v>128</v>
      </c>
      <c r="E35" s="12">
        <v>2</v>
      </c>
      <c r="F35" s="4">
        <f>_xlfn.IFNA(VLOOKUP(Table8[[#This Row],[INGREDIENTS]],MARKET_id!B:C,2,FALSE),999999)</f>
        <v>53</v>
      </c>
      <c r="G35" s="4">
        <f>_xlfn.IFNA(VLOOKUP(D35,tv_store[],2,FALSE),999999)</f>
        <v>999999</v>
      </c>
      <c r="H35" s="4">
        <f>IF(OR(Table8[[#This Row],[INGREDIENTS MP]]&lt;100000,Table8[[#This Row],[INGREDIENTS TV_STORES]]&lt;100000),MIN(Table8[[#This Row],[INGREDIENTS MP]:[INGREDIENTS TV_STORES]]),"NA")</f>
        <v>53</v>
      </c>
      <c r="I35" s="2">
        <f>IFERROR(Table8[[#This Row],[INGREDIENTS_QUANTITY]]*Table8[[#This Row],[MIN_COST PER  QNTY]],"NA")</f>
        <v>106</v>
      </c>
      <c r="J35" s="2">
        <f>SUMIF(B:B,Table8[[#This Row],[PRODUCT ID]],I:I)</f>
        <v>106</v>
      </c>
      <c r="K35" s="28">
        <v>1</v>
      </c>
      <c r="L35" s="2">
        <v>2</v>
      </c>
      <c r="M35" s="2">
        <f>_xlfn.IFNA(VLOOKUP(Table8[[#This Row],[PRODUCT]],MARKET_id!B:C,2,FALSE),0)</f>
        <v>145</v>
      </c>
      <c r="N35" s="4">
        <f>IF(AND(Table8[[#This Row],[Total cost]]&lt;&gt;0,Table8[[#This Row],[PRODUCT_MP VALUE]]&lt;&gt;0),Table8[[#This Row],[PRODUCT_MP VALUE]]*99%*Table8[[#This Row],[DROPRATE]]-Table8[[#This Row],[Total cost]],"NA")</f>
        <v>37.550000000000011</v>
      </c>
      <c r="O35" s="6">
        <f>IFERROR(IF(Table8[[#This Row],[ENERGY NEEDED]]&lt;&gt;0,Table8[[#This Row],[PROFIT]]/Table8[[#This Row],[ENERGY NEEDED]],"inf"),"NA")</f>
        <v>18.775000000000006</v>
      </c>
    </row>
    <row r="36" spans="1:15" x14ac:dyDescent="0.3">
      <c r="A36" s="8" t="s">
        <v>228</v>
      </c>
      <c r="B36" s="3">
        <v>42</v>
      </c>
      <c r="C36" s="2" t="s">
        <v>176</v>
      </c>
      <c r="D36" s="12" t="s">
        <v>163</v>
      </c>
      <c r="E36" s="12">
        <v>1</v>
      </c>
      <c r="F36" s="4">
        <f>_xlfn.IFNA(VLOOKUP(Table8[[#This Row],[INGREDIENTS]],MARKET_id!B:C,2,FALSE),999999)</f>
        <v>396</v>
      </c>
      <c r="G36" s="4">
        <f>_xlfn.IFNA(VLOOKUP(D36,tv_store[],2,FALSE),999999)</f>
        <v>999999</v>
      </c>
      <c r="H36" s="4">
        <f>IF(OR(Table8[[#This Row],[INGREDIENTS MP]]&lt;100000,Table8[[#This Row],[INGREDIENTS TV_STORES]]&lt;100000),MIN(Table8[[#This Row],[INGREDIENTS MP]:[INGREDIENTS TV_STORES]]),"NA")</f>
        <v>396</v>
      </c>
      <c r="I36" s="2">
        <f>IFERROR(Table8[[#This Row],[INGREDIENTS_QUANTITY]]*Table8[[#This Row],[MIN_COST PER  QNTY]],"NA")</f>
        <v>396</v>
      </c>
      <c r="J36" s="2">
        <f>SUMIF(B:B,Table8[[#This Row],[PRODUCT ID]],I:I)</f>
        <v>513</v>
      </c>
      <c r="K36" s="28">
        <v>1</v>
      </c>
      <c r="L36" s="2">
        <v>12</v>
      </c>
      <c r="M36" s="2">
        <f>_xlfn.IFNA(VLOOKUP(Table8[[#This Row],[PRODUCT]],MARKET_id!B:C,2,FALSE),0)</f>
        <v>689</v>
      </c>
      <c r="N36" s="4">
        <f>IF(AND(Table8[[#This Row],[Total cost]]&lt;&gt;0,Table8[[#This Row],[PRODUCT_MP VALUE]]&lt;&gt;0),Table8[[#This Row],[PRODUCT_MP VALUE]]*99%*Table8[[#This Row],[DROPRATE]]-Table8[[#This Row],[Total cost]],"NA")</f>
        <v>169.11</v>
      </c>
      <c r="O36" s="6">
        <f>IFERROR(IF(Table8[[#This Row],[ENERGY NEEDED]]&lt;&gt;0,Table8[[#This Row],[PROFIT]]/Table8[[#This Row],[ENERGY NEEDED]],"inf"),"NA")</f>
        <v>14.092500000000001</v>
      </c>
    </row>
    <row r="37" spans="1:15" x14ac:dyDescent="0.3">
      <c r="A37" s="8" t="s">
        <v>228</v>
      </c>
      <c r="B37" s="3">
        <v>42</v>
      </c>
      <c r="C37" s="2" t="s">
        <v>176</v>
      </c>
      <c r="D37" s="12" t="s">
        <v>171</v>
      </c>
      <c r="E37" s="12">
        <v>1</v>
      </c>
      <c r="F37" s="4">
        <f>_xlfn.IFNA(VLOOKUP(Table8[[#This Row],[INGREDIENTS]],MARKET_id!B:C,2,FALSE),999999)</f>
        <v>117</v>
      </c>
      <c r="G37" s="4">
        <f>_xlfn.IFNA(VLOOKUP(D37,tv_store[],2,FALSE),999999)</f>
        <v>999999</v>
      </c>
      <c r="H37" s="4">
        <f>IF(OR(Table8[[#This Row],[INGREDIENTS MP]]&lt;100000,Table8[[#This Row],[INGREDIENTS TV_STORES]]&lt;100000),MIN(Table8[[#This Row],[INGREDIENTS MP]:[INGREDIENTS TV_STORES]]),"NA")</f>
        <v>117</v>
      </c>
      <c r="I37" s="2">
        <f>IFERROR(Table8[[#This Row],[INGREDIENTS_QUANTITY]]*Table8[[#This Row],[MIN_COST PER  QNTY]],"NA")</f>
        <v>117</v>
      </c>
      <c r="J37" s="2">
        <f>SUMIF(B:B,Table8[[#This Row],[PRODUCT ID]],I:I)</f>
        <v>513</v>
      </c>
      <c r="K37" s="28">
        <v>1</v>
      </c>
      <c r="L37" s="2">
        <v>12</v>
      </c>
      <c r="M37" s="2">
        <f>_xlfn.IFNA(VLOOKUP(Table8[[#This Row],[PRODUCT]],MARKET_id!B:C,2,FALSE),0)</f>
        <v>689</v>
      </c>
      <c r="N37" s="4">
        <f>IF(AND(Table8[[#This Row],[Total cost]]&lt;&gt;0,Table8[[#This Row],[PRODUCT_MP VALUE]]&lt;&gt;0),Table8[[#This Row],[PRODUCT_MP VALUE]]*99%*Table8[[#This Row],[DROPRATE]]-Table8[[#This Row],[Total cost]],"NA")</f>
        <v>169.11</v>
      </c>
      <c r="O37" s="6">
        <f>IFERROR(IF(Table8[[#This Row],[ENERGY NEEDED]]&lt;&gt;0,Table8[[#This Row],[PROFIT]]/Table8[[#This Row],[ENERGY NEEDED]],"inf"),"NA")</f>
        <v>14.092500000000001</v>
      </c>
    </row>
    <row r="38" spans="1:15" x14ac:dyDescent="0.3">
      <c r="A38" s="8" t="s">
        <v>228</v>
      </c>
      <c r="B38" s="3">
        <v>43</v>
      </c>
      <c r="C38" s="2" t="s">
        <v>115</v>
      </c>
      <c r="D38" s="12" t="s">
        <v>181</v>
      </c>
      <c r="E38" s="12">
        <v>3</v>
      </c>
      <c r="F38" s="4">
        <f>_xlfn.IFNA(VLOOKUP(Table8[[#This Row],[INGREDIENTS]],MARKET_id!B:C,2,FALSE),999999)</f>
        <v>128</v>
      </c>
      <c r="G38" s="4">
        <f>_xlfn.IFNA(VLOOKUP(D38,tv_store[],2,FALSE),999999)</f>
        <v>999999</v>
      </c>
      <c r="H38" s="4">
        <f>IF(OR(Table8[[#This Row],[INGREDIENTS MP]]&lt;100000,Table8[[#This Row],[INGREDIENTS TV_STORES]]&lt;100000),MIN(Table8[[#This Row],[INGREDIENTS MP]:[INGREDIENTS TV_STORES]]),"NA")</f>
        <v>128</v>
      </c>
      <c r="I38" s="2">
        <f>IFERROR(Table8[[#This Row],[INGREDIENTS_QUANTITY]]*Table8[[#This Row],[MIN_COST PER  QNTY]],"NA")</f>
        <v>384</v>
      </c>
      <c r="J38" s="2">
        <f>SUMIF(B:B,Table8[[#This Row],[PRODUCT ID]],I:I)</f>
        <v>384</v>
      </c>
      <c r="K38" s="28">
        <v>1</v>
      </c>
      <c r="L38" s="2">
        <v>4</v>
      </c>
      <c r="M38" s="2">
        <f>_xlfn.IFNA(VLOOKUP(Table8[[#This Row],[PRODUCT]],MARKET_id!B:C,2,FALSE),0)</f>
        <v>460</v>
      </c>
      <c r="N38" s="4">
        <f>IF(AND(Table8[[#This Row],[Total cost]]&lt;&gt;0,Table8[[#This Row],[PRODUCT_MP VALUE]]&lt;&gt;0),Table8[[#This Row],[PRODUCT_MP VALUE]]*99%*Table8[[#This Row],[DROPRATE]]-Table8[[#This Row],[Total cost]],"NA")</f>
        <v>71.399999999999977</v>
      </c>
      <c r="O38" s="6">
        <f>IFERROR(IF(Table8[[#This Row],[ENERGY NEEDED]]&lt;&gt;0,Table8[[#This Row],[PROFIT]]/Table8[[#This Row],[ENERGY NEEDED]],"inf"),"NA")</f>
        <v>17.849999999999994</v>
      </c>
    </row>
    <row r="39" spans="1:15" x14ac:dyDescent="0.3">
      <c r="A39" s="8" t="s">
        <v>228</v>
      </c>
      <c r="B39" s="3">
        <v>44</v>
      </c>
      <c r="C39" s="2" t="s">
        <v>166</v>
      </c>
      <c r="D39" s="12" t="s">
        <v>152</v>
      </c>
      <c r="E39" s="12">
        <v>4</v>
      </c>
      <c r="F39" s="4">
        <f>_xlfn.IFNA(VLOOKUP(Table8[[#This Row],[INGREDIENTS]],MARKET_id!B:C,2,FALSE),999999)</f>
        <v>88</v>
      </c>
      <c r="G39" s="4">
        <f>_xlfn.IFNA(VLOOKUP(D39,tv_store[],2,FALSE),999999)</f>
        <v>999999</v>
      </c>
      <c r="H39" s="4">
        <f>IF(OR(Table8[[#This Row],[INGREDIENTS MP]]&lt;100000,Table8[[#This Row],[INGREDIENTS TV_STORES]]&lt;100000),MIN(Table8[[#This Row],[INGREDIENTS MP]:[INGREDIENTS TV_STORES]]),"NA")</f>
        <v>88</v>
      </c>
      <c r="I39" s="2">
        <f>IFERROR(Table8[[#This Row],[INGREDIENTS_QUANTITY]]*Table8[[#This Row],[MIN_COST PER  QNTY]],"NA")</f>
        <v>352</v>
      </c>
      <c r="J39" s="2">
        <f>SUMIF(B:B,Table8[[#This Row],[PRODUCT ID]],I:I)</f>
        <v>1740</v>
      </c>
      <c r="K39" s="28">
        <v>1</v>
      </c>
      <c r="L39" s="2">
        <v>5</v>
      </c>
      <c r="M39" s="2">
        <f>_xlfn.IFNA(VLOOKUP(Table8[[#This Row],[PRODUCT]],MARKET_id!B:C,2,FALSE),0)</f>
        <v>1790</v>
      </c>
      <c r="N39" s="4">
        <f>IF(AND(Table8[[#This Row],[Total cost]]&lt;&gt;0,Table8[[#This Row],[PRODUCT_MP VALUE]]&lt;&gt;0),Table8[[#This Row],[PRODUCT_MP VALUE]]*99%*Table8[[#This Row],[DROPRATE]]-Table8[[#This Row],[Total cost]],"NA")</f>
        <v>32.099999999999909</v>
      </c>
      <c r="O39" s="6">
        <f>IFERROR(IF(Table8[[#This Row],[ENERGY NEEDED]]&lt;&gt;0,Table8[[#This Row],[PROFIT]]/Table8[[#This Row],[ENERGY NEEDED]],"inf"),"NA")</f>
        <v>6.4199999999999822</v>
      </c>
    </row>
    <row r="40" spans="1:15" x14ac:dyDescent="0.3">
      <c r="A40" s="8" t="s">
        <v>228</v>
      </c>
      <c r="B40" s="3">
        <v>44</v>
      </c>
      <c r="C40" s="2" t="s">
        <v>166</v>
      </c>
      <c r="D40" s="12" t="s">
        <v>121</v>
      </c>
      <c r="E40" s="12">
        <v>2</v>
      </c>
      <c r="F40" s="4">
        <f>_xlfn.IFNA(VLOOKUP(Table8[[#This Row],[INGREDIENTS]],MARKET_id!B:C,2,FALSE),999999)</f>
        <v>694</v>
      </c>
      <c r="G40" s="4">
        <f>_xlfn.IFNA(VLOOKUP(D40,tv_store[],2,FALSE),999999)</f>
        <v>999999</v>
      </c>
      <c r="H40" s="4">
        <f>IF(OR(Table8[[#This Row],[INGREDIENTS MP]]&lt;100000,Table8[[#This Row],[INGREDIENTS TV_STORES]]&lt;100000),MIN(Table8[[#This Row],[INGREDIENTS MP]:[INGREDIENTS TV_STORES]]),"NA")</f>
        <v>694</v>
      </c>
      <c r="I40" s="2">
        <f>IFERROR(Table8[[#This Row],[INGREDIENTS_QUANTITY]]*Table8[[#This Row],[MIN_COST PER  QNTY]],"NA")</f>
        <v>1388</v>
      </c>
      <c r="J40" s="2">
        <f>SUMIF(B:B,Table8[[#This Row],[PRODUCT ID]],I:I)</f>
        <v>1740</v>
      </c>
      <c r="K40" s="28">
        <v>1</v>
      </c>
      <c r="L40" s="2">
        <v>5</v>
      </c>
      <c r="M40" s="2">
        <f>_xlfn.IFNA(VLOOKUP(Table8[[#This Row],[PRODUCT]],MARKET_id!B:C,2,FALSE),0)</f>
        <v>1790</v>
      </c>
      <c r="N40" s="4">
        <f>IF(AND(Table8[[#This Row],[Total cost]]&lt;&gt;0,Table8[[#This Row],[PRODUCT_MP VALUE]]&lt;&gt;0),Table8[[#This Row],[PRODUCT_MP VALUE]]*99%*Table8[[#This Row],[DROPRATE]]-Table8[[#This Row],[Total cost]],"NA")</f>
        <v>32.099999999999909</v>
      </c>
      <c r="O40" s="6">
        <f>IFERROR(IF(Table8[[#This Row],[ENERGY NEEDED]]&lt;&gt;0,Table8[[#This Row],[PROFIT]]/Table8[[#This Row],[ENERGY NEEDED]],"inf"),"NA")</f>
        <v>6.4199999999999822</v>
      </c>
    </row>
    <row r="41" spans="1:15" x14ac:dyDescent="0.3">
      <c r="A41" s="8" t="s">
        <v>228</v>
      </c>
      <c r="B41" s="3">
        <v>45</v>
      </c>
      <c r="C41" s="2" t="s">
        <v>229</v>
      </c>
      <c r="D41" s="12" t="s">
        <v>128</v>
      </c>
      <c r="E41" s="12">
        <v>12</v>
      </c>
      <c r="F41" s="4">
        <f>_xlfn.IFNA(VLOOKUP(Table8[[#This Row],[INGREDIENTS]],MARKET_id!B:C,2,FALSE),999999)</f>
        <v>53</v>
      </c>
      <c r="G41" s="4">
        <f>_xlfn.IFNA(VLOOKUP(D41,tv_store[],2,FALSE),999999)</f>
        <v>999999</v>
      </c>
      <c r="H41" s="4">
        <f>IF(OR(Table8[[#This Row],[INGREDIENTS MP]]&lt;100000,Table8[[#This Row],[INGREDIENTS TV_STORES]]&lt;100000),MIN(Table8[[#This Row],[INGREDIENTS MP]:[INGREDIENTS TV_STORES]]),"NA")</f>
        <v>53</v>
      </c>
      <c r="I41" s="2">
        <f>IFERROR(Table8[[#This Row],[INGREDIENTS_QUANTITY]]*Table8[[#This Row],[MIN_COST PER  QNTY]],"NA")</f>
        <v>636</v>
      </c>
      <c r="J41" s="2">
        <f>SUMIF(B:B,Table8[[#This Row],[PRODUCT ID]],I:I)</f>
        <v>836</v>
      </c>
      <c r="K41" s="28">
        <v>1</v>
      </c>
      <c r="L41" s="2">
        <v>10</v>
      </c>
      <c r="M41" s="2">
        <f>_xlfn.IFNA(VLOOKUP(Table8[[#This Row],[PRODUCT]],MARKET_id!B:C,2,FALSE),0)</f>
        <v>950</v>
      </c>
      <c r="N41" s="4">
        <f>IF(AND(Table8[[#This Row],[Total cost]]&lt;&gt;0,Table8[[#This Row],[PRODUCT_MP VALUE]]&lt;&gt;0),Table8[[#This Row],[PRODUCT_MP VALUE]]*99%*Table8[[#This Row],[DROPRATE]]-Table8[[#This Row],[Total cost]],"NA")</f>
        <v>104.5</v>
      </c>
      <c r="O41" s="6">
        <f>IFERROR(IF(Table8[[#This Row],[ENERGY NEEDED]]&lt;&gt;0,Table8[[#This Row],[PROFIT]]/Table8[[#This Row],[ENERGY NEEDED]],"inf"),"NA")</f>
        <v>10.45</v>
      </c>
    </row>
    <row r="42" spans="1:15" x14ac:dyDescent="0.3">
      <c r="A42" s="9" t="s">
        <v>228</v>
      </c>
      <c r="B42" s="26">
        <v>45</v>
      </c>
      <c r="C42" s="10" t="s">
        <v>229</v>
      </c>
      <c r="D42" s="27" t="s">
        <v>188</v>
      </c>
      <c r="E42" s="27">
        <v>20</v>
      </c>
      <c r="F42" s="30">
        <f>_xlfn.IFNA(VLOOKUP(Table8[[#This Row],[INGREDIENTS]],MARKET_id!B:C,2,FALSE),999999)</f>
        <v>999999</v>
      </c>
      <c r="G42" s="30">
        <f>_xlfn.IFNA(VLOOKUP(D42,tv_store[],2,FALSE),999999)</f>
        <v>10</v>
      </c>
      <c r="H42" s="30">
        <f>IF(OR(Table8[[#This Row],[INGREDIENTS MP]]&lt;100000,Table8[[#This Row],[INGREDIENTS TV_STORES]]&lt;100000),MIN(Table8[[#This Row],[INGREDIENTS MP]:[INGREDIENTS TV_STORES]]),"NA")</f>
        <v>10</v>
      </c>
      <c r="I42" s="10">
        <f>IFERROR(Table8[[#This Row],[INGREDIENTS_QUANTITY]]*Table8[[#This Row],[MIN_COST PER  QNTY]],"NA")</f>
        <v>200</v>
      </c>
      <c r="J42" s="10">
        <f>SUMIF(B:B,Table8[[#This Row],[PRODUCT ID]],I:I)</f>
        <v>836</v>
      </c>
      <c r="K42" s="28">
        <v>1</v>
      </c>
      <c r="L42" s="10">
        <v>10</v>
      </c>
      <c r="M42" s="10">
        <f>_xlfn.IFNA(VLOOKUP(Table8[[#This Row],[PRODUCT]],MARKET_id!B:C,2,FALSE),0)</f>
        <v>950</v>
      </c>
      <c r="N42" s="30">
        <f>IF(AND(Table8[[#This Row],[Total cost]]&lt;&gt;0,Table8[[#This Row],[PRODUCT_MP VALUE]]&lt;&gt;0),Table8[[#This Row],[PRODUCT_MP VALUE]]*99%*Table8[[#This Row],[DROPRATE]]-Table8[[#This Row],[Total cost]],"NA")</f>
        <v>104.5</v>
      </c>
      <c r="O42" s="31">
        <f>IFERROR(IF(Table8[[#This Row],[ENERGY NEEDED]]&lt;&gt;0,Table8[[#This Row],[PROFIT]]/Table8[[#This Row],[ENERGY NEEDED]],"inf"),"NA")</f>
        <v>10.45</v>
      </c>
    </row>
    <row r="43" spans="1:15" x14ac:dyDescent="0.3">
      <c r="A43" s="8" t="s">
        <v>227</v>
      </c>
      <c r="B43" s="3">
        <v>37</v>
      </c>
      <c r="C43" s="2" t="s">
        <v>181</v>
      </c>
      <c r="D43" s="12" t="s">
        <v>154</v>
      </c>
      <c r="E43" s="12">
        <v>4</v>
      </c>
      <c r="F43" s="4">
        <f>_xlfn.IFNA(VLOOKUP(Table8[[#This Row],[INGREDIENTS]],MARKET_id!B:C,2,FALSE),999999)</f>
        <v>21</v>
      </c>
      <c r="G43" s="4">
        <f>_xlfn.IFNA(VLOOKUP(D43,tv_store[],2,FALSE),999999)</f>
        <v>999999</v>
      </c>
      <c r="H43" s="4">
        <f>IF(OR(Table8[[#This Row],[INGREDIENTS MP]]&lt;100000,Table8[[#This Row],[INGREDIENTS TV_STORES]]&lt;100000),MIN(Table8[[#This Row],[INGREDIENTS MP]:[INGREDIENTS TV_STORES]]),"NA")</f>
        <v>21</v>
      </c>
      <c r="I43" s="2">
        <f>IFERROR(Table8[[#This Row],[INGREDIENTS_QUANTITY]]*Table8[[#This Row],[MIN_COST PER  QNTY]],"NA")</f>
        <v>84</v>
      </c>
      <c r="J43" s="2">
        <f>SUMIF(B:B,Table8[[#This Row],[PRODUCT ID]],I:I)</f>
        <v>84</v>
      </c>
      <c r="K43" s="28">
        <v>1</v>
      </c>
      <c r="L43" s="2">
        <v>3</v>
      </c>
      <c r="M43" s="2">
        <f>_xlfn.IFNA(VLOOKUP(Table8[[#This Row],[PRODUCT]],MARKET_id!B:C,2,FALSE),0)</f>
        <v>128</v>
      </c>
      <c r="N43" s="4">
        <f>IF(AND(Table8[[#This Row],[Total cost]]&lt;&gt;0,Table8[[#This Row],[PRODUCT_MP VALUE]]&lt;&gt;0),Table8[[#This Row],[PRODUCT_MP VALUE]]*99%*Table8[[#This Row],[DROPRATE]]-Table8[[#This Row],[Total cost]],"NA")</f>
        <v>42.72</v>
      </c>
      <c r="O43" s="6">
        <f>IFERROR(IF(Table8[[#This Row],[ENERGY NEEDED]]&lt;&gt;0,Table8[[#This Row],[PROFIT]]/Table8[[#This Row],[ENERGY NEEDED]],"inf"),"NA")</f>
        <v>14.24</v>
      </c>
    </row>
    <row r="44" spans="1:15" x14ac:dyDescent="0.3">
      <c r="A44" s="8" t="s">
        <v>227</v>
      </c>
      <c r="B44" s="3">
        <v>38</v>
      </c>
      <c r="C44" s="2" t="s">
        <v>121</v>
      </c>
      <c r="D44" s="12" t="s">
        <v>122</v>
      </c>
      <c r="E44" s="12">
        <v>4</v>
      </c>
      <c r="F44" s="4">
        <f>_xlfn.IFNA(VLOOKUP(Table8[[#This Row],[INGREDIENTS]],MARKET_id!B:C,2,FALSE),999999)</f>
        <v>200</v>
      </c>
      <c r="G44" s="4">
        <f>_xlfn.IFNA(VLOOKUP(D44,tv_store[],2,FALSE),999999)</f>
        <v>999999</v>
      </c>
      <c r="H44" s="4">
        <f>IF(OR(Table8[[#This Row],[INGREDIENTS MP]]&lt;100000,Table8[[#This Row],[INGREDIENTS TV_STORES]]&lt;100000),MIN(Table8[[#This Row],[INGREDIENTS MP]:[INGREDIENTS TV_STORES]]),"NA")</f>
        <v>200</v>
      </c>
      <c r="I44" s="2">
        <f>IFERROR(Table8[[#This Row],[INGREDIENTS_QUANTITY]]*Table8[[#This Row],[MIN_COST PER  QNTY]],"NA")</f>
        <v>800</v>
      </c>
      <c r="J44" s="2">
        <f>SUMIF(B:B,Table8[[#This Row],[PRODUCT ID]],I:I)</f>
        <v>800</v>
      </c>
      <c r="K44" s="28">
        <v>1</v>
      </c>
      <c r="L44" s="2">
        <v>4</v>
      </c>
      <c r="M44" s="2">
        <f>_xlfn.IFNA(VLOOKUP(Table8[[#This Row],[PRODUCT]],MARKET_id!B:C,2,FALSE),0)</f>
        <v>694</v>
      </c>
      <c r="N44" s="4">
        <f>IF(AND(Table8[[#This Row],[Total cost]]&lt;&gt;0,Table8[[#This Row],[PRODUCT_MP VALUE]]&lt;&gt;0),Table8[[#This Row],[PRODUCT_MP VALUE]]*99%*Table8[[#This Row],[DROPRATE]]-Table8[[#This Row],[Total cost]],"NA")</f>
        <v>-112.94000000000005</v>
      </c>
      <c r="O44" s="6">
        <f>IFERROR(IF(Table8[[#This Row],[ENERGY NEEDED]]&lt;&gt;0,Table8[[#This Row],[PROFIT]]/Table8[[#This Row],[ENERGY NEEDED]],"inf"),"NA")</f>
        <v>-28.235000000000014</v>
      </c>
    </row>
    <row r="45" spans="1:15" x14ac:dyDescent="0.3">
      <c r="A45" s="8" t="s">
        <v>227</v>
      </c>
      <c r="B45" s="3">
        <v>39</v>
      </c>
      <c r="C45" s="2" t="s">
        <v>114</v>
      </c>
      <c r="D45" s="12" t="s">
        <v>151</v>
      </c>
      <c r="E45" s="12">
        <v>1</v>
      </c>
      <c r="F45" s="4">
        <f>_xlfn.IFNA(VLOOKUP(Table8[[#This Row],[INGREDIENTS]],MARKET_id!B:C,2,FALSE),999999)</f>
        <v>987</v>
      </c>
      <c r="G45" s="4">
        <f>_xlfn.IFNA(VLOOKUP(D45,tv_store[],2,FALSE),999999)</f>
        <v>999999</v>
      </c>
      <c r="H45" s="4">
        <f>IF(OR(Table8[[#This Row],[INGREDIENTS MP]]&lt;100000,Table8[[#This Row],[INGREDIENTS TV_STORES]]&lt;100000),MIN(Table8[[#This Row],[INGREDIENTS MP]:[INGREDIENTS TV_STORES]]),"NA")</f>
        <v>987</v>
      </c>
      <c r="I45" s="2">
        <f>IFERROR(Table8[[#This Row],[INGREDIENTS_QUANTITY]]*Table8[[#This Row],[MIN_COST PER  QNTY]],"NA")</f>
        <v>987</v>
      </c>
      <c r="J45" s="2">
        <f>SUMIF(B:B,Table8[[#This Row],[PRODUCT ID]],I:I)</f>
        <v>1365</v>
      </c>
      <c r="K45" s="28">
        <v>1</v>
      </c>
      <c r="L45" s="2">
        <v>3</v>
      </c>
      <c r="M45" s="2">
        <f>_xlfn.IFNA(VLOOKUP(Table8[[#This Row],[PRODUCT]],MARKET_id!B:C,2,FALSE),0)</f>
        <v>1448</v>
      </c>
      <c r="N45" s="4">
        <f>IF(AND(Table8[[#This Row],[Total cost]]&lt;&gt;0,Table8[[#This Row],[PRODUCT_MP VALUE]]&lt;&gt;0),Table8[[#This Row],[PRODUCT_MP VALUE]]*99%*Table8[[#This Row],[DROPRATE]]-Table8[[#This Row],[Total cost]],"NA")</f>
        <v>68.519999999999982</v>
      </c>
      <c r="O45" s="6">
        <f>IFERROR(IF(Table8[[#This Row],[ENERGY NEEDED]]&lt;&gt;0,Table8[[#This Row],[PROFIT]]/Table8[[#This Row],[ENERGY NEEDED]],"inf"),"NA")</f>
        <v>22.839999999999993</v>
      </c>
    </row>
    <row r="46" spans="1:15" x14ac:dyDescent="0.3">
      <c r="A46" s="8" t="s">
        <v>227</v>
      </c>
      <c r="B46" s="3">
        <v>39</v>
      </c>
      <c r="C46" s="2" t="s">
        <v>114</v>
      </c>
      <c r="D46" s="12" t="s">
        <v>161</v>
      </c>
      <c r="E46" s="12">
        <v>1</v>
      </c>
      <c r="F46" s="4">
        <f>_xlfn.IFNA(VLOOKUP(Table8[[#This Row],[INGREDIENTS]],MARKET_id!B:C,2,FALSE),999999)</f>
        <v>102</v>
      </c>
      <c r="G46" s="4">
        <f>_xlfn.IFNA(VLOOKUP(D46,tv_store[],2,FALSE),999999)</f>
        <v>999999</v>
      </c>
      <c r="H46" s="4">
        <f>IF(OR(Table8[[#This Row],[INGREDIENTS MP]]&lt;100000,Table8[[#This Row],[INGREDIENTS TV_STORES]]&lt;100000),MIN(Table8[[#This Row],[INGREDIENTS MP]:[INGREDIENTS TV_STORES]]),"NA")</f>
        <v>102</v>
      </c>
      <c r="I46" s="2">
        <f>IFERROR(Table8[[#This Row],[INGREDIENTS_QUANTITY]]*Table8[[#This Row],[MIN_COST PER  QNTY]],"NA")</f>
        <v>102</v>
      </c>
      <c r="J46" s="2">
        <f>SUMIF(B:B,Table8[[#This Row],[PRODUCT ID]],I:I)</f>
        <v>1365</v>
      </c>
      <c r="K46" s="28">
        <v>1</v>
      </c>
      <c r="L46" s="2">
        <v>3</v>
      </c>
      <c r="M46" s="2">
        <f>_xlfn.IFNA(VLOOKUP(Table8[[#This Row],[PRODUCT]],MARKET_id!B:C,2,FALSE),0)</f>
        <v>1448</v>
      </c>
      <c r="N46" s="4">
        <f>IF(AND(Table8[[#This Row],[Total cost]]&lt;&gt;0,Table8[[#This Row],[PRODUCT_MP VALUE]]&lt;&gt;0),Table8[[#This Row],[PRODUCT_MP VALUE]]*99%*Table8[[#This Row],[DROPRATE]]-Table8[[#This Row],[Total cost]],"NA")</f>
        <v>68.519999999999982</v>
      </c>
      <c r="O46" s="6">
        <f>IFERROR(IF(Table8[[#This Row],[ENERGY NEEDED]]&lt;&gt;0,Table8[[#This Row],[PROFIT]]/Table8[[#This Row],[ENERGY NEEDED]],"inf"),"NA")</f>
        <v>22.839999999999993</v>
      </c>
    </row>
    <row r="47" spans="1:15" x14ac:dyDescent="0.3">
      <c r="A47" s="8" t="s">
        <v>227</v>
      </c>
      <c r="B47" s="3">
        <v>39</v>
      </c>
      <c r="C47" s="2" t="s">
        <v>114</v>
      </c>
      <c r="D47" s="12" t="s">
        <v>130</v>
      </c>
      <c r="E47" s="12">
        <v>3</v>
      </c>
      <c r="F47" s="4">
        <f>_xlfn.IFNA(VLOOKUP(Table8[[#This Row],[INGREDIENTS]],MARKET_id!B:C,2,FALSE),999999)</f>
        <v>14</v>
      </c>
      <c r="G47" s="4">
        <f>_xlfn.IFNA(VLOOKUP(D47,tv_store[],2,FALSE),999999)</f>
        <v>999999</v>
      </c>
      <c r="H47" s="4">
        <f>IF(OR(Table8[[#This Row],[INGREDIENTS MP]]&lt;100000,Table8[[#This Row],[INGREDIENTS TV_STORES]]&lt;100000),MIN(Table8[[#This Row],[INGREDIENTS MP]:[INGREDIENTS TV_STORES]]),"NA")</f>
        <v>14</v>
      </c>
      <c r="I47" s="2">
        <f>IFERROR(Table8[[#This Row],[INGREDIENTS_QUANTITY]]*Table8[[#This Row],[MIN_COST PER  QNTY]],"NA")</f>
        <v>42</v>
      </c>
      <c r="J47" s="2">
        <f>SUMIF(B:B,Table8[[#This Row],[PRODUCT ID]],I:I)</f>
        <v>1365</v>
      </c>
      <c r="K47" s="28">
        <v>1</v>
      </c>
      <c r="L47" s="2">
        <v>3</v>
      </c>
      <c r="M47" s="2">
        <f>_xlfn.IFNA(VLOOKUP(Table8[[#This Row],[PRODUCT]],MARKET_id!B:C,2,FALSE),0)</f>
        <v>1448</v>
      </c>
      <c r="N47" s="4">
        <f>IF(AND(Table8[[#This Row],[Total cost]]&lt;&gt;0,Table8[[#This Row],[PRODUCT_MP VALUE]]&lt;&gt;0),Table8[[#This Row],[PRODUCT_MP VALUE]]*99%*Table8[[#This Row],[DROPRATE]]-Table8[[#This Row],[Total cost]],"NA")</f>
        <v>68.519999999999982</v>
      </c>
      <c r="O47" s="6">
        <f>IFERROR(IF(Table8[[#This Row],[ENERGY NEEDED]]&lt;&gt;0,Table8[[#This Row],[PROFIT]]/Table8[[#This Row],[ENERGY NEEDED]],"inf"),"NA")</f>
        <v>22.839999999999993</v>
      </c>
    </row>
    <row r="48" spans="1:15" x14ac:dyDescent="0.3">
      <c r="A48" s="8" t="s">
        <v>227</v>
      </c>
      <c r="B48" s="3">
        <v>39</v>
      </c>
      <c r="C48" s="2" t="s">
        <v>114</v>
      </c>
      <c r="D48" s="12" t="s">
        <v>171</v>
      </c>
      <c r="E48" s="12">
        <v>2</v>
      </c>
      <c r="F48" s="4">
        <f>_xlfn.IFNA(VLOOKUP(Table8[[#This Row],[INGREDIENTS]],MARKET_id!B:C,2,FALSE),999999)</f>
        <v>117</v>
      </c>
      <c r="G48" s="4">
        <f>_xlfn.IFNA(VLOOKUP(D48,tv_store[],2,FALSE),999999)</f>
        <v>999999</v>
      </c>
      <c r="H48" s="4">
        <f>IF(OR(Table8[[#This Row],[INGREDIENTS MP]]&lt;100000,Table8[[#This Row],[INGREDIENTS TV_STORES]]&lt;100000),MIN(Table8[[#This Row],[INGREDIENTS MP]:[INGREDIENTS TV_STORES]]),"NA")</f>
        <v>117</v>
      </c>
      <c r="I48" s="2">
        <f>IFERROR(Table8[[#This Row],[INGREDIENTS_QUANTITY]]*Table8[[#This Row],[MIN_COST PER  QNTY]],"NA")</f>
        <v>234</v>
      </c>
      <c r="J48" s="2">
        <f>SUMIF(B:B,Table8[[#This Row],[PRODUCT ID]],I:I)</f>
        <v>1365</v>
      </c>
      <c r="K48" s="28">
        <v>1</v>
      </c>
      <c r="L48" s="2">
        <v>3</v>
      </c>
      <c r="M48" s="2">
        <f>_xlfn.IFNA(VLOOKUP(Table8[[#This Row],[PRODUCT]],MARKET_id!B:C,2,FALSE),0)</f>
        <v>1448</v>
      </c>
      <c r="N48" s="4">
        <f>IF(AND(Table8[[#This Row],[Total cost]]&lt;&gt;0,Table8[[#This Row],[PRODUCT_MP VALUE]]&lt;&gt;0),Table8[[#This Row],[PRODUCT_MP VALUE]]*99%*Table8[[#This Row],[DROPRATE]]-Table8[[#This Row],[Total cost]],"NA")</f>
        <v>68.519999999999982</v>
      </c>
      <c r="O48" s="6">
        <f>IFERROR(IF(Table8[[#This Row],[ENERGY NEEDED]]&lt;&gt;0,Table8[[#This Row],[PROFIT]]/Table8[[#This Row],[ENERGY NEEDED]],"inf"),"NA")</f>
        <v>22.839999999999993</v>
      </c>
    </row>
    <row r="49" spans="1:15" x14ac:dyDescent="0.3">
      <c r="A49" s="8" t="s">
        <v>227</v>
      </c>
      <c r="B49" s="3">
        <v>40</v>
      </c>
      <c r="C49" s="2" t="s">
        <v>118</v>
      </c>
      <c r="D49" s="12" t="s">
        <v>125</v>
      </c>
      <c r="E49" s="12">
        <v>2</v>
      </c>
      <c r="F49" s="4">
        <f>_xlfn.IFNA(VLOOKUP(Table8[[#This Row],[INGREDIENTS]],MARKET_id!B:C,2,FALSE),999999)</f>
        <v>444</v>
      </c>
      <c r="G49" s="4">
        <f>_xlfn.IFNA(VLOOKUP(D49,tv_store[],2,FALSE),999999)</f>
        <v>999999</v>
      </c>
      <c r="H49" s="4">
        <f>IF(OR(Table8[[#This Row],[INGREDIENTS MP]]&lt;100000,Table8[[#This Row],[INGREDIENTS TV_STORES]]&lt;100000),MIN(Table8[[#This Row],[INGREDIENTS MP]:[INGREDIENTS TV_STORES]]),"NA")</f>
        <v>444</v>
      </c>
      <c r="I49" s="2">
        <f>IFERROR(Table8[[#This Row],[INGREDIENTS_QUANTITY]]*Table8[[#This Row],[MIN_COST PER  QNTY]],"NA")</f>
        <v>888</v>
      </c>
      <c r="J49" s="2">
        <f>SUMIF(B:B,Table8[[#This Row],[PRODUCT ID]],I:I)</f>
        <v>8172</v>
      </c>
      <c r="K49" s="28">
        <v>1</v>
      </c>
      <c r="L49" s="2">
        <v>8</v>
      </c>
      <c r="M49" s="2">
        <f>_xlfn.IFNA(VLOOKUP(Table8[[#This Row],[PRODUCT]],MARKET_id!B:C,2,FALSE),0)</f>
        <v>8600</v>
      </c>
      <c r="N49" s="4">
        <f>IF(AND(Table8[[#This Row],[Total cost]]&lt;&gt;0,Table8[[#This Row],[PRODUCT_MP VALUE]]&lt;&gt;0),Table8[[#This Row],[PRODUCT_MP VALUE]]*99%*Table8[[#This Row],[DROPRATE]]-Table8[[#This Row],[Total cost]],"NA")</f>
        <v>342</v>
      </c>
      <c r="O49" s="6">
        <f>IFERROR(IF(Table8[[#This Row],[ENERGY NEEDED]]&lt;&gt;0,Table8[[#This Row],[PROFIT]]/Table8[[#This Row],[ENERGY NEEDED]],"inf"),"NA")</f>
        <v>42.75</v>
      </c>
    </row>
    <row r="50" spans="1:15" x14ac:dyDescent="0.3">
      <c r="A50" s="8" t="s">
        <v>227</v>
      </c>
      <c r="B50" s="3">
        <v>40</v>
      </c>
      <c r="C50" s="2" t="s">
        <v>118</v>
      </c>
      <c r="D50" s="12" t="s">
        <v>115</v>
      </c>
      <c r="E50" s="12">
        <v>12</v>
      </c>
      <c r="F50" s="4">
        <f>_xlfn.IFNA(VLOOKUP(Table8[[#This Row],[INGREDIENTS]],MARKET_id!B:C,2,FALSE),999999)</f>
        <v>460</v>
      </c>
      <c r="G50" s="4">
        <f>_xlfn.IFNA(VLOOKUP(D50,tv_store[],2,FALSE),999999)</f>
        <v>999999</v>
      </c>
      <c r="H50" s="4">
        <f>IF(OR(Table8[[#This Row],[INGREDIENTS MP]]&lt;100000,Table8[[#This Row],[INGREDIENTS TV_STORES]]&lt;100000),MIN(Table8[[#This Row],[INGREDIENTS MP]:[INGREDIENTS TV_STORES]]),"NA")</f>
        <v>460</v>
      </c>
      <c r="I50" s="2">
        <f>IFERROR(Table8[[#This Row],[INGREDIENTS_QUANTITY]]*Table8[[#This Row],[MIN_COST PER  QNTY]],"NA")</f>
        <v>5520</v>
      </c>
      <c r="J50" s="2">
        <f>SUMIF(B:B,Table8[[#This Row],[PRODUCT ID]],I:I)</f>
        <v>8172</v>
      </c>
      <c r="K50" s="28">
        <v>1</v>
      </c>
      <c r="L50" s="2">
        <v>8</v>
      </c>
      <c r="M50" s="2">
        <f>_xlfn.IFNA(VLOOKUP(Table8[[#This Row],[PRODUCT]],MARKET_id!B:C,2,FALSE),0)</f>
        <v>8600</v>
      </c>
      <c r="N50" s="4">
        <f>IF(AND(Table8[[#This Row],[Total cost]]&lt;&gt;0,Table8[[#This Row],[PRODUCT_MP VALUE]]&lt;&gt;0),Table8[[#This Row],[PRODUCT_MP VALUE]]*99%*Table8[[#This Row],[DROPRATE]]-Table8[[#This Row],[Total cost]],"NA")</f>
        <v>342</v>
      </c>
      <c r="O50" s="6">
        <f>IFERROR(IF(Table8[[#This Row],[ENERGY NEEDED]]&lt;&gt;0,Table8[[#This Row],[PROFIT]]/Table8[[#This Row],[ENERGY NEEDED]],"inf"),"NA")</f>
        <v>42.75</v>
      </c>
    </row>
    <row r="51" spans="1:15" x14ac:dyDescent="0.3">
      <c r="A51" s="8" t="s">
        <v>227</v>
      </c>
      <c r="B51" s="3">
        <v>40</v>
      </c>
      <c r="C51" s="2" t="s">
        <v>118</v>
      </c>
      <c r="D51" s="12" t="s">
        <v>114</v>
      </c>
      <c r="E51" s="12">
        <v>1</v>
      </c>
      <c r="F51" s="4">
        <f>_xlfn.IFNA(VLOOKUP(Table8[[#This Row],[INGREDIENTS]],MARKET_id!B:C,2,FALSE),999999)</f>
        <v>1448</v>
      </c>
      <c r="G51" s="4">
        <f>_xlfn.IFNA(VLOOKUP(D51,tv_store[],2,FALSE),999999)</f>
        <v>999999</v>
      </c>
      <c r="H51" s="4">
        <f>IF(OR(Table8[[#This Row],[INGREDIENTS MP]]&lt;100000,Table8[[#This Row],[INGREDIENTS TV_STORES]]&lt;100000),MIN(Table8[[#This Row],[INGREDIENTS MP]:[INGREDIENTS TV_STORES]]),"NA")</f>
        <v>1448</v>
      </c>
      <c r="I51" s="2">
        <f>IFERROR(Table8[[#This Row],[INGREDIENTS_QUANTITY]]*Table8[[#This Row],[MIN_COST PER  QNTY]],"NA")</f>
        <v>1448</v>
      </c>
      <c r="J51" s="2">
        <f>SUMIF(B:B,Table8[[#This Row],[PRODUCT ID]],I:I)</f>
        <v>8172</v>
      </c>
      <c r="K51" s="28">
        <v>1</v>
      </c>
      <c r="L51" s="2">
        <v>8</v>
      </c>
      <c r="M51" s="2">
        <f>_xlfn.IFNA(VLOOKUP(Table8[[#This Row],[PRODUCT]],MARKET_id!B:C,2,FALSE),0)</f>
        <v>8600</v>
      </c>
      <c r="N51" s="4">
        <f>IF(AND(Table8[[#This Row],[Total cost]]&lt;&gt;0,Table8[[#This Row],[PRODUCT_MP VALUE]]&lt;&gt;0),Table8[[#This Row],[PRODUCT_MP VALUE]]*99%*Table8[[#This Row],[DROPRATE]]-Table8[[#This Row],[Total cost]],"NA")</f>
        <v>342</v>
      </c>
      <c r="O51" s="6">
        <f>IFERROR(IF(Table8[[#This Row],[ENERGY NEEDED]]&lt;&gt;0,Table8[[#This Row],[PROFIT]]/Table8[[#This Row],[ENERGY NEEDED]],"inf"),"NA")</f>
        <v>42.75</v>
      </c>
    </row>
    <row r="52" spans="1:15" x14ac:dyDescent="0.3">
      <c r="A52" s="9" t="s">
        <v>227</v>
      </c>
      <c r="B52" s="26">
        <v>40</v>
      </c>
      <c r="C52" s="10" t="s">
        <v>118</v>
      </c>
      <c r="D52" s="27" t="s">
        <v>153</v>
      </c>
      <c r="E52" s="27">
        <v>4</v>
      </c>
      <c r="F52" s="30">
        <f>_xlfn.IFNA(VLOOKUP(Table8[[#This Row],[INGREDIENTS]],MARKET_id!B:C,2,FALSE),999999)</f>
        <v>79</v>
      </c>
      <c r="G52" s="30">
        <f>_xlfn.IFNA(VLOOKUP(D52,tv_store[],2,FALSE),999999)</f>
        <v>999999</v>
      </c>
      <c r="H52" s="30">
        <f>IF(OR(Table8[[#This Row],[INGREDIENTS MP]]&lt;100000,Table8[[#This Row],[INGREDIENTS TV_STORES]]&lt;100000),MIN(Table8[[#This Row],[INGREDIENTS MP]:[INGREDIENTS TV_STORES]]),"NA")</f>
        <v>79</v>
      </c>
      <c r="I52" s="10">
        <f>IFERROR(Table8[[#This Row],[INGREDIENTS_QUANTITY]]*Table8[[#This Row],[MIN_COST PER  QNTY]],"NA")</f>
        <v>316</v>
      </c>
      <c r="J52" s="10">
        <f>SUMIF(B:B,Table8[[#This Row],[PRODUCT ID]],I:I)</f>
        <v>8172</v>
      </c>
      <c r="K52" s="28">
        <v>1</v>
      </c>
      <c r="L52" s="2">
        <v>8</v>
      </c>
      <c r="M52" s="10">
        <f>_xlfn.IFNA(VLOOKUP(Table8[[#This Row],[PRODUCT]],MARKET_id!B:C,2,FALSE),0)</f>
        <v>8600</v>
      </c>
      <c r="N52" s="30">
        <f>IF(AND(Table8[[#This Row],[Total cost]]&lt;&gt;0,Table8[[#This Row],[PRODUCT_MP VALUE]]&lt;&gt;0),Table8[[#This Row],[PRODUCT_MP VALUE]]*99%*Table8[[#This Row],[DROPRATE]]-Table8[[#This Row],[Total cost]],"NA")</f>
        <v>342</v>
      </c>
      <c r="O52" s="31">
        <f>IFERROR(IF(Table8[[#This Row],[ENERGY NEEDED]]&lt;&gt;0,Table8[[#This Row],[PROFIT]]/Table8[[#This Row],[ENERGY NEEDED]],"inf"),"NA")</f>
        <v>42.75</v>
      </c>
    </row>
    <row r="53" spans="1:15" ht="15.6" customHeight="1" x14ac:dyDescent="0.3">
      <c r="A53" s="8" t="s">
        <v>230</v>
      </c>
      <c r="B53" s="3">
        <v>46</v>
      </c>
      <c r="C53" s="2" t="s">
        <v>169</v>
      </c>
      <c r="D53" s="12" t="s">
        <v>162</v>
      </c>
      <c r="E53" s="12">
        <v>24</v>
      </c>
      <c r="F53" s="4">
        <f>_xlfn.IFNA(VLOOKUP(Table8[[#This Row],[INGREDIENTS]],MARKET_id!B:C,2,FALSE),999999)</f>
        <v>42</v>
      </c>
      <c r="G53" s="4">
        <f>_xlfn.IFNA(VLOOKUP(D53,tv_store[],2,FALSE),999999)</f>
        <v>999999</v>
      </c>
      <c r="H53" s="4">
        <f>IF(OR(Table8[[#This Row],[INGREDIENTS MP]]&lt;100000,Table8[[#This Row],[INGREDIENTS TV_STORES]]&lt;100000),MIN(Table8[[#This Row],[INGREDIENTS MP]:[INGREDIENTS TV_STORES]]),"NA")</f>
        <v>42</v>
      </c>
      <c r="I53" s="2">
        <f>IFERROR(Table8[[#This Row],[INGREDIENTS_QUANTITY]]*Table8[[#This Row],[MIN_COST PER  QNTY]],"NA")</f>
        <v>1008</v>
      </c>
      <c r="J53" s="2">
        <f>SUMIF(B:B,Table8[[#This Row],[PRODUCT ID]],I:I)</f>
        <v>1150</v>
      </c>
      <c r="K53" s="28">
        <v>1</v>
      </c>
      <c r="L53" s="2">
        <v>0</v>
      </c>
      <c r="M53" s="2">
        <f>_xlfn.IFNA(VLOOKUP(Table8[[#This Row],[PRODUCT]],MARKET_id!B:C,2,FALSE),0)</f>
        <v>1000</v>
      </c>
      <c r="N53" s="4">
        <f>IF(AND(Table8[[#This Row],[Total cost]]&lt;&gt;0,Table8[[#This Row],[PRODUCT_MP VALUE]]&lt;&gt;0),Table8[[#This Row],[PRODUCT_MP VALUE]]*99%*Table8[[#This Row],[DROPRATE]]-Table8[[#This Row],[Total cost]],"NA")</f>
        <v>-160</v>
      </c>
      <c r="O53" s="6" t="str">
        <f>IFERROR(IF(Table8[[#This Row],[ENERGY NEEDED]]&lt;&gt;0,Table8[[#This Row],[PROFIT]]/Table8[[#This Row],[ENERGY NEEDED]],"inf"),"NA")</f>
        <v>inf</v>
      </c>
    </row>
    <row r="54" spans="1:15" x14ac:dyDescent="0.3">
      <c r="A54" s="8" t="s">
        <v>230</v>
      </c>
      <c r="B54" s="3">
        <v>46</v>
      </c>
      <c r="C54" s="2" t="s">
        <v>169</v>
      </c>
      <c r="D54" s="12" t="s">
        <v>188</v>
      </c>
      <c r="E54" s="12">
        <v>10</v>
      </c>
      <c r="F54" s="4">
        <f>_xlfn.IFNA(VLOOKUP(Table8[[#This Row],[INGREDIENTS]],MARKET_id!B:C,2,FALSE),999999)</f>
        <v>999999</v>
      </c>
      <c r="G54" s="4">
        <f>_xlfn.IFNA(VLOOKUP(D54,tv_store[],2,FALSE),999999)</f>
        <v>10</v>
      </c>
      <c r="H54" s="4">
        <f>IF(OR(Table8[[#This Row],[INGREDIENTS MP]]&lt;100000,Table8[[#This Row],[INGREDIENTS TV_STORES]]&lt;100000),MIN(Table8[[#This Row],[INGREDIENTS MP]:[INGREDIENTS TV_STORES]]),"NA")</f>
        <v>10</v>
      </c>
      <c r="I54" s="2">
        <f>IFERROR(Table8[[#This Row],[INGREDIENTS_QUANTITY]]*Table8[[#This Row],[MIN_COST PER  QNTY]],"NA")</f>
        <v>100</v>
      </c>
      <c r="J54" s="2">
        <f>SUMIF(B:B,Table8[[#This Row],[PRODUCT ID]],I:I)</f>
        <v>1150</v>
      </c>
      <c r="K54" s="28">
        <v>1</v>
      </c>
      <c r="L54" s="2">
        <v>0</v>
      </c>
      <c r="M54" s="2">
        <f>_xlfn.IFNA(VLOOKUP(Table8[[#This Row],[PRODUCT]],MARKET_id!B:C,2,FALSE),0)</f>
        <v>1000</v>
      </c>
      <c r="N54" s="4">
        <f>IF(AND(Table8[[#This Row],[Total cost]]&lt;&gt;0,Table8[[#This Row],[PRODUCT_MP VALUE]]&lt;&gt;0),Table8[[#This Row],[PRODUCT_MP VALUE]]*99%*Table8[[#This Row],[DROPRATE]]-Table8[[#This Row],[Total cost]],"NA")</f>
        <v>-160</v>
      </c>
      <c r="O54" s="6" t="str">
        <f>IFERROR(IF(Table8[[#This Row],[ENERGY NEEDED]]&lt;&gt;0,Table8[[#This Row],[PROFIT]]/Table8[[#This Row],[ENERGY NEEDED]],"inf"),"NA")</f>
        <v>inf</v>
      </c>
    </row>
    <row r="55" spans="1:15" x14ac:dyDescent="0.3">
      <c r="A55" s="8" t="s">
        <v>230</v>
      </c>
      <c r="B55" s="3">
        <v>46</v>
      </c>
      <c r="C55" s="2" t="s">
        <v>169</v>
      </c>
      <c r="D55" s="12" t="s">
        <v>130</v>
      </c>
      <c r="E55" s="12">
        <v>3</v>
      </c>
      <c r="F55" s="4">
        <f>_xlfn.IFNA(VLOOKUP(Table8[[#This Row],[INGREDIENTS]],MARKET_id!B:C,2,FALSE),999999)</f>
        <v>14</v>
      </c>
      <c r="G55" s="4">
        <f>_xlfn.IFNA(VLOOKUP(D55,tv_store[],2,FALSE),999999)</f>
        <v>999999</v>
      </c>
      <c r="H55" s="4">
        <f>IF(OR(Table8[[#This Row],[INGREDIENTS MP]]&lt;100000,Table8[[#This Row],[INGREDIENTS TV_STORES]]&lt;100000),MIN(Table8[[#This Row],[INGREDIENTS MP]:[INGREDIENTS TV_STORES]]),"NA")</f>
        <v>14</v>
      </c>
      <c r="I55" s="2">
        <f>IFERROR(Table8[[#This Row],[INGREDIENTS_QUANTITY]]*Table8[[#This Row],[MIN_COST PER  QNTY]],"NA")</f>
        <v>42</v>
      </c>
      <c r="J55" s="2">
        <f>SUMIF(B:B,Table8[[#This Row],[PRODUCT ID]],I:I)</f>
        <v>1150</v>
      </c>
      <c r="K55" s="28">
        <v>1</v>
      </c>
      <c r="L55" s="2">
        <v>0</v>
      </c>
      <c r="M55" s="2">
        <f>_xlfn.IFNA(VLOOKUP(Table8[[#This Row],[PRODUCT]],MARKET_id!B:C,2,FALSE),0)</f>
        <v>1000</v>
      </c>
      <c r="N55" s="4">
        <f>IF(AND(Table8[[#This Row],[Total cost]]&lt;&gt;0,Table8[[#This Row],[PRODUCT_MP VALUE]]&lt;&gt;0),Table8[[#This Row],[PRODUCT_MP VALUE]]*99%*Table8[[#This Row],[DROPRATE]]-Table8[[#This Row],[Total cost]],"NA")</f>
        <v>-160</v>
      </c>
      <c r="O55" s="6" t="str">
        <f>IFERROR(IF(Table8[[#This Row],[ENERGY NEEDED]]&lt;&gt;0,Table8[[#This Row],[PROFIT]]/Table8[[#This Row],[ENERGY NEEDED]],"inf"),"NA")</f>
        <v>inf</v>
      </c>
    </row>
    <row r="56" spans="1:15" x14ac:dyDescent="0.3">
      <c r="A56" s="8" t="s">
        <v>230</v>
      </c>
      <c r="B56" s="3">
        <v>47</v>
      </c>
      <c r="C56" s="2" t="s">
        <v>170</v>
      </c>
      <c r="D56" s="12" t="s">
        <v>155</v>
      </c>
      <c r="E56" s="12">
        <v>24</v>
      </c>
      <c r="F56" s="4">
        <f>_xlfn.IFNA(VLOOKUP(Table8[[#This Row],[INGREDIENTS]],MARKET_id!B:C,2,FALSE),999999)</f>
        <v>119</v>
      </c>
      <c r="G56" s="4">
        <f>_xlfn.IFNA(VLOOKUP(D56,tv_store[],2,FALSE),999999)</f>
        <v>999999</v>
      </c>
      <c r="H56" s="4">
        <f>IF(OR(Table8[[#This Row],[INGREDIENTS MP]]&lt;100000,Table8[[#This Row],[INGREDIENTS TV_STORES]]&lt;100000),MIN(Table8[[#This Row],[INGREDIENTS MP]:[INGREDIENTS TV_STORES]]),"NA")</f>
        <v>119</v>
      </c>
      <c r="I56" s="2">
        <f>IFERROR(Table8[[#This Row],[INGREDIENTS_QUANTITY]]*Table8[[#This Row],[MIN_COST PER  QNTY]],"NA")</f>
        <v>2856</v>
      </c>
      <c r="J56" s="2">
        <f>SUMIF(B:B,Table8[[#This Row],[PRODUCT ID]],I:I)</f>
        <v>3257</v>
      </c>
      <c r="K56" s="28">
        <v>1</v>
      </c>
      <c r="L56" s="2">
        <v>0</v>
      </c>
      <c r="M56" s="2">
        <f>_xlfn.IFNA(VLOOKUP(Table8[[#This Row],[PRODUCT]],MARKET_id!B:C,2,FALSE),0)</f>
        <v>3490</v>
      </c>
      <c r="N56" s="4">
        <f>IF(AND(Table8[[#This Row],[Total cost]]&lt;&gt;0,Table8[[#This Row],[PRODUCT_MP VALUE]]&lt;&gt;0),Table8[[#This Row],[PRODUCT_MP VALUE]]*99%*Table8[[#This Row],[DROPRATE]]-Table8[[#This Row],[Total cost]],"NA")</f>
        <v>198.09999999999991</v>
      </c>
      <c r="O56" s="6" t="str">
        <f>IFERROR(IF(Table8[[#This Row],[ENERGY NEEDED]]&lt;&gt;0,Table8[[#This Row],[PROFIT]]/Table8[[#This Row],[ENERGY NEEDED]],"inf"),"NA")</f>
        <v>inf</v>
      </c>
    </row>
    <row r="57" spans="1:15" x14ac:dyDescent="0.3">
      <c r="A57" s="8" t="s">
        <v>230</v>
      </c>
      <c r="B57" s="3">
        <v>47</v>
      </c>
      <c r="C57" s="2" t="s">
        <v>170</v>
      </c>
      <c r="D57" s="12" t="s">
        <v>171</v>
      </c>
      <c r="E57" s="12">
        <v>1</v>
      </c>
      <c r="F57" s="4">
        <f>_xlfn.IFNA(VLOOKUP(Table8[[#This Row],[INGREDIENTS]],MARKET_id!B:C,2,FALSE),999999)</f>
        <v>117</v>
      </c>
      <c r="G57" s="4">
        <f>_xlfn.IFNA(VLOOKUP(D57,tv_store[],2,FALSE),999999)</f>
        <v>999999</v>
      </c>
      <c r="H57" s="4">
        <f>IF(OR(Table8[[#This Row],[INGREDIENTS MP]]&lt;100000,Table8[[#This Row],[INGREDIENTS TV_STORES]]&lt;100000),MIN(Table8[[#This Row],[INGREDIENTS MP]:[INGREDIENTS TV_STORES]]),"NA")</f>
        <v>117</v>
      </c>
      <c r="I57" s="2">
        <f>IFERROR(Table8[[#This Row],[INGREDIENTS_QUANTITY]]*Table8[[#This Row],[MIN_COST PER  QNTY]],"NA")</f>
        <v>117</v>
      </c>
      <c r="J57" s="2">
        <f>SUMIF(B:B,Table8[[#This Row],[PRODUCT ID]],I:I)</f>
        <v>3257</v>
      </c>
      <c r="K57" s="28">
        <v>1</v>
      </c>
      <c r="L57" s="2">
        <v>0</v>
      </c>
      <c r="M57" s="2">
        <f>_xlfn.IFNA(VLOOKUP(Table8[[#This Row],[PRODUCT]],MARKET_id!B:C,2,FALSE),0)</f>
        <v>3490</v>
      </c>
      <c r="N57" s="4">
        <f>IF(AND(Table8[[#This Row],[Total cost]]&lt;&gt;0,Table8[[#This Row],[PRODUCT_MP VALUE]]&lt;&gt;0),Table8[[#This Row],[PRODUCT_MP VALUE]]*99%*Table8[[#This Row],[DROPRATE]]-Table8[[#This Row],[Total cost]],"NA")</f>
        <v>198.09999999999991</v>
      </c>
      <c r="O57" s="6" t="str">
        <f>IFERROR(IF(Table8[[#This Row],[ENERGY NEEDED]]&lt;&gt;0,Table8[[#This Row],[PROFIT]]/Table8[[#This Row],[ENERGY NEEDED]],"inf"),"NA")</f>
        <v>inf</v>
      </c>
    </row>
    <row r="58" spans="1:15" x14ac:dyDescent="0.3">
      <c r="A58" s="8" t="s">
        <v>230</v>
      </c>
      <c r="B58" s="3">
        <v>47</v>
      </c>
      <c r="C58" s="2" t="s">
        <v>170</v>
      </c>
      <c r="D58" s="12" t="s">
        <v>188</v>
      </c>
      <c r="E58" s="12">
        <v>20</v>
      </c>
      <c r="F58" s="4">
        <f>_xlfn.IFNA(VLOOKUP(Table8[[#This Row],[INGREDIENTS]],MARKET_id!B:C,2,FALSE),999999)</f>
        <v>999999</v>
      </c>
      <c r="G58" s="4">
        <f>_xlfn.IFNA(VLOOKUP(D58,tv_store[],2,FALSE),999999)</f>
        <v>10</v>
      </c>
      <c r="H58" s="4">
        <f>IF(OR(Table8[[#This Row],[INGREDIENTS MP]]&lt;100000,Table8[[#This Row],[INGREDIENTS TV_STORES]]&lt;100000),MIN(Table8[[#This Row],[INGREDIENTS MP]:[INGREDIENTS TV_STORES]]),"NA")</f>
        <v>10</v>
      </c>
      <c r="I58" s="2">
        <f>IFERROR(Table8[[#This Row],[INGREDIENTS_QUANTITY]]*Table8[[#This Row],[MIN_COST PER  QNTY]],"NA")</f>
        <v>200</v>
      </c>
      <c r="J58" s="2">
        <f>SUMIF(B:B,Table8[[#This Row],[PRODUCT ID]],I:I)</f>
        <v>3257</v>
      </c>
      <c r="K58" s="28">
        <v>1</v>
      </c>
      <c r="L58" s="2">
        <v>0</v>
      </c>
      <c r="M58" s="2">
        <f>_xlfn.IFNA(VLOOKUP(Table8[[#This Row],[PRODUCT]],MARKET_id!B:C,2,FALSE),0)</f>
        <v>3490</v>
      </c>
      <c r="N58" s="4">
        <f>IF(AND(Table8[[#This Row],[Total cost]]&lt;&gt;0,Table8[[#This Row],[PRODUCT_MP VALUE]]&lt;&gt;0),Table8[[#This Row],[PRODUCT_MP VALUE]]*99%*Table8[[#This Row],[DROPRATE]]-Table8[[#This Row],[Total cost]],"NA")</f>
        <v>198.09999999999991</v>
      </c>
      <c r="O58" s="6" t="str">
        <f>IFERROR(IF(Table8[[#This Row],[ENERGY NEEDED]]&lt;&gt;0,Table8[[#This Row],[PROFIT]]/Table8[[#This Row],[ENERGY NEEDED]],"inf"),"NA")</f>
        <v>inf</v>
      </c>
    </row>
    <row r="59" spans="1:15" x14ac:dyDescent="0.3">
      <c r="A59" s="8" t="s">
        <v>230</v>
      </c>
      <c r="B59" s="3">
        <v>47</v>
      </c>
      <c r="C59" s="2" t="s">
        <v>170</v>
      </c>
      <c r="D59" s="12" t="s">
        <v>130</v>
      </c>
      <c r="E59" s="12">
        <v>6</v>
      </c>
      <c r="F59" s="4">
        <f>_xlfn.IFNA(VLOOKUP(Table8[[#This Row],[INGREDIENTS]],MARKET_id!B:C,2,FALSE),999999)</f>
        <v>14</v>
      </c>
      <c r="G59" s="4">
        <f>_xlfn.IFNA(VLOOKUP(D59,tv_store[],2,FALSE),999999)</f>
        <v>999999</v>
      </c>
      <c r="H59" s="4">
        <f>IF(OR(Table8[[#This Row],[INGREDIENTS MP]]&lt;100000,Table8[[#This Row],[INGREDIENTS TV_STORES]]&lt;100000),MIN(Table8[[#This Row],[INGREDIENTS MP]:[INGREDIENTS TV_STORES]]),"NA")</f>
        <v>14</v>
      </c>
      <c r="I59" s="2">
        <f>IFERROR(Table8[[#This Row],[INGREDIENTS_QUANTITY]]*Table8[[#This Row],[MIN_COST PER  QNTY]],"NA")</f>
        <v>84</v>
      </c>
      <c r="J59" s="2">
        <f>SUMIF(B:B,Table8[[#This Row],[PRODUCT ID]],I:I)</f>
        <v>3257</v>
      </c>
      <c r="K59" s="28">
        <v>1</v>
      </c>
      <c r="L59" s="2">
        <v>0</v>
      </c>
      <c r="M59" s="2">
        <f>_xlfn.IFNA(VLOOKUP(Table8[[#This Row],[PRODUCT]],MARKET_id!B:C,2,FALSE),0)</f>
        <v>3490</v>
      </c>
      <c r="N59" s="4">
        <f>IF(AND(Table8[[#This Row],[Total cost]]&lt;&gt;0,Table8[[#This Row],[PRODUCT_MP VALUE]]&lt;&gt;0),Table8[[#This Row],[PRODUCT_MP VALUE]]*99%*Table8[[#This Row],[DROPRATE]]-Table8[[#This Row],[Total cost]],"NA")</f>
        <v>198.09999999999991</v>
      </c>
      <c r="O59" s="6" t="str">
        <f>IFERROR(IF(Table8[[#This Row],[ENERGY NEEDED]]&lt;&gt;0,Table8[[#This Row],[PROFIT]]/Table8[[#This Row],[ENERGY NEEDED]],"inf"),"NA")</f>
        <v>inf</v>
      </c>
    </row>
    <row r="60" spans="1:15" x14ac:dyDescent="0.3">
      <c r="A60" s="8" t="s">
        <v>230</v>
      </c>
      <c r="B60" s="3">
        <v>48</v>
      </c>
      <c r="C60" s="2" t="s">
        <v>185</v>
      </c>
      <c r="D60" s="12" t="s">
        <v>183</v>
      </c>
      <c r="E60" s="12">
        <v>24</v>
      </c>
      <c r="F60" s="4">
        <f>_xlfn.IFNA(VLOOKUP(Table8[[#This Row],[INGREDIENTS]],MARKET_id!B:C,2,FALSE),999999)</f>
        <v>87</v>
      </c>
      <c r="G60" s="4">
        <f>_xlfn.IFNA(VLOOKUP(D60,tv_store[],2,FALSE),999999)</f>
        <v>999999</v>
      </c>
      <c r="H60" s="4">
        <f>IF(OR(Table8[[#This Row],[INGREDIENTS MP]]&lt;100000,Table8[[#This Row],[INGREDIENTS TV_STORES]]&lt;100000),MIN(Table8[[#This Row],[INGREDIENTS MP]:[INGREDIENTS TV_STORES]]),"NA")</f>
        <v>87</v>
      </c>
      <c r="I60" s="2">
        <f>IFERROR(Table8[[#This Row],[INGREDIENTS_QUANTITY]]*Table8[[#This Row],[MIN_COST PER  QNTY]],"NA")</f>
        <v>2088</v>
      </c>
      <c r="J60" s="2">
        <f>SUMIF(B:B,Table8[[#This Row],[PRODUCT ID]],I:I)</f>
        <v>2539</v>
      </c>
      <c r="K60" s="28">
        <v>1</v>
      </c>
      <c r="L60" s="2">
        <v>0</v>
      </c>
      <c r="M60" s="2">
        <f>_xlfn.IFNA(VLOOKUP(Table8[[#This Row],[PRODUCT]],MARKET_id!B:C,2,FALSE),0)</f>
        <v>2961</v>
      </c>
      <c r="N60" s="4">
        <f>IF(AND(Table8[[#This Row],[Total cost]]&lt;&gt;0,Table8[[#This Row],[PRODUCT_MP VALUE]]&lt;&gt;0),Table8[[#This Row],[PRODUCT_MP VALUE]]*99%*Table8[[#This Row],[DROPRATE]]-Table8[[#This Row],[Total cost]],"NA")</f>
        <v>392.38999999999987</v>
      </c>
      <c r="O60" s="6" t="str">
        <f>IFERROR(IF(Table8[[#This Row],[ENERGY NEEDED]]&lt;&gt;0,Table8[[#This Row],[PROFIT]]/Table8[[#This Row],[ENERGY NEEDED]],"inf"),"NA")</f>
        <v>inf</v>
      </c>
    </row>
    <row r="61" spans="1:15" x14ac:dyDescent="0.3">
      <c r="A61" s="8" t="s">
        <v>230</v>
      </c>
      <c r="B61" s="3">
        <v>48</v>
      </c>
      <c r="C61" s="2" t="s">
        <v>185</v>
      </c>
      <c r="D61" s="12" t="s">
        <v>171</v>
      </c>
      <c r="E61" s="12">
        <v>1</v>
      </c>
      <c r="F61" s="4">
        <f>_xlfn.IFNA(VLOOKUP(Table8[[#This Row],[INGREDIENTS]],MARKET_id!B:C,2,FALSE),999999)</f>
        <v>117</v>
      </c>
      <c r="G61" s="4">
        <f>_xlfn.IFNA(VLOOKUP(D61,tv_store[],2,FALSE),999999)</f>
        <v>999999</v>
      </c>
      <c r="H61" s="4">
        <f>IF(OR(Table8[[#This Row],[INGREDIENTS MP]]&lt;100000,Table8[[#This Row],[INGREDIENTS TV_STORES]]&lt;100000),MIN(Table8[[#This Row],[INGREDIENTS MP]:[INGREDIENTS TV_STORES]]),"NA")</f>
        <v>117</v>
      </c>
      <c r="I61" s="2">
        <f>IFERROR(Table8[[#This Row],[INGREDIENTS_QUANTITY]]*Table8[[#This Row],[MIN_COST PER  QNTY]],"NA")</f>
        <v>117</v>
      </c>
      <c r="J61" s="2">
        <f>SUMIF(B:B,Table8[[#This Row],[PRODUCT ID]],I:I)</f>
        <v>2539</v>
      </c>
      <c r="K61" s="28">
        <v>1</v>
      </c>
      <c r="L61" s="2">
        <v>0</v>
      </c>
      <c r="M61" s="2">
        <f>_xlfn.IFNA(VLOOKUP(Table8[[#This Row],[PRODUCT]],MARKET_id!B:C,2,FALSE),0)</f>
        <v>2961</v>
      </c>
      <c r="N61" s="4">
        <f>IF(AND(Table8[[#This Row],[Total cost]]&lt;&gt;0,Table8[[#This Row],[PRODUCT_MP VALUE]]&lt;&gt;0),Table8[[#This Row],[PRODUCT_MP VALUE]]*99%*Table8[[#This Row],[DROPRATE]]-Table8[[#This Row],[Total cost]],"NA")</f>
        <v>392.38999999999987</v>
      </c>
      <c r="O61" s="6" t="str">
        <f>IFERROR(IF(Table8[[#This Row],[ENERGY NEEDED]]&lt;&gt;0,Table8[[#This Row],[PROFIT]]/Table8[[#This Row],[ENERGY NEEDED]],"inf"),"NA")</f>
        <v>inf</v>
      </c>
    </row>
    <row r="62" spans="1:15" x14ac:dyDescent="0.3">
      <c r="A62" s="8" t="s">
        <v>230</v>
      </c>
      <c r="B62" s="3">
        <v>48</v>
      </c>
      <c r="C62" s="2" t="s">
        <v>185</v>
      </c>
      <c r="D62" s="12" t="s">
        <v>188</v>
      </c>
      <c r="E62" s="12">
        <v>25</v>
      </c>
      <c r="F62" s="4">
        <f>_xlfn.IFNA(VLOOKUP(Table8[[#This Row],[INGREDIENTS]],MARKET_id!B:C,2,FALSE),999999)</f>
        <v>999999</v>
      </c>
      <c r="G62" s="4">
        <f>_xlfn.IFNA(VLOOKUP(D62,tv_store[],2,FALSE),999999)</f>
        <v>10</v>
      </c>
      <c r="H62" s="4">
        <f>IF(OR(Table8[[#This Row],[INGREDIENTS MP]]&lt;100000,Table8[[#This Row],[INGREDIENTS TV_STORES]]&lt;100000),MIN(Table8[[#This Row],[INGREDIENTS MP]:[INGREDIENTS TV_STORES]]),"NA")</f>
        <v>10</v>
      </c>
      <c r="I62" s="2">
        <f>IFERROR(Table8[[#This Row],[INGREDIENTS_QUANTITY]]*Table8[[#This Row],[MIN_COST PER  QNTY]],"NA")</f>
        <v>250</v>
      </c>
      <c r="J62" s="2">
        <f>SUMIF(B:B,Table8[[#This Row],[PRODUCT ID]],I:I)</f>
        <v>2539</v>
      </c>
      <c r="K62" s="28">
        <v>1</v>
      </c>
      <c r="L62" s="2">
        <v>0</v>
      </c>
      <c r="M62" s="2">
        <f>_xlfn.IFNA(VLOOKUP(Table8[[#This Row],[PRODUCT]],MARKET_id!B:C,2,FALSE),0)</f>
        <v>2961</v>
      </c>
      <c r="N62" s="4">
        <f>IF(AND(Table8[[#This Row],[Total cost]]&lt;&gt;0,Table8[[#This Row],[PRODUCT_MP VALUE]]&lt;&gt;0),Table8[[#This Row],[PRODUCT_MP VALUE]]*99%*Table8[[#This Row],[DROPRATE]]-Table8[[#This Row],[Total cost]],"NA")</f>
        <v>392.38999999999987</v>
      </c>
      <c r="O62" s="6" t="str">
        <f>IFERROR(IF(Table8[[#This Row],[ENERGY NEEDED]]&lt;&gt;0,Table8[[#This Row],[PROFIT]]/Table8[[#This Row],[ENERGY NEEDED]],"inf"),"NA")</f>
        <v>inf</v>
      </c>
    </row>
    <row r="63" spans="1:15" x14ac:dyDescent="0.3">
      <c r="A63" s="8" t="s">
        <v>230</v>
      </c>
      <c r="B63" s="3">
        <v>48</v>
      </c>
      <c r="C63" s="2" t="s">
        <v>185</v>
      </c>
      <c r="D63" s="12" t="s">
        <v>130</v>
      </c>
      <c r="E63" s="12">
        <v>6</v>
      </c>
      <c r="F63" s="4">
        <f>_xlfn.IFNA(VLOOKUP(Table8[[#This Row],[INGREDIENTS]],MARKET_id!B:C,2,FALSE),999999)</f>
        <v>14</v>
      </c>
      <c r="G63" s="4">
        <f>_xlfn.IFNA(VLOOKUP(D63,tv_store[],2,FALSE),999999)</f>
        <v>999999</v>
      </c>
      <c r="H63" s="4">
        <f>IF(OR(Table8[[#This Row],[INGREDIENTS MP]]&lt;100000,Table8[[#This Row],[INGREDIENTS TV_STORES]]&lt;100000),MIN(Table8[[#This Row],[INGREDIENTS MP]:[INGREDIENTS TV_STORES]]),"NA")</f>
        <v>14</v>
      </c>
      <c r="I63" s="2">
        <f>IFERROR(Table8[[#This Row],[INGREDIENTS_QUANTITY]]*Table8[[#This Row],[MIN_COST PER  QNTY]],"NA")</f>
        <v>84</v>
      </c>
      <c r="J63" s="2">
        <f>SUMIF(B:B,Table8[[#This Row],[PRODUCT ID]],I:I)</f>
        <v>2539</v>
      </c>
      <c r="K63" s="28">
        <v>1</v>
      </c>
      <c r="L63" s="2">
        <v>0</v>
      </c>
      <c r="M63" s="2">
        <f>_xlfn.IFNA(VLOOKUP(Table8[[#This Row],[PRODUCT]],MARKET_id!B:C,2,FALSE),0)</f>
        <v>2961</v>
      </c>
      <c r="N63" s="4">
        <f>IF(AND(Table8[[#This Row],[Total cost]]&lt;&gt;0,Table8[[#This Row],[PRODUCT_MP VALUE]]&lt;&gt;0),Table8[[#This Row],[PRODUCT_MP VALUE]]*99%*Table8[[#This Row],[DROPRATE]]-Table8[[#This Row],[Total cost]],"NA")</f>
        <v>392.38999999999987</v>
      </c>
      <c r="O63" s="6" t="str">
        <f>IFERROR(IF(Table8[[#This Row],[ENERGY NEEDED]]&lt;&gt;0,Table8[[#This Row],[PROFIT]]/Table8[[#This Row],[ENERGY NEEDED]],"inf"),"NA")</f>
        <v>inf</v>
      </c>
    </row>
    <row r="64" spans="1:15" x14ac:dyDescent="0.3">
      <c r="A64" s="8" t="s">
        <v>230</v>
      </c>
      <c r="B64" s="3">
        <v>49</v>
      </c>
      <c r="C64" s="2" t="s">
        <v>173</v>
      </c>
      <c r="D64" s="12" t="s">
        <v>128</v>
      </c>
      <c r="E64" s="12">
        <v>24</v>
      </c>
      <c r="F64" s="4">
        <f>_xlfn.IFNA(VLOOKUP(Table8[[#This Row],[INGREDIENTS]],MARKET_id!B:C,2,FALSE),999999)</f>
        <v>53</v>
      </c>
      <c r="G64" s="4">
        <f>_xlfn.IFNA(VLOOKUP(D64,tv_store[],2,FALSE),999999)</f>
        <v>999999</v>
      </c>
      <c r="H64" s="4">
        <f>IF(OR(Table8[[#This Row],[INGREDIENTS MP]]&lt;100000,Table8[[#This Row],[INGREDIENTS TV_STORES]]&lt;100000),MIN(Table8[[#This Row],[INGREDIENTS MP]:[INGREDIENTS TV_STORES]]),"NA")</f>
        <v>53</v>
      </c>
      <c r="I64" s="2">
        <f>IFERROR(Table8[[#This Row],[INGREDIENTS_QUANTITY]]*Table8[[#This Row],[MIN_COST PER  QNTY]],"NA")</f>
        <v>1272</v>
      </c>
      <c r="J64" s="2">
        <f>SUMIF(B:B,Table8[[#This Row],[PRODUCT ID]],I:I)</f>
        <v>1678</v>
      </c>
      <c r="K64" s="28">
        <v>1</v>
      </c>
      <c r="L64" s="2">
        <v>0</v>
      </c>
      <c r="M64" s="2">
        <f>_xlfn.IFNA(VLOOKUP(Table8[[#This Row],[PRODUCT]],MARKET_id!B:C,2,FALSE),0)</f>
        <v>1349</v>
      </c>
      <c r="N64" s="4">
        <f>IF(AND(Table8[[#This Row],[Total cost]]&lt;&gt;0,Table8[[#This Row],[PRODUCT_MP VALUE]]&lt;&gt;0),Table8[[#This Row],[PRODUCT_MP VALUE]]*99%*Table8[[#This Row],[DROPRATE]]-Table8[[#This Row],[Total cost]],"NA")</f>
        <v>-342.49</v>
      </c>
      <c r="O64" s="6" t="str">
        <f>IFERROR(IF(Table8[[#This Row],[ENERGY NEEDED]]&lt;&gt;0,Table8[[#This Row],[PROFIT]]/Table8[[#This Row],[ENERGY NEEDED]],"inf"),"NA")</f>
        <v>inf</v>
      </c>
    </row>
    <row r="65" spans="1:15" x14ac:dyDescent="0.3">
      <c r="A65" s="8" t="s">
        <v>230</v>
      </c>
      <c r="B65" s="3">
        <v>49</v>
      </c>
      <c r="C65" s="2" t="s">
        <v>173</v>
      </c>
      <c r="D65" s="12" t="s">
        <v>161</v>
      </c>
      <c r="E65" s="12">
        <v>3</v>
      </c>
      <c r="F65" s="4">
        <f>_xlfn.IFNA(VLOOKUP(Table8[[#This Row],[INGREDIENTS]],MARKET_id!B:C,2,FALSE),999999)</f>
        <v>102</v>
      </c>
      <c r="G65" s="4">
        <f>_xlfn.IFNA(VLOOKUP(D65,tv_store[],2,FALSE),999999)</f>
        <v>999999</v>
      </c>
      <c r="H65" s="4">
        <f>IF(OR(Table8[[#This Row],[INGREDIENTS MP]]&lt;100000,Table8[[#This Row],[INGREDIENTS TV_STORES]]&lt;100000),MIN(Table8[[#This Row],[INGREDIENTS MP]:[INGREDIENTS TV_STORES]]),"NA")</f>
        <v>102</v>
      </c>
      <c r="I65" s="2">
        <f>IFERROR(Table8[[#This Row],[INGREDIENTS_QUANTITY]]*Table8[[#This Row],[MIN_COST PER  QNTY]],"NA")</f>
        <v>306</v>
      </c>
      <c r="J65" s="2">
        <f>SUMIF(B:B,Table8[[#This Row],[PRODUCT ID]],I:I)</f>
        <v>1678</v>
      </c>
      <c r="K65" s="28">
        <v>1</v>
      </c>
      <c r="L65" s="2">
        <v>0</v>
      </c>
      <c r="M65" s="2">
        <f>_xlfn.IFNA(VLOOKUP(Table8[[#This Row],[PRODUCT]],MARKET_id!B:C,2,FALSE),0)</f>
        <v>1349</v>
      </c>
      <c r="N65" s="4">
        <f>IF(AND(Table8[[#This Row],[Total cost]]&lt;&gt;0,Table8[[#This Row],[PRODUCT_MP VALUE]]&lt;&gt;0),Table8[[#This Row],[PRODUCT_MP VALUE]]*99%*Table8[[#This Row],[DROPRATE]]-Table8[[#This Row],[Total cost]],"NA")</f>
        <v>-342.49</v>
      </c>
      <c r="O65" s="6" t="str">
        <f>IFERROR(IF(Table8[[#This Row],[ENERGY NEEDED]]&lt;&gt;0,Table8[[#This Row],[PROFIT]]/Table8[[#This Row],[ENERGY NEEDED]],"inf"),"NA")</f>
        <v>inf</v>
      </c>
    </row>
    <row r="66" spans="1:15" x14ac:dyDescent="0.3">
      <c r="A66" s="8" t="s">
        <v>230</v>
      </c>
      <c r="B66" s="3">
        <v>49</v>
      </c>
      <c r="C66" s="2" t="s">
        <v>173</v>
      </c>
      <c r="D66" s="12" t="s">
        <v>188</v>
      </c>
      <c r="E66" s="12">
        <v>10</v>
      </c>
      <c r="F66" s="4">
        <f>_xlfn.IFNA(VLOOKUP(Table8[[#This Row],[INGREDIENTS]],MARKET_id!B:C,2,FALSE),999999)</f>
        <v>999999</v>
      </c>
      <c r="G66" s="4">
        <f>_xlfn.IFNA(VLOOKUP(D66,tv_store[],2,FALSE),999999)</f>
        <v>10</v>
      </c>
      <c r="H66" s="4">
        <f>IF(OR(Table8[[#This Row],[INGREDIENTS MP]]&lt;100000,Table8[[#This Row],[INGREDIENTS TV_STORES]]&lt;100000),MIN(Table8[[#This Row],[INGREDIENTS MP]:[INGREDIENTS TV_STORES]]),"NA")</f>
        <v>10</v>
      </c>
      <c r="I66" s="2">
        <f>IFERROR(Table8[[#This Row],[INGREDIENTS_QUANTITY]]*Table8[[#This Row],[MIN_COST PER  QNTY]],"NA")</f>
        <v>100</v>
      </c>
      <c r="J66" s="2">
        <f>SUMIF(B:B,Table8[[#This Row],[PRODUCT ID]],I:I)</f>
        <v>1678</v>
      </c>
      <c r="K66" s="28">
        <v>1</v>
      </c>
      <c r="L66" s="2">
        <v>0</v>
      </c>
      <c r="M66" s="2">
        <f>_xlfn.IFNA(VLOOKUP(Table8[[#This Row],[PRODUCT]],MARKET_id!B:C,2,FALSE),0)</f>
        <v>1349</v>
      </c>
      <c r="N66" s="4">
        <f>IF(AND(Table8[[#This Row],[Total cost]]&lt;&gt;0,Table8[[#This Row],[PRODUCT_MP VALUE]]&lt;&gt;0),Table8[[#This Row],[PRODUCT_MP VALUE]]*99%*Table8[[#This Row],[DROPRATE]]-Table8[[#This Row],[Total cost]],"NA")</f>
        <v>-342.49</v>
      </c>
      <c r="O66" s="6" t="str">
        <f>IFERROR(IF(Table8[[#This Row],[ENERGY NEEDED]]&lt;&gt;0,Table8[[#This Row],[PROFIT]]/Table8[[#This Row],[ENERGY NEEDED]],"inf"),"NA")</f>
        <v>inf</v>
      </c>
    </row>
    <row r="67" spans="1:15" x14ac:dyDescent="0.3">
      <c r="A67" s="8" t="s">
        <v>230</v>
      </c>
      <c r="B67" s="3">
        <v>50</v>
      </c>
      <c r="C67" s="2" t="s">
        <v>160</v>
      </c>
      <c r="D67" s="12" t="s">
        <v>156</v>
      </c>
      <c r="E67" s="12">
        <v>24</v>
      </c>
      <c r="F67" s="4">
        <f>_xlfn.IFNA(VLOOKUP(Table8[[#This Row],[INGREDIENTS]],MARKET_id!B:C,2,FALSE),999999)</f>
        <v>79</v>
      </c>
      <c r="G67" s="4">
        <f>_xlfn.IFNA(VLOOKUP(D67,tv_store[],2,FALSE),999999)</f>
        <v>999999</v>
      </c>
      <c r="H67" s="4">
        <f>IF(OR(Table8[[#This Row],[INGREDIENTS MP]]&lt;100000,Table8[[#This Row],[INGREDIENTS TV_STORES]]&lt;100000),MIN(Table8[[#This Row],[INGREDIENTS MP]:[INGREDIENTS TV_STORES]]),"NA")</f>
        <v>79</v>
      </c>
      <c r="I67" s="2">
        <f>IFERROR(Table8[[#This Row],[INGREDIENTS_QUANTITY]]*Table8[[#This Row],[MIN_COST PER  QNTY]],"NA")</f>
        <v>1896</v>
      </c>
      <c r="J67" s="2">
        <f>SUMIF(B:B,Table8[[#This Row],[PRODUCT ID]],I:I)</f>
        <v>2038</v>
      </c>
      <c r="K67" s="28">
        <v>1</v>
      </c>
      <c r="L67" s="2">
        <v>0</v>
      </c>
      <c r="M67" s="2">
        <f>_xlfn.IFNA(VLOOKUP(Table8[[#This Row],[PRODUCT]],MARKET_id!B:C,2,FALSE),0)</f>
        <v>2400</v>
      </c>
      <c r="N67" s="4">
        <f>IF(AND(Table8[[#This Row],[Total cost]]&lt;&gt;0,Table8[[#This Row],[PRODUCT_MP VALUE]]&lt;&gt;0),Table8[[#This Row],[PRODUCT_MP VALUE]]*99%*Table8[[#This Row],[DROPRATE]]-Table8[[#This Row],[Total cost]],"NA")</f>
        <v>338</v>
      </c>
      <c r="O67" s="6" t="str">
        <f>IFERROR(IF(Table8[[#This Row],[ENERGY NEEDED]]&lt;&gt;0,Table8[[#This Row],[PROFIT]]/Table8[[#This Row],[ENERGY NEEDED]],"inf"),"NA")</f>
        <v>inf</v>
      </c>
    </row>
    <row r="68" spans="1:15" x14ac:dyDescent="0.3">
      <c r="A68" s="8" t="s">
        <v>230</v>
      </c>
      <c r="B68" s="3">
        <v>50</v>
      </c>
      <c r="C68" s="2" t="s">
        <v>160</v>
      </c>
      <c r="D68" s="12" t="s">
        <v>188</v>
      </c>
      <c r="E68" s="12">
        <v>10</v>
      </c>
      <c r="F68" s="4">
        <f>_xlfn.IFNA(VLOOKUP(Table8[[#This Row],[INGREDIENTS]],MARKET_id!B:C,2,FALSE),999999)</f>
        <v>999999</v>
      </c>
      <c r="G68" s="4">
        <f>_xlfn.IFNA(VLOOKUP(D68,tv_store[],2,FALSE),999999)</f>
        <v>10</v>
      </c>
      <c r="H68" s="4">
        <f>IF(OR(Table8[[#This Row],[INGREDIENTS MP]]&lt;100000,Table8[[#This Row],[INGREDIENTS TV_STORES]]&lt;100000),MIN(Table8[[#This Row],[INGREDIENTS MP]:[INGREDIENTS TV_STORES]]),"NA")</f>
        <v>10</v>
      </c>
      <c r="I68" s="2">
        <f>IFERROR(Table8[[#This Row],[INGREDIENTS_QUANTITY]]*Table8[[#This Row],[MIN_COST PER  QNTY]],"NA")</f>
        <v>100</v>
      </c>
      <c r="J68" s="2">
        <f>SUMIF(B:B,Table8[[#This Row],[PRODUCT ID]],I:I)</f>
        <v>2038</v>
      </c>
      <c r="K68" s="28">
        <v>1</v>
      </c>
      <c r="L68" s="2">
        <v>0</v>
      </c>
      <c r="M68" s="2">
        <f>_xlfn.IFNA(VLOOKUP(Table8[[#This Row],[PRODUCT]],MARKET_id!B:C,2,FALSE),0)</f>
        <v>2400</v>
      </c>
      <c r="N68" s="4">
        <f>IF(AND(Table8[[#This Row],[Total cost]]&lt;&gt;0,Table8[[#This Row],[PRODUCT_MP VALUE]]&lt;&gt;0),Table8[[#This Row],[PRODUCT_MP VALUE]]*99%*Table8[[#This Row],[DROPRATE]]-Table8[[#This Row],[Total cost]],"NA")</f>
        <v>338</v>
      </c>
      <c r="O68" s="6" t="str">
        <f>IFERROR(IF(Table8[[#This Row],[ENERGY NEEDED]]&lt;&gt;0,Table8[[#This Row],[PROFIT]]/Table8[[#This Row],[ENERGY NEEDED]],"inf"),"NA")</f>
        <v>inf</v>
      </c>
    </row>
    <row r="69" spans="1:15" x14ac:dyDescent="0.3">
      <c r="A69" s="8" t="s">
        <v>230</v>
      </c>
      <c r="B69" s="3">
        <v>50</v>
      </c>
      <c r="C69" s="2" t="s">
        <v>160</v>
      </c>
      <c r="D69" s="12" t="s">
        <v>130</v>
      </c>
      <c r="E69" s="12">
        <v>3</v>
      </c>
      <c r="F69" s="4">
        <f>_xlfn.IFNA(VLOOKUP(Table8[[#This Row],[INGREDIENTS]],MARKET_id!B:C,2,FALSE),999999)</f>
        <v>14</v>
      </c>
      <c r="G69" s="4">
        <f>_xlfn.IFNA(VLOOKUP(D69,tv_store[],2,FALSE),999999)</f>
        <v>999999</v>
      </c>
      <c r="H69" s="4">
        <f>IF(OR(Table8[[#This Row],[INGREDIENTS MP]]&lt;100000,Table8[[#This Row],[INGREDIENTS TV_STORES]]&lt;100000),MIN(Table8[[#This Row],[INGREDIENTS MP]:[INGREDIENTS TV_STORES]]),"NA")</f>
        <v>14</v>
      </c>
      <c r="I69" s="2">
        <f>IFERROR(Table8[[#This Row],[INGREDIENTS_QUANTITY]]*Table8[[#This Row],[MIN_COST PER  QNTY]],"NA")</f>
        <v>42</v>
      </c>
      <c r="J69" s="2">
        <f>SUMIF(B:B,Table8[[#This Row],[PRODUCT ID]],I:I)</f>
        <v>2038</v>
      </c>
      <c r="K69" s="28">
        <v>1</v>
      </c>
      <c r="L69" s="2">
        <v>0</v>
      </c>
      <c r="M69" s="2">
        <f>_xlfn.IFNA(VLOOKUP(Table8[[#This Row],[PRODUCT]],MARKET_id!B:C,2,FALSE),0)</f>
        <v>2400</v>
      </c>
      <c r="N69" s="4">
        <f>IF(AND(Table8[[#This Row],[Total cost]]&lt;&gt;0,Table8[[#This Row],[PRODUCT_MP VALUE]]&lt;&gt;0),Table8[[#This Row],[PRODUCT_MP VALUE]]*99%*Table8[[#This Row],[DROPRATE]]-Table8[[#This Row],[Total cost]],"NA")</f>
        <v>338</v>
      </c>
      <c r="O69" s="6" t="str">
        <f>IFERROR(IF(Table8[[#This Row],[ENERGY NEEDED]]&lt;&gt;0,Table8[[#This Row],[PROFIT]]/Table8[[#This Row],[ENERGY NEEDED]],"inf"),"NA")</f>
        <v>inf</v>
      </c>
    </row>
    <row r="70" spans="1:15" x14ac:dyDescent="0.3">
      <c r="A70" s="8" t="s">
        <v>230</v>
      </c>
      <c r="B70" s="3">
        <v>51</v>
      </c>
      <c r="C70" s="2" t="s">
        <v>168</v>
      </c>
      <c r="D70" s="12" t="s">
        <v>177</v>
      </c>
      <c r="E70" s="12">
        <v>24</v>
      </c>
      <c r="F70" s="4">
        <f>_xlfn.IFNA(VLOOKUP(Table8[[#This Row],[INGREDIENTS]],MARKET_id!B:C,2,FALSE),999999)</f>
        <v>120</v>
      </c>
      <c r="G70" s="4">
        <f>_xlfn.IFNA(VLOOKUP(D70,tv_store[],2,FALSE),999999)</f>
        <v>999999</v>
      </c>
      <c r="H70" s="4">
        <f>IF(OR(Table8[[#This Row],[INGREDIENTS MP]]&lt;100000,Table8[[#This Row],[INGREDIENTS TV_STORES]]&lt;100000),MIN(Table8[[#This Row],[INGREDIENTS MP]:[INGREDIENTS TV_STORES]]),"NA")</f>
        <v>120</v>
      </c>
      <c r="I70" s="2">
        <f>IFERROR(Table8[[#This Row],[INGREDIENTS_QUANTITY]]*Table8[[#This Row],[MIN_COST PER  QNTY]],"NA")</f>
        <v>2880</v>
      </c>
      <c r="J70" s="2">
        <f>SUMIF(B:B,Table8[[#This Row],[PRODUCT ID]],I:I)</f>
        <v>3022</v>
      </c>
      <c r="K70" s="28">
        <v>1</v>
      </c>
      <c r="L70" s="2">
        <v>0</v>
      </c>
      <c r="M70" s="2">
        <f>_xlfn.IFNA(VLOOKUP(Table8[[#This Row],[PRODUCT]],MARKET_id!B:C,2,FALSE),0)</f>
        <v>3271</v>
      </c>
      <c r="N70" s="4">
        <f>IF(AND(Table8[[#This Row],[Total cost]]&lt;&gt;0,Table8[[#This Row],[PRODUCT_MP VALUE]]&lt;&gt;0),Table8[[#This Row],[PRODUCT_MP VALUE]]*99%*Table8[[#This Row],[DROPRATE]]-Table8[[#This Row],[Total cost]],"NA")</f>
        <v>216.28999999999996</v>
      </c>
      <c r="O70" s="6" t="str">
        <f>IFERROR(IF(Table8[[#This Row],[ENERGY NEEDED]]&lt;&gt;0,Table8[[#This Row],[PROFIT]]/Table8[[#This Row],[ENERGY NEEDED]],"inf"),"NA")</f>
        <v>inf</v>
      </c>
    </row>
    <row r="71" spans="1:15" x14ac:dyDescent="0.3">
      <c r="A71" s="8" t="s">
        <v>230</v>
      </c>
      <c r="B71" s="3">
        <v>51</v>
      </c>
      <c r="C71" s="2" t="s">
        <v>168</v>
      </c>
      <c r="D71" s="12" t="s">
        <v>188</v>
      </c>
      <c r="E71" s="12">
        <v>10</v>
      </c>
      <c r="F71" s="4">
        <f>_xlfn.IFNA(VLOOKUP(Table8[[#This Row],[INGREDIENTS]],MARKET_id!B:C,2,FALSE),999999)</f>
        <v>999999</v>
      </c>
      <c r="G71" s="4">
        <f>_xlfn.IFNA(VLOOKUP(D71,tv_store[],2,FALSE),999999)</f>
        <v>10</v>
      </c>
      <c r="H71" s="4">
        <f>IF(OR(Table8[[#This Row],[INGREDIENTS MP]]&lt;100000,Table8[[#This Row],[INGREDIENTS TV_STORES]]&lt;100000),MIN(Table8[[#This Row],[INGREDIENTS MP]:[INGREDIENTS TV_STORES]]),"NA")</f>
        <v>10</v>
      </c>
      <c r="I71" s="2">
        <f>IFERROR(Table8[[#This Row],[INGREDIENTS_QUANTITY]]*Table8[[#This Row],[MIN_COST PER  QNTY]],"NA")</f>
        <v>100</v>
      </c>
      <c r="J71" s="2">
        <f>SUMIF(B:B,Table8[[#This Row],[PRODUCT ID]],I:I)</f>
        <v>3022</v>
      </c>
      <c r="K71" s="28">
        <v>1</v>
      </c>
      <c r="L71" s="2">
        <v>0</v>
      </c>
      <c r="M71" s="2">
        <f>_xlfn.IFNA(VLOOKUP(Table8[[#This Row],[PRODUCT]],MARKET_id!B:C,2,FALSE),0)</f>
        <v>3271</v>
      </c>
      <c r="N71" s="4">
        <f>IF(AND(Table8[[#This Row],[Total cost]]&lt;&gt;0,Table8[[#This Row],[PRODUCT_MP VALUE]]&lt;&gt;0),Table8[[#This Row],[PRODUCT_MP VALUE]]*99%*Table8[[#This Row],[DROPRATE]]-Table8[[#This Row],[Total cost]],"NA")</f>
        <v>216.28999999999996</v>
      </c>
      <c r="O71" s="6" t="str">
        <f>IFERROR(IF(Table8[[#This Row],[ENERGY NEEDED]]&lt;&gt;0,Table8[[#This Row],[PROFIT]]/Table8[[#This Row],[ENERGY NEEDED]],"inf"),"NA")</f>
        <v>inf</v>
      </c>
    </row>
    <row r="72" spans="1:15" x14ac:dyDescent="0.3">
      <c r="A72" s="8" t="s">
        <v>230</v>
      </c>
      <c r="B72" s="3">
        <v>51</v>
      </c>
      <c r="C72" s="2" t="s">
        <v>168</v>
      </c>
      <c r="D72" s="12" t="s">
        <v>130</v>
      </c>
      <c r="E72" s="12">
        <v>3</v>
      </c>
      <c r="F72" s="4">
        <f>_xlfn.IFNA(VLOOKUP(Table8[[#This Row],[INGREDIENTS]],MARKET_id!B:C,2,FALSE),999999)</f>
        <v>14</v>
      </c>
      <c r="G72" s="4">
        <f>_xlfn.IFNA(VLOOKUP(D72,tv_store[],2,FALSE),999999)</f>
        <v>999999</v>
      </c>
      <c r="H72" s="4">
        <f>IF(OR(Table8[[#This Row],[INGREDIENTS MP]]&lt;100000,Table8[[#This Row],[INGREDIENTS TV_STORES]]&lt;100000),MIN(Table8[[#This Row],[INGREDIENTS MP]:[INGREDIENTS TV_STORES]]),"NA")</f>
        <v>14</v>
      </c>
      <c r="I72" s="2">
        <f>IFERROR(Table8[[#This Row],[INGREDIENTS_QUANTITY]]*Table8[[#This Row],[MIN_COST PER  QNTY]],"NA")</f>
        <v>42</v>
      </c>
      <c r="J72" s="2">
        <f>SUMIF(B:B,Table8[[#This Row],[PRODUCT ID]],I:I)</f>
        <v>3022</v>
      </c>
      <c r="K72" s="28">
        <v>1</v>
      </c>
      <c r="L72" s="2">
        <v>0</v>
      </c>
      <c r="M72" s="2">
        <f>_xlfn.IFNA(VLOOKUP(Table8[[#This Row],[PRODUCT]],MARKET_id!B:C,2,FALSE),0)</f>
        <v>3271</v>
      </c>
      <c r="N72" s="4">
        <f>IF(AND(Table8[[#This Row],[Total cost]]&lt;&gt;0,Table8[[#This Row],[PRODUCT_MP VALUE]]&lt;&gt;0),Table8[[#This Row],[PRODUCT_MP VALUE]]*99%*Table8[[#This Row],[DROPRATE]]-Table8[[#This Row],[Total cost]],"NA")</f>
        <v>216.28999999999996</v>
      </c>
      <c r="O72" s="6" t="str">
        <f>IFERROR(IF(Table8[[#This Row],[ENERGY NEEDED]]&lt;&gt;0,Table8[[#This Row],[PROFIT]]/Table8[[#This Row],[ENERGY NEEDED]],"inf"),"NA")</f>
        <v>inf</v>
      </c>
    </row>
    <row r="73" spans="1:15" x14ac:dyDescent="0.3">
      <c r="A73" s="8" t="s">
        <v>230</v>
      </c>
      <c r="B73" s="3">
        <v>52</v>
      </c>
      <c r="C73" s="2" t="s">
        <v>136</v>
      </c>
      <c r="D73" s="12" t="s">
        <v>135</v>
      </c>
      <c r="E73" s="12">
        <v>24</v>
      </c>
      <c r="F73" s="4">
        <f>_xlfn.IFNA(VLOOKUP(Table8[[#This Row],[INGREDIENTS]],MARKET_id!B:C,2,FALSE),999999)</f>
        <v>138</v>
      </c>
      <c r="G73" s="4">
        <f>_xlfn.IFNA(VLOOKUP(D73,tv_store[],2,FALSE),999999)</f>
        <v>999999</v>
      </c>
      <c r="H73" s="4">
        <f>IF(OR(Table8[[#This Row],[INGREDIENTS MP]]&lt;100000,Table8[[#This Row],[INGREDIENTS TV_STORES]]&lt;100000),MIN(Table8[[#This Row],[INGREDIENTS MP]:[INGREDIENTS TV_STORES]]),"NA")</f>
        <v>138</v>
      </c>
      <c r="I73" s="2">
        <f>IFERROR(Table8[[#This Row],[INGREDIENTS_QUANTITY]]*Table8[[#This Row],[MIN_COST PER  QNTY]],"NA")</f>
        <v>3312</v>
      </c>
      <c r="J73" s="2">
        <f>SUMIF(B:B,Table8[[#This Row],[PRODUCT ID]],I:I)</f>
        <v>3454</v>
      </c>
      <c r="K73" s="28">
        <v>1</v>
      </c>
      <c r="L73" s="2">
        <v>0</v>
      </c>
      <c r="M73" s="2">
        <f>_xlfn.IFNA(VLOOKUP(Table8[[#This Row],[PRODUCT]],MARKET_id!B:C,2,FALSE),0)</f>
        <v>3599</v>
      </c>
      <c r="N73" s="4">
        <f>IF(AND(Table8[[#This Row],[Total cost]]&lt;&gt;0,Table8[[#This Row],[PRODUCT_MP VALUE]]&lt;&gt;0),Table8[[#This Row],[PRODUCT_MP VALUE]]*99%*Table8[[#This Row],[DROPRATE]]-Table8[[#This Row],[Total cost]],"NA")</f>
        <v>109.00999999999976</v>
      </c>
      <c r="O73" s="6" t="str">
        <f>IFERROR(IF(Table8[[#This Row],[ENERGY NEEDED]]&lt;&gt;0,Table8[[#This Row],[PROFIT]]/Table8[[#This Row],[ENERGY NEEDED]],"inf"),"NA")</f>
        <v>inf</v>
      </c>
    </row>
    <row r="74" spans="1:15" x14ac:dyDescent="0.3">
      <c r="A74" s="8" t="s">
        <v>230</v>
      </c>
      <c r="B74" s="3">
        <v>52</v>
      </c>
      <c r="C74" s="2" t="s">
        <v>136</v>
      </c>
      <c r="D74" s="12" t="s">
        <v>188</v>
      </c>
      <c r="E74" s="12">
        <v>10</v>
      </c>
      <c r="F74" s="4">
        <f>_xlfn.IFNA(VLOOKUP(Table8[[#This Row],[INGREDIENTS]],MARKET_id!B:C,2,FALSE),999999)</f>
        <v>999999</v>
      </c>
      <c r="G74" s="4">
        <f>_xlfn.IFNA(VLOOKUP(D74,tv_store[],2,FALSE),999999)</f>
        <v>10</v>
      </c>
      <c r="H74" s="4">
        <f>IF(OR(Table8[[#This Row],[INGREDIENTS MP]]&lt;100000,Table8[[#This Row],[INGREDIENTS TV_STORES]]&lt;100000),MIN(Table8[[#This Row],[INGREDIENTS MP]:[INGREDIENTS TV_STORES]]),"NA")</f>
        <v>10</v>
      </c>
      <c r="I74" s="2">
        <f>IFERROR(Table8[[#This Row],[INGREDIENTS_QUANTITY]]*Table8[[#This Row],[MIN_COST PER  QNTY]],"NA")</f>
        <v>100</v>
      </c>
      <c r="J74" s="2">
        <f>SUMIF(B:B,Table8[[#This Row],[PRODUCT ID]],I:I)</f>
        <v>3454</v>
      </c>
      <c r="K74" s="28">
        <v>1</v>
      </c>
      <c r="L74" s="2">
        <v>0</v>
      </c>
      <c r="M74" s="2">
        <f>_xlfn.IFNA(VLOOKUP(Table8[[#This Row],[PRODUCT]],MARKET_id!B:C,2,FALSE),0)</f>
        <v>3599</v>
      </c>
      <c r="N74" s="4">
        <f>IF(AND(Table8[[#This Row],[Total cost]]&lt;&gt;0,Table8[[#This Row],[PRODUCT_MP VALUE]]&lt;&gt;0),Table8[[#This Row],[PRODUCT_MP VALUE]]*99%*Table8[[#This Row],[DROPRATE]]-Table8[[#This Row],[Total cost]],"NA")</f>
        <v>109.00999999999976</v>
      </c>
      <c r="O74" s="6" t="str">
        <f>IFERROR(IF(Table8[[#This Row],[ENERGY NEEDED]]&lt;&gt;0,Table8[[#This Row],[PROFIT]]/Table8[[#This Row],[ENERGY NEEDED]],"inf"),"NA")</f>
        <v>inf</v>
      </c>
    </row>
    <row r="75" spans="1:15" x14ac:dyDescent="0.3">
      <c r="A75" s="8" t="s">
        <v>230</v>
      </c>
      <c r="B75" s="3">
        <v>52</v>
      </c>
      <c r="C75" s="2" t="s">
        <v>136</v>
      </c>
      <c r="D75" s="12" t="s">
        <v>130</v>
      </c>
      <c r="E75" s="12">
        <v>3</v>
      </c>
      <c r="F75" s="4">
        <f>_xlfn.IFNA(VLOOKUP(Table8[[#This Row],[INGREDIENTS]],MARKET_id!B:C,2,FALSE),999999)</f>
        <v>14</v>
      </c>
      <c r="G75" s="4">
        <f>_xlfn.IFNA(VLOOKUP(D75,tv_store[],2,FALSE),999999)</f>
        <v>999999</v>
      </c>
      <c r="H75" s="4">
        <f>IF(OR(Table8[[#This Row],[INGREDIENTS MP]]&lt;100000,Table8[[#This Row],[INGREDIENTS TV_STORES]]&lt;100000),MIN(Table8[[#This Row],[INGREDIENTS MP]:[INGREDIENTS TV_STORES]]),"NA")</f>
        <v>14</v>
      </c>
      <c r="I75" s="2">
        <f>IFERROR(Table8[[#This Row],[INGREDIENTS_QUANTITY]]*Table8[[#This Row],[MIN_COST PER  QNTY]],"NA")</f>
        <v>42</v>
      </c>
      <c r="J75" s="2">
        <f>SUMIF(B:B,Table8[[#This Row],[PRODUCT ID]],I:I)</f>
        <v>3454</v>
      </c>
      <c r="K75" s="28">
        <v>1</v>
      </c>
      <c r="L75" s="2">
        <v>0</v>
      </c>
      <c r="M75" s="2">
        <f>_xlfn.IFNA(VLOOKUP(Table8[[#This Row],[PRODUCT]],MARKET_id!B:C,2,FALSE),0)</f>
        <v>3599</v>
      </c>
      <c r="N75" s="4">
        <f>IF(AND(Table8[[#This Row],[Total cost]]&lt;&gt;0,Table8[[#This Row],[PRODUCT_MP VALUE]]&lt;&gt;0),Table8[[#This Row],[PRODUCT_MP VALUE]]*99%*Table8[[#This Row],[DROPRATE]]-Table8[[#This Row],[Total cost]],"NA")</f>
        <v>109.00999999999976</v>
      </c>
      <c r="O75" s="6" t="str">
        <f>IFERROR(IF(Table8[[#This Row],[ENERGY NEEDED]]&lt;&gt;0,Table8[[#This Row],[PROFIT]]/Table8[[#This Row],[ENERGY NEEDED]],"inf"),"NA")</f>
        <v>inf</v>
      </c>
    </row>
    <row r="76" spans="1:15" x14ac:dyDescent="0.3">
      <c r="A76" s="8" t="s">
        <v>230</v>
      </c>
      <c r="B76" s="3">
        <v>53</v>
      </c>
      <c r="C76" s="2" t="s">
        <v>157</v>
      </c>
      <c r="D76" s="12" t="s">
        <v>10</v>
      </c>
      <c r="E76" s="12">
        <v>24</v>
      </c>
      <c r="F76" s="4">
        <f>_xlfn.IFNA(VLOOKUP(Table8[[#This Row],[INGREDIENTS]],MARKET_id!B:C,2,FALSE),999999)</f>
        <v>46</v>
      </c>
      <c r="G76" s="4">
        <f>_xlfn.IFNA(VLOOKUP(D76,tv_store[],2,FALSE),999999)</f>
        <v>999999</v>
      </c>
      <c r="H76" s="4">
        <f>IF(OR(Table8[[#This Row],[INGREDIENTS MP]]&lt;100000,Table8[[#This Row],[INGREDIENTS TV_STORES]]&lt;100000),MIN(Table8[[#This Row],[INGREDIENTS MP]:[INGREDIENTS TV_STORES]]),"NA")</f>
        <v>46</v>
      </c>
      <c r="I76" s="2">
        <f>IFERROR(Table8[[#This Row],[INGREDIENTS_QUANTITY]]*Table8[[#This Row],[MIN_COST PER  QNTY]],"NA")</f>
        <v>1104</v>
      </c>
      <c r="J76" s="2">
        <f>SUMIF(B:B,Table8[[#This Row],[PRODUCT ID]],I:I)</f>
        <v>7204</v>
      </c>
      <c r="K76" s="28">
        <v>1</v>
      </c>
      <c r="L76" s="2">
        <v>0</v>
      </c>
      <c r="M76" s="2">
        <f>_xlfn.IFNA(VLOOKUP(Table8[[#This Row],[PRODUCT]],MARKET_id!B:C,2,FALSE),0)</f>
        <v>6200</v>
      </c>
      <c r="N76" s="4">
        <f>IF(AND(Table8[[#This Row],[Total cost]]&lt;&gt;0,Table8[[#This Row],[PRODUCT_MP VALUE]]&lt;&gt;0),Table8[[#This Row],[PRODUCT_MP VALUE]]*99%*Table8[[#This Row],[DROPRATE]]-Table8[[#This Row],[Total cost]],"NA")</f>
        <v>-1066</v>
      </c>
      <c r="O76" s="6" t="str">
        <f>IFERROR(IF(Table8[[#This Row],[ENERGY NEEDED]]&lt;&gt;0,Table8[[#This Row],[PROFIT]]/Table8[[#This Row],[ENERGY NEEDED]],"inf"),"NA")</f>
        <v>inf</v>
      </c>
    </row>
    <row r="77" spans="1:15" x14ac:dyDescent="0.3">
      <c r="A77" s="8" t="s">
        <v>230</v>
      </c>
      <c r="B77" s="3">
        <v>53</v>
      </c>
      <c r="C77" s="2" t="s">
        <v>157</v>
      </c>
      <c r="D77" s="12" t="s">
        <v>188</v>
      </c>
      <c r="E77" s="12">
        <v>10</v>
      </c>
      <c r="F77" s="4">
        <f>_xlfn.IFNA(VLOOKUP(Table8[[#This Row],[INGREDIENTS]],MARKET_id!B:C,2,FALSE),999999)</f>
        <v>999999</v>
      </c>
      <c r="G77" s="4">
        <f>_xlfn.IFNA(VLOOKUP(D77,tv_store[],2,FALSE),999999)</f>
        <v>10</v>
      </c>
      <c r="H77" s="4">
        <f>IF(OR(Table8[[#This Row],[INGREDIENTS MP]]&lt;100000,Table8[[#This Row],[INGREDIENTS TV_STORES]]&lt;100000),MIN(Table8[[#This Row],[INGREDIENTS MP]:[INGREDIENTS TV_STORES]]),"NA")</f>
        <v>10</v>
      </c>
      <c r="I77" s="2">
        <f>IFERROR(Table8[[#This Row],[INGREDIENTS_QUANTITY]]*Table8[[#This Row],[MIN_COST PER  QNTY]],"NA")</f>
        <v>100</v>
      </c>
      <c r="J77" s="2">
        <f>SUMIF(B:B,Table8[[#This Row],[PRODUCT ID]],I:I)</f>
        <v>7204</v>
      </c>
      <c r="K77" s="28">
        <v>1</v>
      </c>
      <c r="L77" s="2">
        <v>0</v>
      </c>
      <c r="M77" s="2">
        <f>_xlfn.IFNA(VLOOKUP(Table8[[#This Row],[PRODUCT]],MARKET_id!B:C,2,FALSE),0)</f>
        <v>6200</v>
      </c>
      <c r="N77" s="4">
        <f>IF(AND(Table8[[#This Row],[Total cost]]&lt;&gt;0,Table8[[#This Row],[PRODUCT_MP VALUE]]&lt;&gt;0),Table8[[#This Row],[PRODUCT_MP VALUE]]*99%*Table8[[#This Row],[DROPRATE]]-Table8[[#This Row],[Total cost]],"NA")</f>
        <v>-1066</v>
      </c>
      <c r="O77" s="6" t="str">
        <f>IFERROR(IF(Table8[[#This Row],[ENERGY NEEDED]]&lt;&gt;0,Table8[[#This Row],[PROFIT]]/Table8[[#This Row],[ENERGY NEEDED]],"inf"),"NA")</f>
        <v>inf</v>
      </c>
    </row>
    <row r="78" spans="1:15" x14ac:dyDescent="0.3">
      <c r="A78" s="9" t="s">
        <v>230</v>
      </c>
      <c r="B78" s="26">
        <v>53</v>
      </c>
      <c r="C78" s="10" t="s">
        <v>157</v>
      </c>
      <c r="D78" s="27" t="s">
        <v>169</v>
      </c>
      <c r="E78" s="27">
        <v>6</v>
      </c>
      <c r="F78" s="30">
        <f>_xlfn.IFNA(VLOOKUP(Table8[[#This Row],[INGREDIENTS]],MARKET_id!B:C,2,FALSE),999999)</f>
        <v>1000</v>
      </c>
      <c r="G78" s="30">
        <f>_xlfn.IFNA(VLOOKUP(D78,tv_store[],2,FALSE),999999)</f>
        <v>999999</v>
      </c>
      <c r="H78" s="30">
        <f>IF(OR(Table8[[#This Row],[INGREDIENTS MP]]&lt;100000,Table8[[#This Row],[INGREDIENTS TV_STORES]]&lt;100000),MIN(Table8[[#This Row],[INGREDIENTS MP]:[INGREDIENTS TV_STORES]]),"NA")</f>
        <v>1000</v>
      </c>
      <c r="I78" s="10">
        <f>IFERROR(Table8[[#This Row],[INGREDIENTS_QUANTITY]]*Table8[[#This Row],[MIN_COST PER  QNTY]],"NA")</f>
        <v>6000</v>
      </c>
      <c r="J78" s="10">
        <f>SUMIF(B:B,Table8[[#This Row],[PRODUCT ID]],I:I)</f>
        <v>7204</v>
      </c>
      <c r="K78" s="28">
        <v>1</v>
      </c>
      <c r="L78" s="2">
        <v>0</v>
      </c>
      <c r="M78" s="10">
        <f>_xlfn.IFNA(VLOOKUP(Table8[[#This Row],[PRODUCT]],MARKET_id!B:C,2,FALSE),0)</f>
        <v>6200</v>
      </c>
      <c r="N78" s="30">
        <f>IF(AND(Table8[[#This Row],[Total cost]]&lt;&gt;0,Table8[[#This Row],[PRODUCT_MP VALUE]]&lt;&gt;0),Table8[[#This Row],[PRODUCT_MP VALUE]]*99%*Table8[[#This Row],[DROPRATE]]-Table8[[#This Row],[Total cost]],"NA")</f>
        <v>-1066</v>
      </c>
      <c r="O78" s="31" t="str">
        <f>IFERROR(IF(Table8[[#This Row],[ENERGY NEEDED]]&lt;&gt;0,Table8[[#This Row],[PROFIT]]/Table8[[#This Row],[ENERGY NEEDED]],"inf"),"NA")</f>
        <v>inf</v>
      </c>
    </row>
    <row r="79" spans="1:15" x14ac:dyDescent="0.3">
      <c r="A79" s="9" t="s">
        <v>230</v>
      </c>
      <c r="B79" s="26">
        <v>54</v>
      </c>
      <c r="C79" s="10" t="s">
        <v>174</v>
      </c>
      <c r="D79" s="27" t="s">
        <v>133</v>
      </c>
      <c r="E79" s="27">
        <v>24</v>
      </c>
      <c r="F79" s="30">
        <f>_xlfn.IFNA(VLOOKUP(Table8[[#This Row],[INGREDIENTS]],MARKET_id!B:C,2,FALSE),999999)</f>
        <v>235</v>
      </c>
      <c r="G79" s="30">
        <f>_xlfn.IFNA(VLOOKUP(D79,tv_store[],2,FALSE),999999)</f>
        <v>999999</v>
      </c>
      <c r="H79" s="30">
        <f>IF(OR(Table8[[#This Row],[INGREDIENTS MP]]&lt;100000,Table8[[#This Row],[INGREDIENTS TV_STORES]]&lt;100000),MIN(Table8[[#This Row],[INGREDIENTS MP]:[INGREDIENTS TV_STORES]]),"NA")</f>
        <v>235</v>
      </c>
      <c r="I79" s="10">
        <f>IFERROR(Table8[[#This Row],[INGREDIENTS_QUANTITY]]*Table8[[#This Row],[MIN_COST PER  QNTY]],"NA")</f>
        <v>5640</v>
      </c>
      <c r="J79" s="10">
        <f>SUMIF(B:B,Table8[[#This Row],[PRODUCT ID]],I:I)</f>
        <v>5782</v>
      </c>
      <c r="K79" s="28">
        <v>1</v>
      </c>
      <c r="L79" s="10">
        <v>2</v>
      </c>
      <c r="M79" s="10">
        <f>_xlfn.IFNA(VLOOKUP(Table8[[#This Row],[PRODUCT]],MARKET_id!B:C,2,FALSE),0)</f>
        <v>5899</v>
      </c>
      <c r="N79" s="30">
        <f>IF(AND(Table8[[#This Row],[Total cost]]&lt;&gt;0,Table8[[#This Row],[PRODUCT_MP VALUE]]&lt;&gt;0),Table8[[#This Row],[PRODUCT_MP VALUE]]*99%*Table8[[#This Row],[DROPRATE]]-Table8[[#This Row],[Total cost]],"NA")</f>
        <v>58.010000000000218</v>
      </c>
      <c r="O79" s="31">
        <f>IFERROR(IF(Table8[[#This Row],[ENERGY NEEDED]]&lt;&gt;0,Table8[[#This Row],[PROFIT]]/Table8[[#This Row],[ENERGY NEEDED]],"inf"),"NA")</f>
        <v>29.005000000000109</v>
      </c>
    </row>
    <row r="80" spans="1:15" x14ac:dyDescent="0.3">
      <c r="A80" s="9" t="s">
        <v>230</v>
      </c>
      <c r="B80" s="26">
        <v>54</v>
      </c>
      <c r="C80" s="10" t="s">
        <v>174</v>
      </c>
      <c r="D80" s="27" t="s">
        <v>188</v>
      </c>
      <c r="E80" s="27">
        <v>10</v>
      </c>
      <c r="F80" s="30">
        <f>_xlfn.IFNA(VLOOKUP(Table8[[#This Row],[INGREDIENTS]],MARKET_id!B:C,2,FALSE),999999)</f>
        <v>999999</v>
      </c>
      <c r="G80" s="30">
        <f>_xlfn.IFNA(VLOOKUP(D80,tv_store[],2,FALSE),999999)</f>
        <v>10</v>
      </c>
      <c r="H80" s="30">
        <f>IF(OR(Table8[[#This Row],[INGREDIENTS MP]]&lt;100000,Table8[[#This Row],[INGREDIENTS TV_STORES]]&lt;100000),MIN(Table8[[#This Row],[INGREDIENTS MP]:[INGREDIENTS TV_STORES]]),"NA")</f>
        <v>10</v>
      </c>
      <c r="I80" s="10">
        <f>IFERROR(Table8[[#This Row],[INGREDIENTS_QUANTITY]]*Table8[[#This Row],[MIN_COST PER  QNTY]],"NA")</f>
        <v>100</v>
      </c>
      <c r="J80" s="10">
        <f>SUMIF(B:B,Table8[[#This Row],[PRODUCT ID]],I:I)</f>
        <v>5782</v>
      </c>
      <c r="K80" s="28">
        <v>1</v>
      </c>
      <c r="L80" s="10">
        <v>2</v>
      </c>
      <c r="M80" s="10">
        <f>_xlfn.IFNA(VLOOKUP(Table8[[#This Row],[PRODUCT]],MARKET_id!B:C,2,FALSE),0)</f>
        <v>5899</v>
      </c>
      <c r="N80" s="30">
        <f>IF(AND(Table8[[#This Row],[Total cost]]&lt;&gt;0,Table8[[#This Row],[PRODUCT_MP VALUE]]&lt;&gt;0),Table8[[#This Row],[PRODUCT_MP VALUE]]*99%*Table8[[#This Row],[DROPRATE]]-Table8[[#This Row],[Total cost]],"NA")</f>
        <v>58.010000000000218</v>
      </c>
      <c r="O80" s="31">
        <f>IFERROR(IF(Table8[[#This Row],[ENERGY NEEDED]]&lt;&gt;0,Table8[[#This Row],[PROFIT]]/Table8[[#This Row],[ENERGY NEEDED]],"inf"),"NA")</f>
        <v>29.005000000000109</v>
      </c>
    </row>
    <row r="81" spans="1:15" x14ac:dyDescent="0.3">
      <c r="A81" s="9" t="s">
        <v>230</v>
      </c>
      <c r="B81" s="26">
        <v>54</v>
      </c>
      <c r="C81" s="10" t="s">
        <v>174</v>
      </c>
      <c r="D81" s="27" t="s">
        <v>130</v>
      </c>
      <c r="E81" s="27">
        <v>3</v>
      </c>
      <c r="F81" s="30">
        <f>_xlfn.IFNA(VLOOKUP(Table8[[#This Row],[INGREDIENTS]],MARKET_id!B:C,2,FALSE),999999)</f>
        <v>14</v>
      </c>
      <c r="G81" s="30">
        <f>_xlfn.IFNA(VLOOKUP(D81,tv_store[],2,FALSE),999999)</f>
        <v>999999</v>
      </c>
      <c r="H81" s="30">
        <f>IF(OR(Table8[[#This Row],[INGREDIENTS MP]]&lt;100000,Table8[[#This Row],[INGREDIENTS TV_STORES]]&lt;100000),MIN(Table8[[#This Row],[INGREDIENTS MP]:[INGREDIENTS TV_STORES]]),"NA")</f>
        <v>14</v>
      </c>
      <c r="I81" s="10">
        <f>IFERROR(Table8[[#This Row],[INGREDIENTS_QUANTITY]]*Table8[[#This Row],[MIN_COST PER  QNTY]],"NA")</f>
        <v>42</v>
      </c>
      <c r="J81" s="10">
        <f>SUMIF(B:B,Table8[[#This Row],[PRODUCT ID]],I:I)</f>
        <v>5782</v>
      </c>
      <c r="K81" s="28">
        <v>1</v>
      </c>
      <c r="L81" s="10">
        <v>2</v>
      </c>
      <c r="M81" s="10">
        <f>_xlfn.IFNA(VLOOKUP(Table8[[#This Row],[PRODUCT]],MARKET_id!B:C,2,FALSE),0)</f>
        <v>5899</v>
      </c>
      <c r="N81" s="30">
        <f>IF(AND(Table8[[#This Row],[Total cost]]&lt;&gt;0,Table8[[#This Row],[PRODUCT_MP VALUE]]&lt;&gt;0),Table8[[#This Row],[PRODUCT_MP VALUE]]*99%*Table8[[#This Row],[DROPRATE]]-Table8[[#This Row],[Total cost]],"NA")</f>
        <v>58.010000000000218</v>
      </c>
      <c r="O81" s="31">
        <f>IFERROR(IF(Table8[[#This Row],[ENERGY NEEDED]]&lt;&gt;0,Table8[[#This Row],[PROFIT]]/Table8[[#This Row],[ENERGY NEEDED]],"inf"),"NA")</f>
        <v>29.005000000000109</v>
      </c>
    </row>
    <row r="82" spans="1:15" x14ac:dyDescent="0.3">
      <c r="A82" s="9" t="s">
        <v>301</v>
      </c>
      <c r="B82" s="26">
        <v>55</v>
      </c>
      <c r="C82" s="10" t="s">
        <v>139</v>
      </c>
      <c r="D82" s="27" t="s">
        <v>207</v>
      </c>
      <c r="E82" s="27">
        <v>12</v>
      </c>
      <c r="F82" s="30">
        <f>_xlfn.IFNA(VLOOKUP(Table8[[#This Row],[INGREDIENTS]],MARKET_id!B:C,2,FALSE),999999)</f>
        <v>0</v>
      </c>
      <c r="G82" s="30">
        <f>_xlfn.IFNA(VLOOKUP(D82,tv_store[],2,FALSE),999999)</f>
        <v>999999</v>
      </c>
      <c r="H82" s="30">
        <f>IF(OR(Table8[[#This Row],[INGREDIENTS MP]]&lt;100000,Table8[[#This Row],[INGREDIENTS TV_STORES]]&lt;100000),MIN(Table8[[#This Row],[INGREDIENTS MP]:[INGREDIENTS TV_STORES]]),"NA")</f>
        <v>0</v>
      </c>
      <c r="I82" s="10">
        <f>IFERROR(Table8[[#This Row],[INGREDIENTS_QUANTITY]]*Table8[[#This Row],[MIN_COST PER  QNTY]],"NA")</f>
        <v>0</v>
      </c>
      <c r="J82" s="10">
        <f>SUMIF(B:B,Table8[[#This Row],[PRODUCT ID]],I:I)</f>
        <v>0</v>
      </c>
      <c r="K82" s="28">
        <v>1</v>
      </c>
      <c r="L82" s="10">
        <v>3</v>
      </c>
      <c r="M82" s="10">
        <f>_xlfn.IFNA(VLOOKUP(Table8[[#This Row],[PRODUCT]],MARKET_id!B:C,2,FALSE),0)</f>
        <v>152</v>
      </c>
      <c r="N82" s="30" t="str">
        <f>IF(AND(Table8[[#This Row],[Total cost]]&lt;&gt;0,Table8[[#This Row],[PRODUCT_MP VALUE]]&lt;&gt;0),Table8[[#This Row],[PRODUCT_MP VALUE]]*99%*Table8[[#This Row],[DROPRATE]]-Table8[[#This Row],[Total cost]],"NA")</f>
        <v>NA</v>
      </c>
      <c r="O82" s="31" t="str">
        <f>IFERROR(IF(Table8[[#This Row],[ENERGY NEEDED]]&lt;&gt;0,Table8[[#This Row],[PROFIT]]/Table8[[#This Row],[ENERGY NEEDED]],"inf"),"NA")</f>
        <v>NA</v>
      </c>
    </row>
    <row r="83" spans="1:15" x14ac:dyDescent="0.3">
      <c r="A83" s="9" t="s">
        <v>301</v>
      </c>
      <c r="B83" s="26">
        <v>56</v>
      </c>
      <c r="C83" s="10" t="s">
        <v>175</v>
      </c>
      <c r="D83" s="27" t="s">
        <v>114</v>
      </c>
      <c r="E83" s="27">
        <v>1</v>
      </c>
      <c r="F83" s="30">
        <f>_xlfn.IFNA(VLOOKUP(Table8[[#This Row],[INGREDIENTS]],MARKET_id!B:C,2,FALSE),999999)</f>
        <v>1448</v>
      </c>
      <c r="G83" s="30">
        <f>_xlfn.IFNA(VLOOKUP(D83,tv_store[],2,FALSE),999999)</f>
        <v>999999</v>
      </c>
      <c r="H83" s="30">
        <f>IF(OR(Table8[[#This Row],[INGREDIENTS MP]]&lt;100000,Table8[[#This Row],[INGREDIENTS TV_STORES]]&lt;100000),MIN(Table8[[#This Row],[INGREDIENTS MP]:[INGREDIENTS TV_STORES]]),"NA")</f>
        <v>1448</v>
      </c>
      <c r="I83" s="10">
        <f>IFERROR(Table8[[#This Row],[INGREDIENTS_QUANTITY]]*Table8[[#This Row],[MIN_COST PER  QNTY]],"NA")</f>
        <v>1448</v>
      </c>
      <c r="J83" s="10">
        <f>SUMIF(B:B,Table8[[#This Row],[PRODUCT ID]],I:I)</f>
        <v>16824</v>
      </c>
      <c r="K83" s="28">
        <v>1</v>
      </c>
      <c r="L83" s="10">
        <v>8</v>
      </c>
      <c r="M83" s="10">
        <f>_xlfn.IFNA(VLOOKUP(Table8[[#This Row],[PRODUCT]],MARKET_id!B:C,2,FALSE),0)</f>
        <v>17497</v>
      </c>
      <c r="N83" s="30">
        <f>IF(AND(Table8[[#This Row],[Total cost]]&lt;&gt;0,Table8[[#This Row],[PRODUCT_MP VALUE]]&lt;&gt;0),Table8[[#This Row],[PRODUCT_MP VALUE]]*99%*Table8[[#This Row],[DROPRATE]]-Table8[[#This Row],[Total cost]],"NA")</f>
        <v>498.02999999999884</v>
      </c>
      <c r="O83" s="31">
        <f>IFERROR(IF(Table8[[#This Row],[ENERGY NEEDED]]&lt;&gt;0,Table8[[#This Row],[PROFIT]]/Table8[[#This Row],[ENERGY NEEDED]],"inf"),"NA")</f>
        <v>62.253749999999854</v>
      </c>
    </row>
    <row r="84" spans="1:15" x14ac:dyDescent="0.3">
      <c r="A84" s="9" t="s">
        <v>301</v>
      </c>
      <c r="B84" s="26">
        <v>56</v>
      </c>
      <c r="C84" s="10" t="s">
        <v>175</v>
      </c>
      <c r="D84" s="27" t="s">
        <v>139</v>
      </c>
      <c r="E84" s="27">
        <v>88</v>
      </c>
      <c r="F84" s="30">
        <f>_xlfn.IFNA(VLOOKUP(Table8[[#This Row],[INGREDIENTS]],MARKET_id!B:C,2,FALSE),999999)</f>
        <v>152</v>
      </c>
      <c r="G84" s="30">
        <f>_xlfn.IFNA(VLOOKUP(D84,tv_store[],2,FALSE),999999)</f>
        <v>999999</v>
      </c>
      <c r="H84" s="30">
        <f>IF(OR(Table8[[#This Row],[INGREDIENTS MP]]&lt;100000,Table8[[#This Row],[INGREDIENTS TV_STORES]]&lt;100000),MIN(Table8[[#This Row],[INGREDIENTS MP]:[INGREDIENTS TV_STORES]]),"NA")</f>
        <v>152</v>
      </c>
      <c r="I84" s="10">
        <f>IFERROR(Table8[[#This Row],[INGREDIENTS_QUANTITY]]*Table8[[#This Row],[MIN_COST PER  QNTY]],"NA")</f>
        <v>13376</v>
      </c>
      <c r="J84" s="10">
        <f>SUMIF(B:B,Table8[[#This Row],[PRODUCT ID]],I:I)</f>
        <v>16824</v>
      </c>
      <c r="K84" s="28">
        <v>1</v>
      </c>
      <c r="L84" s="10">
        <v>8</v>
      </c>
      <c r="M84" s="10">
        <f>_xlfn.IFNA(VLOOKUP(Table8[[#This Row],[PRODUCT]],MARKET_id!B:C,2,FALSE),0)</f>
        <v>17497</v>
      </c>
      <c r="N84" s="30">
        <f>IF(AND(Table8[[#This Row],[Total cost]]&lt;&gt;0,Table8[[#This Row],[PRODUCT_MP VALUE]]&lt;&gt;0),Table8[[#This Row],[PRODUCT_MP VALUE]]*99%*Table8[[#This Row],[DROPRATE]]-Table8[[#This Row],[Total cost]],"NA")</f>
        <v>498.02999999999884</v>
      </c>
      <c r="O84" s="31">
        <f>IFERROR(IF(Table8[[#This Row],[ENERGY NEEDED]]&lt;&gt;0,Table8[[#This Row],[PROFIT]]/Table8[[#This Row],[ENERGY NEEDED]],"inf"),"NA")</f>
        <v>62.253749999999854</v>
      </c>
    </row>
    <row r="85" spans="1:15" x14ac:dyDescent="0.3">
      <c r="A85" s="9" t="s">
        <v>301</v>
      </c>
      <c r="B85" s="26">
        <v>56</v>
      </c>
      <c r="C85" s="10" t="s">
        <v>175</v>
      </c>
      <c r="D85" s="27" t="s">
        <v>191</v>
      </c>
      <c r="E85" s="27">
        <v>20</v>
      </c>
      <c r="F85" s="30">
        <f>_xlfn.IFNA(VLOOKUP(Table8[[#This Row],[INGREDIENTS]],MARKET_id!B:C,2,FALSE),999999)</f>
        <v>999999</v>
      </c>
      <c r="G85" s="30">
        <f>_xlfn.IFNA(VLOOKUP(D85,tv_store[],2,FALSE),999999)</f>
        <v>100</v>
      </c>
      <c r="H85" s="30">
        <f>IF(OR(Table8[[#This Row],[INGREDIENTS MP]]&lt;100000,Table8[[#This Row],[INGREDIENTS TV_STORES]]&lt;100000),MIN(Table8[[#This Row],[INGREDIENTS MP]:[INGREDIENTS TV_STORES]]),"NA")</f>
        <v>100</v>
      </c>
      <c r="I85" s="10">
        <f>IFERROR(Table8[[#This Row],[INGREDIENTS_QUANTITY]]*Table8[[#This Row],[MIN_COST PER  QNTY]],"NA")</f>
        <v>2000</v>
      </c>
      <c r="J85" s="10">
        <f>SUMIF(B:B,Table8[[#This Row],[PRODUCT ID]],I:I)</f>
        <v>16824</v>
      </c>
      <c r="K85" s="28">
        <v>1</v>
      </c>
      <c r="L85" s="10">
        <v>8</v>
      </c>
      <c r="M85" s="10">
        <f>_xlfn.IFNA(VLOOKUP(Table8[[#This Row],[PRODUCT]],MARKET_id!B:C,2,FALSE),0)</f>
        <v>17497</v>
      </c>
      <c r="N85" s="30">
        <f>IF(AND(Table8[[#This Row],[Total cost]]&lt;&gt;0,Table8[[#This Row],[PRODUCT_MP VALUE]]&lt;&gt;0),Table8[[#This Row],[PRODUCT_MP VALUE]]*99%*Table8[[#This Row],[DROPRATE]]-Table8[[#This Row],[Total cost]],"NA")</f>
        <v>498.02999999999884</v>
      </c>
      <c r="O85" s="31">
        <f>IFERROR(IF(Table8[[#This Row],[ENERGY NEEDED]]&lt;&gt;0,Table8[[#This Row],[PROFIT]]/Table8[[#This Row],[ENERGY NEEDED]],"inf"),"NA")</f>
        <v>62.253749999999854</v>
      </c>
    </row>
    <row r="86" spans="1:15" x14ac:dyDescent="0.3">
      <c r="A86" s="8" t="s">
        <v>301</v>
      </c>
      <c r="B86" s="3">
        <v>57</v>
      </c>
      <c r="C86" s="2" t="s">
        <v>302</v>
      </c>
      <c r="D86" s="12" t="s">
        <v>164</v>
      </c>
      <c r="E86" s="12">
        <v>12</v>
      </c>
      <c r="F86" s="4">
        <f>_xlfn.IFNA(VLOOKUP(Table8[[#This Row],[INGREDIENTS]],MARKET_id!B:C,2,FALSE),999999)</f>
        <v>73</v>
      </c>
      <c r="G86" s="4">
        <f>_xlfn.IFNA(VLOOKUP(D86,tv_store[],2,FALSE),999999)</f>
        <v>999999</v>
      </c>
      <c r="H86" s="4">
        <f>IF(OR(Table8[[#This Row],[INGREDIENTS MP]]&lt;100000,Table8[[#This Row],[INGREDIENTS TV_STORES]]&lt;100000),MIN(Table8[[#This Row],[INGREDIENTS MP]:[INGREDIENTS TV_STORES]]),"NA")</f>
        <v>73</v>
      </c>
      <c r="I86" s="2">
        <f>IFERROR(Table8[[#This Row],[INGREDIENTS_QUANTITY]]*Table8[[#This Row],[MIN_COST PER  QNTY]],"NA")</f>
        <v>876</v>
      </c>
      <c r="J86" s="2">
        <f>SUMIF(B:B,Table8[[#This Row],[PRODUCT ID]],I:I)</f>
        <v>1508</v>
      </c>
      <c r="K86" s="28">
        <v>1</v>
      </c>
      <c r="L86" s="2">
        <v>4</v>
      </c>
      <c r="M86" s="2">
        <f>_xlfn.IFNA(VLOOKUP(Table8[[#This Row],[PRODUCT]],MARKET_id!B:C,2,FALSE),0)</f>
        <v>0</v>
      </c>
      <c r="N86" s="4" t="str">
        <f>IF(AND(Table8[[#This Row],[Total cost]]&lt;&gt;0,Table8[[#This Row],[PRODUCT_MP VALUE]]&lt;&gt;0),Table8[[#This Row],[PRODUCT_MP VALUE]]*99%*Table8[[#This Row],[DROPRATE]]-Table8[[#This Row],[Total cost]],"NA")</f>
        <v>NA</v>
      </c>
      <c r="O86" s="6" t="str">
        <f>IFERROR(IF(Table8[[#This Row],[ENERGY NEEDED]]&lt;&gt;0,Table8[[#This Row],[PROFIT]]/Table8[[#This Row],[ENERGY NEEDED]],"inf"),"NA")</f>
        <v>NA</v>
      </c>
    </row>
    <row r="87" spans="1:15" x14ac:dyDescent="0.3">
      <c r="A87" s="8" t="s">
        <v>301</v>
      </c>
      <c r="B87" s="3">
        <v>57</v>
      </c>
      <c r="C87" s="2" t="s">
        <v>302</v>
      </c>
      <c r="D87" s="12" t="s">
        <v>153</v>
      </c>
      <c r="E87" s="12">
        <v>8</v>
      </c>
      <c r="F87" s="4">
        <f>_xlfn.IFNA(VLOOKUP(Table8[[#This Row],[INGREDIENTS]],MARKET_id!B:C,2,FALSE),999999)</f>
        <v>79</v>
      </c>
      <c r="G87" s="4">
        <f>_xlfn.IFNA(VLOOKUP(D87,tv_store[],2,FALSE),999999)</f>
        <v>999999</v>
      </c>
      <c r="H87" s="4">
        <f>IF(OR(Table8[[#This Row],[INGREDIENTS MP]]&lt;100000,Table8[[#This Row],[INGREDIENTS TV_STORES]]&lt;100000),MIN(Table8[[#This Row],[INGREDIENTS MP]:[INGREDIENTS TV_STORES]]),"NA")</f>
        <v>79</v>
      </c>
      <c r="I87" s="2">
        <f>IFERROR(Table8[[#This Row],[INGREDIENTS_QUANTITY]]*Table8[[#This Row],[MIN_COST PER  QNTY]],"NA")</f>
        <v>632</v>
      </c>
      <c r="J87" s="2">
        <f>SUMIF(B:B,Table8[[#This Row],[PRODUCT ID]],I:I)</f>
        <v>1508</v>
      </c>
      <c r="K87" s="28">
        <v>1</v>
      </c>
      <c r="L87" s="2">
        <v>4</v>
      </c>
      <c r="M87" s="2">
        <f>_xlfn.IFNA(VLOOKUP(Table8[[#This Row],[PRODUCT]],MARKET_id!B:C,2,FALSE),0)</f>
        <v>0</v>
      </c>
      <c r="N87" s="4" t="str">
        <f>IF(AND(Table8[[#This Row],[Total cost]]&lt;&gt;0,Table8[[#This Row],[PRODUCT_MP VALUE]]&lt;&gt;0),Table8[[#This Row],[PRODUCT_MP VALUE]]*99%*Table8[[#This Row],[DROPRATE]]-Table8[[#This Row],[Total cost]],"NA")</f>
        <v>NA</v>
      </c>
      <c r="O87" s="6" t="str">
        <f>IFERROR(IF(Table8[[#This Row],[ENERGY NEEDED]]&lt;&gt;0,Table8[[#This Row],[PROFIT]]/Table8[[#This Row],[ENERGY NEEDED]],"inf"),"NA")</f>
        <v>NA</v>
      </c>
    </row>
    <row r="88" spans="1:15" x14ac:dyDescent="0.3">
      <c r="A88" s="8" t="s">
        <v>301</v>
      </c>
      <c r="B88" s="3">
        <v>58</v>
      </c>
      <c r="C88" s="2" t="s">
        <v>302</v>
      </c>
      <c r="D88" s="12" t="s">
        <v>164</v>
      </c>
      <c r="E88" s="12">
        <v>36</v>
      </c>
      <c r="F88" s="4">
        <f>_xlfn.IFNA(VLOOKUP(Table8[[#This Row],[INGREDIENTS]],MARKET_id!B:C,2,FALSE),999999)</f>
        <v>73</v>
      </c>
      <c r="G88" s="4">
        <f>_xlfn.IFNA(VLOOKUP(D88,tv_store[],2,FALSE),999999)</f>
        <v>999999</v>
      </c>
      <c r="H88" s="4">
        <f>IF(OR(Table8[[#This Row],[INGREDIENTS MP]]&lt;100000,Table8[[#This Row],[INGREDIENTS TV_STORES]]&lt;100000),MIN(Table8[[#This Row],[INGREDIENTS MP]:[INGREDIENTS TV_STORES]]),"NA")</f>
        <v>73</v>
      </c>
      <c r="I88" s="2">
        <f>IFERROR(Table8[[#This Row],[INGREDIENTS_QUANTITY]]*Table8[[#This Row],[MIN_COST PER  QNTY]],"NA")</f>
        <v>2628</v>
      </c>
      <c r="J88" s="2">
        <f>SUMIF(B:B,Table8[[#This Row],[PRODUCT ID]],I:I)</f>
        <v>10312</v>
      </c>
      <c r="K88" s="28">
        <v>12</v>
      </c>
      <c r="L88" s="2">
        <v>48</v>
      </c>
      <c r="M88" s="2">
        <f>_xlfn.IFNA(VLOOKUP(Table8[[#This Row],[PRODUCT]],MARKET_id!B:C,2,FALSE),0)</f>
        <v>0</v>
      </c>
      <c r="N88" s="4" t="str">
        <f>IF(AND(Table8[[#This Row],[Total cost]]&lt;&gt;0,Table8[[#This Row],[PRODUCT_MP VALUE]]&lt;&gt;0),Table8[[#This Row],[PRODUCT_MP VALUE]]*99%*Table8[[#This Row],[DROPRATE]]-Table8[[#This Row],[Total cost]],"NA")</f>
        <v>NA</v>
      </c>
      <c r="O88" s="6" t="str">
        <f>IFERROR(IF(Table8[[#This Row],[ENERGY NEEDED]]&lt;&gt;0,Table8[[#This Row],[PROFIT]]/Table8[[#This Row],[ENERGY NEEDED]],"inf"),"NA")</f>
        <v>NA</v>
      </c>
    </row>
    <row r="89" spans="1:15" x14ac:dyDescent="0.3">
      <c r="A89" s="8" t="s">
        <v>301</v>
      </c>
      <c r="B89" s="3">
        <v>58</v>
      </c>
      <c r="C89" s="2" t="s">
        <v>302</v>
      </c>
      <c r="D89" s="12" t="s">
        <v>153</v>
      </c>
      <c r="E89" s="12">
        <v>96</v>
      </c>
      <c r="F89" s="4">
        <f>_xlfn.IFNA(VLOOKUP(Table8[[#This Row],[INGREDIENTS]],MARKET_id!B:C,2,FALSE),999999)</f>
        <v>79</v>
      </c>
      <c r="G89" s="4">
        <f>_xlfn.IFNA(VLOOKUP(D89,tv_store[],2,FALSE),999999)</f>
        <v>999999</v>
      </c>
      <c r="H89" s="4">
        <f>IF(OR(Table8[[#This Row],[INGREDIENTS MP]]&lt;100000,Table8[[#This Row],[INGREDIENTS TV_STORES]]&lt;100000),MIN(Table8[[#This Row],[INGREDIENTS MP]:[INGREDIENTS TV_STORES]]),"NA")</f>
        <v>79</v>
      </c>
      <c r="I89" s="2">
        <f>IFERROR(Table8[[#This Row],[INGREDIENTS_QUANTITY]]*Table8[[#This Row],[MIN_COST PER  QNTY]],"NA")</f>
        <v>7584</v>
      </c>
      <c r="J89" s="2">
        <f>SUMIF(B:B,Table8[[#This Row],[PRODUCT ID]],I:I)</f>
        <v>10312</v>
      </c>
      <c r="K89" s="28">
        <v>12</v>
      </c>
      <c r="L89" s="2">
        <v>48</v>
      </c>
      <c r="M89" s="2">
        <f>_xlfn.IFNA(VLOOKUP(Table8[[#This Row],[PRODUCT]],MARKET_id!B:C,2,FALSE),0)</f>
        <v>0</v>
      </c>
      <c r="N89" s="4" t="str">
        <f>IF(AND(Table8[[#This Row],[Total cost]]&lt;&gt;0,Table8[[#This Row],[PRODUCT_MP VALUE]]&lt;&gt;0),Table8[[#This Row],[PRODUCT_MP VALUE]]*99%*Table8[[#This Row],[DROPRATE]]-Table8[[#This Row],[Total cost]],"NA")</f>
        <v>NA</v>
      </c>
      <c r="O89" s="6" t="str">
        <f>IFERROR(IF(Table8[[#This Row],[ENERGY NEEDED]]&lt;&gt;0,Table8[[#This Row],[PROFIT]]/Table8[[#This Row],[ENERGY NEEDED]],"inf"),"NA")</f>
        <v>NA</v>
      </c>
    </row>
    <row r="90" spans="1:15" x14ac:dyDescent="0.3">
      <c r="A90" s="8" t="s">
        <v>301</v>
      </c>
      <c r="B90" s="3">
        <v>58</v>
      </c>
      <c r="C90" s="2" t="s">
        <v>302</v>
      </c>
      <c r="D90" s="12" t="s">
        <v>191</v>
      </c>
      <c r="E90" s="12">
        <v>1</v>
      </c>
      <c r="F90" s="4">
        <f>_xlfn.IFNA(VLOOKUP(Table8[[#This Row],[INGREDIENTS]],MARKET_id!B:C,2,FALSE),999999)</f>
        <v>999999</v>
      </c>
      <c r="G90" s="4">
        <f>_xlfn.IFNA(VLOOKUP(D90,tv_store[],2,FALSE),999999)</f>
        <v>100</v>
      </c>
      <c r="H90" s="4">
        <f>IF(OR(Table8[[#This Row],[INGREDIENTS MP]]&lt;100000,Table8[[#This Row],[INGREDIENTS TV_STORES]]&lt;100000),MIN(Table8[[#This Row],[INGREDIENTS MP]:[INGREDIENTS TV_STORES]]),"NA")</f>
        <v>100</v>
      </c>
      <c r="I90" s="2">
        <f>IFERROR(Table8[[#This Row],[INGREDIENTS_QUANTITY]]*Table8[[#This Row],[MIN_COST PER  QNTY]],"NA")</f>
        <v>100</v>
      </c>
      <c r="J90" s="2">
        <f>SUMIF(B:B,Table8[[#This Row],[PRODUCT ID]],I:I)</f>
        <v>10312</v>
      </c>
      <c r="K90" s="28">
        <v>12</v>
      </c>
      <c r="L90" s="2">
        <v>48</v>
      </c>
      <c r="M90" s="2">
        <f>_xlfn.IFNA(VLOOKUP(Table8[[#This Row],[PRODUCT]],MARKET_id!B:C,2,FALSE),0)</f>
        <v>0</v>
      </c>
      <c r="N90" s="4" t="str">
        <f>IF(AND(Table8[[#This Row],[Total cost]]&lt;&gt;0,Table8[[#This Row],[PRODUCT_MP VALUE]]&lt;&gt;0),Table8[[#This Row],[PRODUCT_MP VALUE]]*99%*Table8[[#This Row],[DROPRATE]]-Table8[[#This Row],[Total cost]],"NA")</f>
        <v>NA</v>
      </c>
      <c r="O90" s="6" t="str">
        <f>IFERROR(IF(Table8[[#This Row],[ENERGY NEEDED]]&lt;&gt;0,Table8[[#This Row],[PROFIT]]/Table8[[#This Row],[ENERGY NEEDED]],"inf"),"NA")</f>
        <v>NA</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EF616-CFB1-43BC-A42C-BACF725A22DA}">
  <sheetPr codeName="Sheet3"/>
  <dimension ref="A1:G15"/>
  <sheetViews>
    <sheetView workbookViewId="0">
      <selection sqref="A1:B898"/>
    </sheetView>
  </sheetViews>
  <sheetFormatPr defaultRowHeight="14.4" x14ac:dyDescent="0.3"/>
  <cols>
    <col min="1" max="1" width="44.77734375" bestFit="1" customWidth="1"/>
    <col min="2" max="2" width="10" bestFit="1" customWidth="1"/>
  </cols>
  <sheetData>
    <row r="1" spans="1:7" x14ac:dyDescent="0.3">
      <c r="A1" t="s">
        <v>234</v>
      </c>
      <c r="B1" t="s">
        <v>12</v>
      </c>
    </row>
    <row r="15" spans="1:7" x14ac:dyDescent="0.3">
      <c r="G15" t="s">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F28ED-26A7-48D9-AF17-5E033E78693B}">
  <sheetPr codeName="Sheet4"/>
  <dimension ref="A1:B18"/>
  <sheetViews>
    <sheetView workbookViewId="0">
      <selection activeCell="I10" sqref="I10"/>
    </sheetView>
  </sheetViews>
  <sheetFormatPr defaultRowHeight="14.4" x14ac:dyDescent="0.3"/>
  <cols>
    <col min="1" max="1" width="18.88671875" bestFit="1" customWidth="1"/>
    <col min="2" max="2" width="10" customWidth="1"/>
  </cols>
  <sheetData>
    <row r="1" spans="1:2" x14ac:dyDescent="0.3">
      <c r="A1" s="11" t="s">
        <v>291</v>
      </c>
      <c r="B1" s="17" t="s">
        <v>292</v>
      </c>
    </row>
    <row r="2" spans="1:2" x14ac:dyDescent="0.3">
      <c r="A2" s="8" t="s">
        <v>209</v>
      </c>
      <c r="B2" s="15">
        <v>1</v>
      </c>
    </row>
    <row r="3" spans="1:2" x14ac:dyDescent="0.3">
      <c r="A3" s="8" t="s">
        <v>213</v>
      </c>
      <c r="B3" s="15">
        <v>1</v>
      </c>
    </row>
    <row r="4" spans="1:2" x14ac:dyDescent="0.3">
      <c r="A4" s="8" t="s">
        <v>212</v>
      </c>
      <c r="B4" s="15">
        <v>15</v>
      </c>
    </row>
    <row r="5" spans="1:2" x14ac:dyDescent="0.3">
      <c r="A5" s="8" t="s">
        <v>211</v>
      </c>
      <c r="B5" s="15">
        <v>9</v>
      </c>
    </row>
    <row r="6" spans="1:2" x14ac:dyDescent="0.3">
      <c r="A6" s="8" t="s">
        <v>217</v>
      </c>
      <c r="B6" s="15">
        <v>3</v>
      </c>
    </row>
    <row r="7" spans="1:2" x14ac:dyDescent="0.3">
      <c r="A7" s="8" t="s">
        <v>216</v>
      </c>
      <c r="B7" s="15">
        <v>12</v>
      </c>
    </row>
    <row r="8" spans="1:2" x14ac:dyDescent="0.3">
      <c r="A8" s="8" t="s">
        <v>193</v>
      </c>
      <c r="B8" s="15">
        <v>18</v>
      </c>
    </row>
    <row r="9" spans="1:2" x14ac:dyDescent="0.3">
      <c r="A9" s="8" t="s">
        <v>215</v>
      </c>
      <c r="B9" s="15">
        <v>36</v>
      </c>
    </row>
    <row r="10" spans="1:2" x14ac:dyDescent="0.3">
      <c r="A10" s="8" t="s">
        <v>226</v>
      </c>
      <c r="B10" s="15">
        <v>1</v>
      </c>
    </row>
    <row r="11" spans="1:2" x14ac:dyDescent="0.3">
      <c r="A11" s="8" t="s">
        <v>150</v>
      </c>
      <c r="B11" s="15">
        <v>1000</v>
      </c>
    </row>
    <row r="12" spans="1:2" x14ac:dyDescent="0.3">
      <c r="A12" s="8" t="s">
        <v>238</v>
      </c>
      <c r="B12" s="15">
        <v>1000</v>
      </c>
    </row>
    <row r="13" spans="1:2" x14ac:dyDescent="0.3">
      <c r="A13" s="8" t="s">
        <v>191</v>
      </c>
      <c r="B13" s="15">
        <v>100</v>
      </c>
    </row>
    <row r="14" spans="1:2" x14ac:dyDescent="0.3">
      <c r="A14" s="8" t="s">
        <v>188</v>
      </c>
      <c r="B14" s="15">
        <v>10</v>
      </c>
    </row>
    <row r="15" spans="1:2" x14ac:dyDescent="0.3">
      <c r="A15" s="22" t="s">
        <v>210</v>
      </c>
      <c r="B15" s="24">
        <v>3</v>
      </c>
    </row>
    <row r="16" spans="1:2" x14ac:dyDescent="0.3">
      <c r="A16" s="9" t="s">
        <v>132</v>
      </c>
      <c r="B16" s="16">
        <v>17670</v>
      </c>
    </row>
    <row r="17" spans="1:2" x14ac:dyDescent="0.3">
      <c r="A17" s="9" t="s">
        <v>147</v>
      </c>
      <c r="B17" s="16">
        <v>1000</v>
      </c>
    </row>
    <row r="18" spans="1:2" x14ac:dyDescent="0.3">
      <c r="A18" s="9" t="s">
        <v>116</v>
      </c>
      <c r="B18" s="16">
        <v>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E9DC3-AF61-4F39-A8A0-486E7B0BBE9C}">
  <sheetPr codeName="Sheet5"/>
  <dimension ref="A1:B69"/>
  <sheetViews>
    <sheetView workbookViewId="0">
      <selection activeCell="H13" sqref="H13"/>
    </sheetView>
  </sheetViews>
  <sheetFormatPr defaultRowHeight="14.4" x14ac:dyDescent="0.3"/>
  <cols>
    <col min="1" max="1" width="25.6640625" bestFit="1" customWidth="1"/>
    <col min="2" max="2" width="7.33203125" bestFit="1" customWidth="1"/>
  </cols>
  <sheetData>
    <row r="1" spans="1:2" x14ac:dyDescent="0.3">
      <c r="A1" t="s">
        <v>11</v>
      </c>
      <c r="B1" t="s">
        <v>12</v>
      </c>
    </row>
    <row r="2" spans="1:2" x14ac:dyDescent="0.3">
      <c r="A2" t="s">
        <v>41</v>
      </c>
      <c r="B2">
        <v>44</v>
      </c>
    </row>
    <row r="3" spans="1:2" x14ac:dyDescent="0.3">
      <c r="A3" t="s">
        <v>83</v>
      </c>
      <c r="B3">
        <v>102</v>
      </c>
    </row>
    <row r="4" spans="1:2" x14ac:dyDescent="0.3">
      <c r="A4" t="s">
        <v>42</v>
      </c>
      <c r="B4">
        <v>444</v>
      </c>
    </row>
    <row r="5" spans="1:2" x14ac:dyDescent="0.3">
      <c r="A5" t="s">
        <v>55</v>
      </c>
      <c r="B5">
        <v>14</v>
      </c>
    </row>
    <row r="6" spans="1:2" x14ac:dyDescent="0.3">
      <c r="A6" t="s">
        <v>24</v>
      </c>
      <c r="B6">
        <v>79</v>
      </c>
    </row>
    <row r="7" spans="1:2" x14ac:dyDescent="0.3">
      <c r="A7" t="s">
        <v>78</v>
      </c>
      <c r="B7">
        <v>999</v>
      </c>
    </row>
    <row r="8" spans="1:2" x14ac:dyDescent="0.3">
      <c r="A8" t="s">
        <v>18</v>
      </c>
      <c r="B8">
        <v>21</v>
      </c>
    </row>
    <row r="9" spans="1:2" x14ac:dyDescent="0.3">
      <c r="A9" t="s">
        <v>28</v>
      </c>
      <c r="B9">
        <v>200</v>
      </c>
    </row>
    <row r="10" spans="1:2" x14ac:dyDescent="0.3">
      <c r="A10" t="s">
        <v>19</v>
      </c>
      <c r="B10">
        <v>88</v>
      </c>
    </row>
    <row r="11" spans="1:2" x14ac:dyDescent="0.3">
      <c r="A11" t="s">
        <v>107</v>
      </c>
      <c r="B11">
        <v>524</v>
      </c>
    </row>
    <row r="12" spans="1:2" x14ac:dyDescent="0.3">
      <c r="A12" t="s">
        <v>87</v>
      </c>
      <c r="B12">
        <v>9</v>
      </c>
    </row>
    <row r="13" spans="1:2" x14ac:dyDescent="0.3">
      <c r="A13" t="s">
        <v>89</v>
      </c>
      <c r="B13">
        <v>117</v>
      </c>
    </row>
    <row r="14" spans="1:2" x14ac:dyDescent="0.3">
      <c r="A14" t="s">
        <v>90</v>
      </c>
      <c r="B14">
        <v>340</v>
      </c>
    </row>
    <row r="15" spans="1:2" x14ac:dyDescent="0.3">
      <c r="A15" t="s">
        <v>110</v>
      </c>
      <c r="B15">
        <v>9</v>
      </c>
    </row>
    <row r="16" spans="1:2" x14ac:dyDescent="0.3">
      <c r="A16" t="s">
        <v>53</v>
      </c>
      <c r="B16">
        <v>73</v>
      </c>
    </row>
    <row r="17" spans="1:2" x14ac:dyDescent="0.3">
      <c r="A17" t="s">
        <v>106</v>
      </c>
      <c r="B17">
        <v>987</v>
      </c>
    </row>
    <row r="18" spans="1:2" x14ac:dyDescent="0.3">
      <c r="A18" t="s">
        <v>74</v>
      </c>
      <c r="B18">
        <v>42</v>
      </c>
    </row>
    <row r="19" spans="1:2" x14ac:dyDescent="0.3">
      <c r="A19" t="s">
        <v>26</v>
      </c>
      <c r="B19">
        <v>46</v>
      </c>
    </row>
    <row r="20" spans="1:2" x14ac:dyDescent="0.3">
      <c r="A20" t="s">
        <v>45</v>
      </c>
      <c r="B20">
        <v>53</v>
      </c>
    </row>
    <row r="21" spans="1:2" x14ac:dyDescent="0.3">
      <c r="A21" t="s">
        <v>79</v>
      </c>
      <c r="B21">
        <v>87</v>
      </c>
    </row>
    <row r="22" spans="1:2" x14ac:dyDescent="0.3">
      <c r="A22" t="s">
        <v>48</v>
      </c>
      <c r="B22">
        <v>119</v>
      </c>
    </row>
    <row r="23" spans="1:2" x14ac:dyDescent="0.3">
      <c r="A23" t="s">
        <v>30</v>
      </c>
      <c r="B23">
        <v>52</v>
      </c>
    </row>
    <row r="24" spans="1:2" x14ac:dyDescent="0.3">
      <c r="A24" t="s">
        <v>58</v>
      </c>
      <c r="B24">
        <v>235</v>
      </c>
    </row>
    <row r="25" spans="1:2" x14ac:dyDescent="0.3">
      <c r="A25" t="s">
        <v>108</v>
      </c>
      <c r="B25">
        <v>79</v>
      </c>
    </row>
    <row r="26" spans="1:2" x14ac:dyDescent="0.3">
      <c r="A26" t="s">
        <v>101</v>
      </c>
      <c r="B26">
        <v>120</v>
      </c>
    </row>
    <row r="27" spans="1:2" x14ac:dyDescent="0.3">
      <c r="A27" t="s">
        <v>66</v>
      </c>
      <c r="B27">
        <v>138</v>
      </c>
    </row>
    <row r="28" spans="1:2" x14ac:dyDescent="0.3">
      <c r="A28" t="s">
        <v>29</v>
      </c>
      <c r="B28">
        <v>396</v>
      </c>
    </row>
    <row r="29" spans="1:2" x14ac:dyDescent="0.3">
      <c r="A29" t="s">
        <v>76</v>
      </c>
      <c r="B29">
        <v>108</v>
      </c>
    </row>
    <row r="30" spans="1:2" x14ac:dyDescent="0.3">
      <c r="A30" t="s">
        <v>75</v>
      </c>
      <c r="B30">
        <v>397</v>
      </c>
    </row>
    <row r="31" spans="1:2" x14ac:dyDescent="0.3">
      <c r="A31" t="s">
        <v>70</v>
      </c>
      <c r="B31">
        <v>159</v>
      </c>
    </row>
    <row r="32" spans="1:2" x14ac:dyDescent="0.3">
      <c r="A32" t="s">
        <v>71</v>
      </c>
      <c r="B32">
        <v>105</v>
      </c>
    </row>
    <row r="33" spans="1:2" x14ac:dyDescent="0.3">
      <c r="A33" t="s">
        <v>81</v>
      </c>
      <c r="B33">
        <v>236</v>
      </c>
    </row>
    <row r="34" spans="1:2" x14ac:dyDescent="0.3">
      <c r="A34" t="s">
        <v>80</v>
      </c>
      <c r="B34">
        <v>485</v>
      </c>
    </row>
    <row r="35" spans="1:2" x14ac:dyDescent="0.3">
      <c r="A35" t="s">
        <v>47</v>
      </c>
      <c r="B35">
        <v>64</v>
      </c>
    </row>
    <row r="36" spans="1:2" x14ac:dyDescent="0.3">
      <c r="A36" t="s">
        <v>50</v>
      </c>
      <c r="B36">
        <v>246</v>
      </c>
    </row>
    <row r="37" spans="1:2" x14ac:dyDescent="0.3">
      <c r="A37" t="s">
        <v>49</v>
      </c>
      <c r="B37">
        <v>445</v>
      </c>
    </row>
    <row r="38" spans="1:2" x14ac:dyDescent="0.3">
      <c r="A38" t="s">
        <v>17</v>
      </c>
      <c r="B38">
        <v>128</v>
      </c>
    </row>
    <row r="39" spans="1:2" x14ac:dyDescent="0.3">
      <c r="A39" t="s">
        <v>25</v>
      </c>
      <c r="B39">
        <v>694</v>
      </c>
    </row>
    <row r="40" spans="1:2" x14ac:dyDescent="0.3">
      <c r="A40" t="s">
        <v>16</v>
      </c>
      <c r="B40">
        <v>1448</v>
      </c>
    </row>
    <row r="41" spans="1:2" x14ac:dyDescent="0.3">
      <c r="A41" t="s">
        <v>14</v>
      </c>
      <c r="B41">
        <v>8600</v>
      </c>
    </row>
    <row r="42" spans="1:2" x14ac:dyDescent="0.3">
      <c r="A42" t="s">
        <v>44</v>
      </c>
      <c r="B42">
        <v>145</v>
      </c>
    </row>
    <row r="43" spans="1:2" x14ac:dyDescent="0.3">
      <c r="A43" t="s">
        <v>13</v>
      </c>
      <c r="B43">
        <v>689</v>
      </c>
    </row>
    <row r="44" spans="1:2" x14ac:dyDescent="0.3">
      <c r="A44" t="s">
        <v>20</v>
      </c>
      <c r="B44">
        <v>460</v>
      </c>
    </row>
    <row r="45" spans="1:2" x14ac:dyDescent="0.3">
      <c r="A45" t="s">
        <v>32</v>
      </c>
      <c r="B45">
        <v>1790</v>
      </c>
    </row>
    <row r="46" spans="1:2" x14ac:dyDescent="0.3">
      <c r="A46" t="s">
        <v>290</v>
      </c>
      <c r="B46">
        <v>950</v>
      </c>
    </row>
    <row r="47" spans="1:2" x14ac:dyDescent="0.3">
      <c r="A47" t="s">
        <v>77</v>
      </c>
      <c r="B47">
        <v>1000</v>
      </c>
    </row>
    <row r="48" spans="1:2" x14ac:dyDescent="0.3">
      <c r="A48" t="s">
        <v>52</v>
      </c>
      <c r="B48">
        <v>3490</v>
      </c>
    </row>
    <row r="49" spans="1:2" x14ac:dyDescent="0.3">
      <c r="A49" t="s">
        <v>82</v>
      </c>
      <c r="B49">
        <v>2961</v>
      </c>
    </row>
    <row r="50" spans="1:2" x14ac:dyDescent="0.3">
      <c r="A50" t="s">
        <v>46</v>
      </c>
      <c r="B50">
        <v>1349</v>
      </c>
    </row>
    <row r="51" spans="1:2" x14ac:dyDescent="0.3">
      <c r="A51" t="s">
        <v>109</v>
      </c>
      <c r="B51">
        <v>2400</v>
      </c>
    </row>
    <row r="52" spans="1:2" x14ac:dyDescent="0.3">
      <c r="A52" t="s">
        <v>103</v>
      </c>
      <c r="B52">
        <v>3271</v>
      </c>
    </row>
    <row r="53" spans="1:2" x14ac:dyDescent="0.3">
      <c r="A53" t="s">
        <v>67</v>
      </c>
      <c r="B53">
        <v>3599</v>
      </c>
    </row>
    <row r="54" spans="1:2" x14ac:dyDescent="0.3">
      <c r="A54" t="s">
        <v>27</v>
      </c>
      <c r="B54">
        <v>6200</v>
      </c>
    </row>
    <row r="55" spans="1:2" x14ac:dyDescent="0.3">
      <c r="A55" t="s">
        <v>15</v>
      </c>
      <c r="B55">
        <v>25000</v>
      </c>
    </row>
    <row r="56" spans="1:2" x14ac:dyDescent="0.3">
      <c r="A56" t="s">
        <v>57</v>
      </c>
      <c r="B56">
        <v>7000</v>
      </c>
    </row>
    <row r="57" spans="1:2" x14ac:dyDescent="0.3">
      <c r="A57" t="s">
        <v>31</v>
      </c>
      <c r="B57">
        <v>69</v>
      </c>
    </row>
    <row r="58" spans="1:2" x14ac:dyDescent="0.3">
      <c r="A58" t="s">
        <v>60</v>
      </c>
      <c r="B58">
        <v>1288</v>
      </c>
    </row>
    <row r="59" spans="1:2" x14ac:dyDescent="0.3">
      <c r="A59" t="s">
        <v>86</v>
      </c>
      <c r="B59">
        <v>795</v>
      </c>
    </row>
    <row r="60" spans="1:2" x14ac:dyDescent="0.3">
      <c r="A60" t="s">
        <v>35</v>
      </c>
      <c r="B60">
        <v>130</v>
      </c>
    </row>
    <row r="61" spans="1:2" x14ac:dyDescent="0.3">
      <c r="A61" t="s">
        <v>73</v>
      </c>
      <c r="B61">
        <v>2663</v>
      </c>
    </row>
    <row r="62" spans="1:2" x14ac:dyDescent="0.3">
      <c r="A62" t="s">
        <v>88</v>
      </c>
      <c r="B62">
        <v>232</v>
      </c>
    </row>
    <row r="63" spans="1:2" x14ac:dyDescent="0.3">
      <c r="A63" t="s">
        <v>86</v>
      </c>
      <c r="B63">
        <v>795</v>
      </c>
    </row>
    <row r="64" spans="1:2" x14ac:dyDescent="0.3">
      <c r="A64" t="s">
        <v>72</v>
      </c>
      <c r="B64">
        <v>152</v>
      </c>
    </row>
    <row r="65" spans="1:2" x14ac:dyDescent="0.3">
      <c r="A65" t="s">
        <v>98</v>
      </c>
      <c r="B65">
        <v>17497</v>
      </c>
    </row>
    <row r="66" spans="1:2" x14ac:dyDescent="0.3">
      <c r="A66" t="s">
        <v>293</v>
      </c>
      <c r="B66">
        <v>3425</v>
      </c>
    </row>
    <row r="67" spans="1:2" x14ac:dyDescent="0.3">
      <c r="A67" t="s">
        <v>294</v>
      </c>
      <c r="B67">
        <v>998</v>
      </c>
    </row>
    <row r="68" spans="1:2" x14ac:dyDescent="0.3">
      <c r="A68" t="s">
        <v>59</v>
      </c>
      <c r="B68">
        <v>5899</v>
      </c>
    </row>
    <row r="69" spans="1:2" x14ac:dyDescent="0.3">
      <c r="A69" t="s">
        <v>111</v>
      </c>
      <c r="B69">
        <v>885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E046B-8AF6-41E6-B423-008BA81D6DD3}">
  <sheetPr codeName="Sheet6"/>
  <dimension ref="A1:C105"/>
  <sheetViews>
    <sheetView topLeftCell="A57" workbookViewId="0">
      <selection activeCell="B14" sqref="B14"/>
    </sheetView>
  </sheetViews>
  <sheetFormatPr defaultRowHeight="14.4" x14ac:dyDescent="0.3"/>
  <cols>
    <col min="1" max="1" width="39" bestFit="1" customWidth="1"/>
    <col min="2" max="2" width="37.6640625" customWidth="1"/>
    <col min="3" max="3" width="8" bestFit="1" customWidth="1"/>
  </cols>
  <sheetData>
    <row r="1" spans="1:3" x14ac:dyDescent="0.3">
      <c r="A1" s="11" t="s">
        <v>112</v>
      </c>
      <c r="B1" s="23" t="s">
        <v>117</v>
      </c>
      <c r="C1" s="17" t="s">
        <v>7</v>
      </c>
    </row>
    <row r="2" spans="1:3" x14ac:dyDescent="0.3">
      <c r="A2" s="8" t="s">
        <v>29</v>
      </c>
      <c r="B2" s="2" t="s">
        <v>163</v>
      </c>
      <c r="C2" s="15">
        <f>VLOOKUP(A2,pixels_api!A:B,2,FALSE)</f>
        <v>396</v>
      </c>
    </row>
    <row r="3" spans="1:3" x14ac:dyDescent="0.3">
      <c r="A3" s="8" t="s">
        <v>13</v>
      </c>
      <c r="B3" s="2" t="s">
        <v>176</v>
      </c>
      <c r="C3" s="15">
        <f>VLOOKUP(A3,pixels_api!A:B,2,FALSE)</f>
        <v>689</v>
      </c>
    </row>
    <row r="4" spans="1:3" x14ac:dyDescent="0.3">
      <c r="A4" s="8" t="s">
        <v>98</v>
      </c>
      <c r="B4" s="2" t="s">
        <v>175</v>
      </c>
      <c r="C4" s="15">
        <f>VLOOKUP(A4,pixels_api!A:B,2,FALSE)</f>
        <v>17497</v>
      </c>
    </row>
    <row r="5" spans="1:3" x14ac:dyDescent="0.3">
      <c r="A5" s="8" t="s">
        <v>101</v>
      </c>
      <c r="B5" s="2" t="s">
        <v>177</v>
      </c>
      <c r="C5" s="15">
        <f>VLOOKUP(A5,pixels_api!A:B,2,FALSE)</f>
        <v>120</v>
      </c>
    </row>
    <row r="6" spans="1:3" x14ac:dyDescent="0.3">
      <c r="A6" s="8" t="s">
        <v>102</v>
      </c>
      <c r="B6" s="2" t="s">
        <v>193</v>
      </c>
      <c r="C6" s="15" t="e">
        <f>VLOOKUP(A6,pixels_api!A:B,2,FALSE)</f>
        <v>#N/A</v>
      </c>
    </row>
    <row r="7" spans="1:3" x14ac:dyDescent="0.3">
      <c r="A7" s="8" t="s">
        <v>103</v>
      </c>
      <c r="B7" s="2" t="s">
        <v>220</v>
      </c>
      <c r="C7" s="15">
        <f>VLOOKUP(A7,pixels_api!A:B,2,FALSE)</f>
        <v>3271</v>
      </c>
    </row>
    <row r="8" spans="1:3" x14ac:dyDescent="0.3">
      <c r="A8" s="8" t="s">
        <v>14</v>
      </c>
      <c r="B8" s="2" t="s">
        <v>118</v>
      </c>
      <c r="C8" s="15">
        <f>VLOOKUP(A8,pixels_api!A:B,2,FALSE)</f>
        <v>8600</v>
      </c>
    </row>
    <row r="9" spans="1:3" x14ac:dyDescent="0.3">
      <c r="A9" s="8" t="s">
        <v>25</v>
      </c>
      <c r="B9" s="2" t="s">
        <v>121</v>
      </c>
      <c r="C9" s="15">
        <f>VLOOKUP(A9,pixels_api!A:B,2,FALSE)</f>
        <v>694</v>
      </c>
    </row>
    <row r="10" spans="1:3" x14ac:dyDescent="0.3">
      <c r="A10" s="8" t="s">
        <v>26</v>
      </c>
      <c r="B10" s="2" t="s">
        <v>10</v>
      </c>
      <c r="C10" s="15">
        <f>VLOOKUP(A10,pixels_api!A:B,2,FALSE)</f>
        <v>46</v>
      </c>
    </row>
    <row r="11" spans="1:3" x14ac:dyDescent="0.3">
      <c r="A11" s="8" t="s">
        <v>27</v>
      </c>
      <c r="B11" s="2" t="s">
        <v>157</v>
      </c>
      <c r="C11" s="15">
        <f>VLOOKUP(A11,pixels_api!A:B,2,FALSE)</f>
        <v>6200</v>
      </c>
    </row>
    <row r="12" spans="1:3" x14ac:dyDescent="0.3">
      <c r="A12" s="8" t="s">
        <v>28</v>
      </c>
      <c r="B12" s="2" t="s">
        <v>122</v>
      </c>
      <c r="C12" s="15">
        <f>VLOOKUP(A12,pixels_api!A:B,2,FALSE)</f>
        <v>200</v>
      </c>
    </row>
    <row r="13" spans="1:3" x14ac:dyDescent="0.3">
      <c r="A13" s="8" t="s">
        <v>30</v>
      </c>
      <c r="B13" s="2" t="s">
        <v>184</v>
      </c>
      <c r="C13" s="15">
        <f>VLOOKUP(A13,pixels_api!A:B,2,FALSE)</f>
        <v>52</v>
      </c>
    </row>
    <row r="14" spans="1:3" x14ac:dyDescent="0.3">
      <c r="A14" s="8" t="s">
        <v>35</v>
      </c>
      <c r="B14" s="2" t="s">
        <v>206</v>
      </c>
      <c r="C14" s="15">
        <f>VLOOKUP(A14,pixels_api!A:B,2,FALSE)</f>
        <v>130</v>
      </c>
    </row>
    <row r="15" spans="1:3" x14ac:dyDescent="0.3">
      <c r="A15" s="8" t="s">
        <v>32</v>
      </c>
      <c r="B15" s="2" t="s">
        <v>166</v>
      </c>
      <c r="C15" s="15">
        <f>VLOOKUP(A15,pixels_api!A:B,2,FALSE)</f>
        <v>1790</v>
      </c>
    </row>
    <row r="16" spans="1:3" x14ac:dyDescent="0.3">
      <c r="A16" s="8" t="s">
        <v>33</v>
      </c>
      <c r="B16" s="2" t="s">
        <v>186</v>
      </c>
      <c r="C16" s="15" t="e">
        <f>VLOOKUP(A16,pixels_api!A:B,2,FALSE)</f>
        <v>#N/A</v>
      </c>
    </row>
    <row r="17" spans="1:3" x14ac:dyDescent="0.3">
      <c r="A17" s="8" t="s">
        <v>293</v>
      </c>
      <c r="B17" s="2" t="s">
        <v>235</v>
      </c>
      <c r="C17" s="15">
        <f>VLOOKUP(A17,pixels_api!A:B,2,FALSE)</f>
        <v>3425</v>
      </c>
    </row>
    <row r="18" spans="1:3" x14ac:dyDescent="0.3">
      <c r="A18" s="8" t="s">
        <v>294</v>
      </c>
      <c r="B18" s="2" t="s">
        <v>236</v>
      </c>
      <c r="C18" s="15">
        <f>VLOOKUP(A18,pixels_api!A:B,2,FALSE)</f>
        <v>998</v>
      </c>
    </row>
    <row r="19" spans="1:3" x14ac:dyDescent="0.3">
      <c r="A19" s="8" t="s">
        <v>34</v>
      </c>
      <c r="B19" s="2" t="s">
        <v>191</v>
      </c>
      <c r="C19" s="15" t="e">
        <f>VLOOKUP(A19,pixels_api!A:B,2,FALSE)</f>
        <v>#N/A</v>
      </c>
    </row>
    <row r="20" spans="1:3" x14ac:dyDescent="0.3">
      <c r="A20" s="8" t="s">
        <v>36</v>
      </c>
      <c r="B20" s="2" t="s">
        <v>123</v>
      </c>
      <c r="C20" s="15" t="e">
        <f>VLOOKUP(A20,pixels_api!A:B,2,FALSE)</f>
        <v>#N/A</v>
      </c>
    </row>
    <row r="21" spans="1:3" x14ac:dyDescent="0.3">
      <c r="A21" s="8" t="s">
        <v>37</v>
      </c>
      <c r="B21" s="2" t="s">
        <v>204</v>
      </c>
      <c r="C21" s="15" t="e">
        <f>VLOOKUP(A21,pixels_api!A:B,2,FALSE)</f>
        <v>#N/A</v>
      </c>
    </row>
    <row r="22" spans="1:3" x14ac:dyDescent="0.3">
      <c r="A22" s="8" t="s">
        <v>38</v>
      </c>
      <c r="B22" s="2" t="s">
        <v>200</v>
      </c>
      <c r="C22" s="15" t="e">
        <f>VLOOKUP(A22,pixels_api!A:B,2,FALSE)</f>
        <v>#N/A</v>
      </c>
    </row>
    <row r="23" spans="1:3" x14ac:dyDescent="0.3">
      <c r="A23" s="8" t="s">
        <v>39</v>
      </c>
      <c r="B23" s="2" t="s">
        <v>124</v>
      </c>
      <c r="C23" s="15" t="e">
        <f>VLOOKUP(A23,pixels_api!A:B,2,FALSE)</f>
        <v>#N/A</v>
      </c>
    </row>
    <row r="24" spans="1:3" x14ac:dyDescent="0.3">
      <c r="A24" s="8" t="s">
        <v>40</v>
      </c>
      <c r="B24" s="2" t="s">
        <v>203</v>
      </c>
      <c r="C24" s="15" t="e">
        <f>VLOOKUP(A24,pixels_api!A:B,2,FALSE)</f>
        <v>#N/A</v>
      </c>
    </row>
    <row r="25" spans="1:3" x14ac:dyDescent="0.3">
      <c r="A25" s="8" t="s">
        <v>41</v>
      </c>
      <c r="B25" s="2" t="s">
        <v>3</v>
      </c>
      <c r="C25" s="15">
        <f>VLOOKUP(A25,pixels_api!A:B,2,FALSE)</f>
        <v>44</v>
      </c>
    </row>
    <row r="26" spans="1:3" x14ac:dyDescent="0.3">
      <c r="A26" s="8" t="s">
        <v>42</v>
      </c>
      <c r="B26" s="2" t="s">
        <v>125</v>
      </c>
      <c r="C26" s="15">
        <f>VLOOKUP(A26,pixels_api!A:B,2,FALSE)</f>
        <v>444</v>
      </c>
    </row>
    <row r="27" spans="1:3" x14ac:dyDescent="0.3">
      <c r="A27" s="8" t="s">
        <v>43</v>
      </c>
      <c r="B27" s="2" t="s">
        <v>126</v>
      </c>
      <c r="C27" s="15" t="e">
        <f>VLOOKUP(A27,pixels_api!A:B,2,FALSE)</f>
        <v>#N/A</v>
      </c>
    </row>
    <row r="28" spans="1:3" x14ac:dyDescent="0.3">
      <c r="A28" s="8" t="s">
        <v>15</v>
      </c>
      <c r="B28" s="2" t="s">
        <v>113</v>
      </c>
      <c r="C28" s="15">
        <f>VLOOKUP(A28,pixels_api!A:B,2,FALSE)</f>
        <v>25000</v>
      </c>
    </row>
    <row r="29" spans="1:3" x14ac:dyDescent="0.3">
      <c r="A29" s="8" t="s">
        <v>44</v>
      </c>
      <c r="B29" s="2" t="s">
        <v>127</v>
      </c>
      <c r="C29" s="15">
        <f>VLOOKUP(A29,pixels_api!A:B,2,FALSE)</f>
        <v>145</v>
      </c>
    </row>
    <row r="30" spans="1:3" x14ac:dyDescent="0.3">
      <c r="A30" s="8" t="s">
        <v>16</v>
      </c>
      <c r="B30" s="2" t="s">
        <v>114</v>
      </c>
      <c r="C30" s="15">
        <f>VLOOKUP(A30,pixels_api!A:B,2,FALSE)</f>
        <v>1448</v>
      </c>
    </row>
    <row r="31" spans="1:3" x14ac:dyDescent="0.3">
      <c r="A31" s="8" t="s">
        <v>45</v>
      </c>
      <c r="B31" s="2" t="s">
        <v>128</v>
      </c>
      <c r="C31" s="15">
        <f>VLOOKUP(A31,pixels_api!A:B,2,FALSE)</f>
        <v>53</v>
      </c>
    </row>
    <row r="32" spans="1:3" x14ac:dyDescent="0.3">
      <c r="A32" s="8" t="s">
        <v>46</v>
      </c>
      <c r="B32" s="2" t="s">
        <v>173</v>
      </c>
      <c r="C32" s="15">
        <f>VLOOKUP(A32,pixels_api!A:B,2,FALSE)</f>
        <v>1349</v>
      </c>
    </row>
    <row r="33" spans="1:3" x14ac:dyDescent="0.3">
      <c r="A33" s="8" t="s">
        <v>48</v>
      </c>
      <c r="B33" s="2" t="s">
        <v>155</v>
      </c>
      <c r="C33" s="15">
        <f>VLOOKUP(A33,pixels_api!A:B,2,FALSE)</f>
        <v>119</v>
      </c>
    </row>
    <row r="34" spans="1:3" x14ac:dyDescent="0.3">
      <c r="A34" s="8" t="s">
        <v>49</v>
      </c>
      <c r="B34" s="2" t="s">
        <v>182</v>
      </c>
      <c r="C34" s="15">
        <f>VLOOKUP(A34,pixels_api!A:B,2,FALSE)</f>
        <v>445</v>
      </c>
    </row>
    <row r="35" spans="1:3" x14ac:dyDescent="0.3">
      <c r="A35" s="8" t="s">
        <v>47</v>
      </c>
      <c r="B35" s="2" t="s">
        <v>155</v>
      </c>
      <c r="C35" s="15">
        <f>VLOOKUP(A35,pixels_api!A:B,2,FALSE)</f>
        <v>64</v>
      </c>
    </row>
    <row r="36" spans="1:3" x14ac:dyDescent="0.3">
      <c r="A36" s="8" t="s">
        <v>50</v>
      </c>
      <c r="B36" s="2" t="s">
        <v>179</v>
      </c>
      <c r="C36" s="15">
        <f>VLOOKUP(A36,pixels_api!A:B,2,FALSE)</f>
        <v>246</v>
      </c>
    </row>
    <row r="37" spans="1:3" x14ac:dyDescent="0.3">
      <c r="A37" s="8" t="s">
        <v>51</v>
      </c>
      <c r="B37" s="2" t="s">
        <v>219</v>
      </c>
      <c r="C37" s="15" t="e">
        <f>VLOOKUP(A37,pixels_api!A:B,2,FALSE)</f>
        <v>#N/A</v>
      </c>
    </row>
    <row r="38" spans="1:3" x14ac:dyDescent="0.3">
      <c r="A38" s="8" t="s">
        <v>52</v>
      </c>
      <c r="B38" s="2" t="s">
        <v>170</v>
      </c>
      <c r="C38" s="15">
        <f>VLOOKUP(A38,pixels_api!A:B,2,FALSE)</f>
        <v>3490</v>
      </c>
    </row>
    <row r="39" spans="1:3" x14ac:dyDescent="0.3">
      <c r="A39" s="8" t="s">
        <v>53</v>
      </c>
      <c r="B39" s="2" t="s">
        <v>164</v>
      </c>
      <c r="C39" s="15">
        <f>VLOOKUP(A39,pixels_api!A:B,2,FALSE)</f>
        <v>73</v>
      </c>
    </row>
    <row r="40" spans="1:3" x14ac:dyDescent="0.3">
      <c r="A40" s="8" t="s">
        <v>54</v>
      </c>
      <c r="B40" s="2" t="s">
        <v>129</v>
      </c>
      <c r="C40" s="15" t="e">
        <f>VLOOKUP(A40,pixels_api!A:B,2,FALSE)</f>
        <v>#N/A</v>
      </c>
    </row>
    <row r="41" spans="1:3" x14ac:dyDescent="0.3">
      <c r="A41" s="8" t="s">
        <v>55</v>
      </c>
      <c r="B41" s="2" t="s">
        <v>130</v>
      </c>
      <c r="C41" s="15">
        <f>VLOOKUP(A41,pixels_api!A:B,2,FALSE)</f>
        <v>14</v>
      </c>
    </row>
    <row r="42" spans="1:3" x14ac:dyDescent="0.3">
      <c r="A42" s="8" t="s">
        <v>56</v>
      </c>
      <c r="B42" s="2" t="s">
        <v>131</v>
      </c>
      <c r="C42" s="15" t="e">
        <f>VLOOKUP(A42,pixels_api!A:B,2,FALSE)</f>
        <v>#N/A</v>
      </c>
    </row>
    <row r="43" spans="1:3" x14ac:dyDescent="0.3">
      <c r="A43" s="8" t="s">
        <v>57</v>
      </c>
      <c r="B43" s="2" t="s">
        <v>132</v>
      </c>
      <c r="C43" s="15">
        <f>VLOOKUP(A43,pixels_api!A:B,2,FALSE)</f>
        <v>7000</v>
      </c>
    </row>
    <row r="44" spans="1:3" x14ac:dyDescent="0.3">
      <c r="A44" s="8" t="s">
        <v>58</v>
      </c>
      <c r="B44" s="2" t="s">
        <v>133</v>
      </c>
      <c r="C44" s="15">
        <f>VLOOKUP(A44,pixels_api!A:B,2,FALSE)</f>
        <v>235</v>
      </c>
    </row>
    <row r="45" spans="1:3" x14ac:dyDescent="0.3">
      <c r="A45" s="8" t="s">
        <v>59</v>
      </c>
      <c r="B45" s="2" t="s">
        <v>174</v>
      </c>
      <c r="C45" s="15">
        <f>VLOOKUP(A45,pixels_api!A:B,2,FALSE)</f>
        <v>5899</v>
      </c>
    </row>
    <row r="46" spans="1:3" x14ac:dyDescent="0.3">
      <c r="A46" s="8" t="s">
        <v>59</v>
      </c>
      <c r="B46" s="2" t="s">
        <v>174</v>
      </c>
      <c r="C46" s="15">
        <f>VLOOKUP(A46,pixels_api!A:B,2,FALSE)</f>
        <v>5899</v>
      </c>
    </row>
    <row r="47" spans="1:3" x14ac:dyDescent="0.3">
      <c r="A47" s="8" t="s">
        <v>18</v>
      </c>
      <c r="B47" s="2" t="s">
        <v>154</v>
      </c>
      <c r="C47" s="15">
        <f>VLOOKUP(A47,pixels_api!A:B,2,FALSE)</f>
        <v>21</v>
      </c>
    </row>
    <row r="48" spans="1:3" x14ac:dyDescent="0.3">
      <c r="A48" s="8" t="s">
        <v>17</v>
      </c>
      <c r="B48" s="2" t="s">
        <v>181</v>
      </c>
      <c r="C48" s="15">
        <f>VLOOKUP(A48,pixels_api!A:B,2,FALSE)</f>
        <v>128</v>
      </c>
    </row>
    <row r="49" spans="1:3" x14ac:dyDescent="0.3">
      <c r="A49" s="8" t="s">
        <v>31</v>
      </c>
      <c r="B49" s="2" t="s">
        <v>198</v>
      </c>
      <c r="C49" s="15">
        <f>VLOOKUP(A49,pixels_api!A:B,2,FALSE)</f>
        <v>69</v>
      </c>
    </row>
    <row r="50" spans="1:3" x14ac:dyDescent="0.3">
      <c r="A50" s="8" t="s">
        <v>61</v>
      </c>
      <c r="B50" s="2" t="s">
        <v>134</v>
      </c>
      <c r="C50" s="15" t="e">
        <f>VLOOKUP(A50,pixels_api!A:B,2,FALSE)</f>
        <v>#N/A</v>
      </c>
    </row>
    <row r="51" spans="1:3" x14ac:dyDescent="0.3">
      <c r="A51" s="8" t="s">
        <v>62</v>
      </c>
      <c r="B51" s="2" t="s">
        <v>205</v>
      </c>
      <c r="C51" s="15" t="e">
        <f>VLOOKUP(A51,pixels_api!A:B,2,FALSE)</f>
        <v>#N/A</v>
      </c>
    </row>
    <row r="52" spans="1:3" x14ac:dyDescent="0.3">
      <c r="A52" s="8" t="s">
        <v>63</v>
      </c>
      <c r="B52" s="2" t="s">
        <v>194</v>
      </c>
      <c r="C52" s="15" t="e">
        <f>VLOOKUP(A52,pixels_api!A:B,2,FALSE)</f>
        <v>#N/A</v>
      </c>
    </row>
    <row r="53" spans="1:3" x14ac:dyDescent="0.3">
      <c r="A53" s="8" t="s">
        <v>64</v>
      </c>
      <c r="B53" s="2" t="s">
        <v>199</v>
      </c>
      <c r="C53" s="15" t="e">
        <f>VLOOKUP(A53,pixels_api!A:B,2,FALSE)</f>
        <v>#N/A</v>
      </c>
    </row>
    <row r="54" spans="1:3" x14ac:dyDescent="0.3">
      <c r="A54" s="8" t="s">
        <v>65</v>
      </c>
      <c r="B54" s="2" t="s">
        <v>189</v>
      </c>
      <c r="C54" s="15" t="e">
        <f>VLOOKUP(A54,pixels_api!A:B,2,FALSE)</f>
        <v>#N/A</v>
      </c>
    </row>
    <row r="55" spans="1:3" x14ac:dyDescent="0.3">
      <c r="A55" s="8" t="s">
        <v>290</v>
      </c>
      <c r="B55" s="2" t="s">
        <v>243</v>
      </c>
      <c r="C55" s="15">
        <f>VLOOKUP(A55,pixels_api!A:B,2,FALSE)</f>
        <v>950</v>
      </c>
    </row>
    <row r="56" spans="1:3" x14ac:dyDescent="0.3">
      <c r="A56" s="8" t="s">
        <v>66</v>
      </c>
      <c r="B56" s="2" t="s">
        <v>135</v>
      </c>
      <c r="C56" s="15">
        <f>VLOOKUP(A56,pixels_api!A:B,2,FALSE)</f>
        <v>138</v>
      </c>
    </row>
    <row r="57" spans="1:3" x14ac:dyDescent="0.3">
      <c r="A57" s="8" t="s">
        <v>67</v>
      </c>
      <c r="B57" s="2" t="s">
        <v>136</v>
      </c>
      <c r="C57" s="15">
        <f>VLOOKUP(A57,pixels_api!A:B,2,FALSE)</f>
        <v>3599</v>
      </c>
    </row>
    <row r="58" spans="1:3" x14ac:dyDescent="0.3">
      <c r="A58" s="8" t="s">
        <v>69</v>
      </c>
      <c r="B58" s="2" t="s">
        <v>158</v>
      </c>
      <c r="C58" s="15" t="e">
        <f>VLOOKUP(A58,pixels_api!A:B,2,FALSE)</f>
        <v>#N/A</v>
      </c>
    </row>
    <row r="59" spans="1:3" x14ac:dyDescent="0.3">
      <c r="A59" s="8" t="s">
        <v>68</v>
      </c>
      <c r="B59" s="2" t="s">
        <v>137</v>
      </c>
      <c r="C59" s="15" t="e">
        <f>VLOOKUP(A59,pixels_api!A:B,2,FALSE)</f>
        <v>#N/A</v>
      </c>
    </row>
    <row r="60" spans="1:3" x14ac:dyDescent="0.3">
      <c r="A60" s="8" t="s">
        <v>70</v>
      </c>
      <c r="B60" s="2" t="s">
        <v>9</v>
      </c>
      <c r="C60" s="15">
        <f>VLOOKUP(A60,pixels_api!A:B,2,FALSE)</f>
        <v>159</v>
      </c>
    </row>
    <row r="61" spans="1:3" x14ac:dyDescent="0.3">
      <c r="A61" s="8" t="s">
        <v>60</v>
      </c>
      <c r="B61" s="2" t="s">
        <v>201</v>
      </c>
      <c r="C61" s="15">
        <f>VLOOKUP(A61,pixels_api!A:B,2,FALSE)</f>
        <v>1288</v>
      </c>
    </row>
    <row r="62" spans="1:3" x14ac:dyDescent="0.3">
      <c r="A62" s="8" t="s">
        <v>71</v>
      </c>
      <c r="B62" s="2" t="s">
        <v>138</v>
      </c>
      <c r="C62" s="15">
        <f>VLOOKUP(A62,pixels_api!A:B,2,FALSE)</f>
        <v>105</v>
      </c>
    </row>
    <row r="63" spans="1:3" x14ac:dyDescent="0.3">
      <c r="A63" s="8" t="s">
        <v>72</v>
      </c>
      <c r="B63" s="2" t="s">
        <v>139</v>
      </c>
      <c r="C63" s="15">
        <f>VLOOKUP(A63,pixels_api!A:B,2,FALSE)</f>
        <v>152</v>
      </c>
    </row>
    <row r="64" spans="1:3" x14ac:dyDescent="0.3">
      <c r="A64" s="8" t="s">
        <v>73</v>
      </c>
      <c r="B64" s="2" t="s">
        <v>140</v>
      </c>
      <c r="C64" s="15">
        <f>VLOOKUP(A64,pixels_api!A:B,2,FALSE)</f>
        <v>2663</v>
      </c>
    </row>
    <row r="65" spans="1:3" x14ac:dyDescent="0.3">
      <c r="A65" s="8" t="s">
        <v>74</v>
      </c>
      <c r="B65" s="2" t="s">
        <v>162</v>
      </c>
      <c r="C65" s="15">
        <f>VLOOKUP(A65,pixels_api!A:B,2,FALSE)</f>
        <v>42</v>
      </c>
    </row>
    <row r="66" spans="1:3" x14ac:dyDescent="0.3">
      <c r="A66" s="8" t="s">
        <v>75</v>
      </c>
      <c r="B66" s="2" t="s">
        <v>195</v>
      </c>
      <c r="C66" s="15">
        <f>VLOOKUP(A66,pixels_api!A:B,2,FALSE)</f>
        <v>397</v>
      </c>
    </row>
    <row r="67" spans="1:3" x14ac:dyDescent="0.3">
      <c r="A67" s="8" t="s">
        <v>76</v>
      </c>
      <c r="B67" s="2" t="s">
        <v>202</v>
      </c>
      <c r="C67" s="15">
        <f>VLOOKUP(A67,pixels_api!A:B,2,FALSE)</f>
        <v>108</v>
      </c>
    </row>
    <row r="68" spans="1:3" x14ac:dyDescent="0.3">
      <c r="A68" s="8" t="s">
        <v>77</v>
      </c>
      <c r="B68" s="2" t="s">
        <v>169</v>
      </c>
      <c r="C68" s="15">
        <f>VLOOKUP(A68,pixels_api!A:B,2,FALSE)</f>
        <v>1000</v>
      </c>
    </row>
    <row r="69" spans="1:3" x14ac:dyDescent="0.3">
      <c r="A69" s="8" t="s">
        <v>78</v>
      </c>
      <c r="B69" s="2" t="s">
        <v>150</v>
      </c>
      <c r="C69" s="15">
        <f>VLOOKUP(A69,pixels_api!A:B,2,FALSE)</f>
        <v>999</v>
      </c>
    </row>
    <row r="70" spans="1:3" x14ac:dyDescent="0.3">
      <c r="A70" s="8" t="s">
        <v>19</v>
      </c>
      <c r="B70" s="2" t="s">
        <v>152</v>
      </c>
      <c r="C70" s="15">
        <f>VLOOKUP(A70,pixels_api!A:B,2,FALSE)</f>
        <v>88</v>
      </c>
    </row>
    <row r="71" spans="1:3" x14ac:dyDescent="0.3">
      <c r="A71" s="8" t="s">
        <v>106</v>
      </c>
      <c r="B71" s="2" t="s">
        <v>151</v>
      </c>
      <c r="C71" s="15">
        <f>VLOOKUP(A71,pixels_api!A:B,2,FALSE)</f>
        <v>987</v>
      </c>
    </row>
    <row r="72" spans="1:3" x14ac:dyDescent="0.3">
      <c r="A72" s="8" t="s">
        <v>79</v>
      </c>
      <c r="B72" s="2" t="s">
        <v>183</v>
      </c>
      <c r="C72" s="15">
        <f>VLOOKUP(A72,pixels_api!A:B,2,FALSE)</f>
        <v>87</v>
      </c>
    </row>
    <row r="73" spans="1:3" x14ac:dyDescent="0.3">
      <c r="A73" s="8" t="s">
        <v>80</v>
      </c>
      <c r="B73" s="2" t="s">
        <v>187</v>
      </c>
      <c r="C73" s="15">
        <f>VLOOKUP(A73,pixels_api!A:B,2,FALSE)</f>
        <v>485</v>
      </c>
    </row>
    <row r="74" spans="1:3" x14ac:dyDescent="0.3">
      <c r="A74" s="8" t="s">
        <v>81</v>
      </c>
      <c r="B74" s="2" t="s">
        <v>197</v>
      </c>
      <c r="C74" s="15">
        <f>VLOOKUP(A74,pixels_api!A:B,2,FALSE)</f>
        <v>236</v>
      </c>
    </row>
    <row r="75" spans="1:3" x14ac:dyDescent="0.3">
      <c r="A75" s="8" t="s">
        <v>82</v>
      </c>
      <c r="B75" s="2" t="s">
        <v>185</v>
      </c>
      <c r="C75" s="15">
        <f>VLOOKUP(A75,pixels_api!A:B,2,FALSE)</f>
        <v>2961</v>
      </c>
    </row>
    <row r="76" spans="1:3" x14ac:dyDescent="0.3">
      <c r="A76" s="8" t="s">
        <v>83</v>
      </c>
      <c r="B76" s="2" t="s">
        <v>161</v>
      </c>
      <c r="C76" s="15">
        <f>VLOOKUP(A76,pixels_api!A:B,2,FALSE)</f>
        <v>102</v>
      </c>
    </row>
    <row r="77" spans="1:3" x14ac:dyDescent="0.3">
      <c r="A77" s="8" t="s">
        <v>84</v>
      </c>
      <c r="B77" s="2" t="s">
        <v>141</v>
      </c>
      <c r="C77" s="15" t="e">
        <f>VLOOKUP(A77,pixels_api!A:B,2,FALSE)</f>
        <v>#N/A</v>
      </c>
    </row>
    <row r="78" spans="1:3" x14ac:dyDescent="0.3">
      <c r="A78" s="8" t="s">
        <v>85</v>
      </c>
      <c r="B78" s="2" t="s">
        <v>142</v>
      </c>
      <c r="C78" s="15" t="e">
        <f>VLOOKUP(A78,pixels_api!A:B,2,FALSE)</f>
        <v>#N/A</v>
      </c>
    </row>
    <row r="79" spans="1:3" x14ac:dyDescent="0.3">
      <c r="A79" s="8" t="s">
        <v>20</v>
      </c>
      <c r="B79" s="2" t="s">
        <v>115</v>
      </c>
      <c r="C79" s="15">
        <f>VLOOKUP(A79,pixels_api!A:B,2,FALSE)</f>
        <v>460</v>
      </c>
    </row>
    <row r="80" spans="1:3" x14ac:dyDescent="0.3">
      <c r="A80" s="8" t="s">
        <v>86</v>
      </c>
      <c r="B80" s="2" t="s">
        <v>165</v>
      </c>
      <c r="C80" s="15">
        <f>VLOOKUP(A80,pixels_api!A:B,2,FALSE)</f>
        <v>795</v>
      </c>
    </row>
    <row r="81" spans="1:3" x14ac:dyDescent="0.3">
      <c r="A81" s="8" t="s">
        <v>87</v>
      </c>
      <c r="B81" s="2" t="s">
        <v>180</v>
      </c>
      <c r="C81" s="15">
        <f>VLOOKUP(A81,pixels_api!A:B,2,FALSE)</f>
        <v>9</v>
      </c>
    </row>
    <row r="82" spans="1:3" x14ac:dyDescent="0.3">
      <c r="A82" s="8" t="s">
        <v>88</v>
      </c>
      <c r="B82" s="2" t="s">
        <v>172</v>
      </c>
      <c r="C82" s="15">
        <f>VLOOKUP(A82,pixels_api!A:B,2,FALSE)</f>
        <v>232</v>
      </c>
    </row>
    <row r="83" spans="1:3" x14ac:dyDescent="0.3">
      <c r="A83" s="8" t="s">
        <v>89</v>
      </c>
      <c r="B83" s="2" t="s">
        <v>171</v>
      </c>
      <c r="C83" s="15">
        <f>VLOOKUP(A83,pixels_api!A:B,2,FALSE)</f>
        <v>117</v>
      </c>
    </row>
    <row r="84" spans="1:3" x14ac:dyDescent="0.3">
      <c r="A84" s="8" t="s">
        <v>90</v>
      </c>
      <c r="B84" s="2" t="s">
        <v>167</v>
      </c>
      <c r="C84" s="15">
        <f>VLOOKUP(A84,pixels_api!A:B,2,FALSE)</f>
        <v>340</v>
      </c>
    </row>
    <row r="85" spans="1:3" x14ac:dyDescent="0.3">
      <c r="A85" s="8" t="s">
        <v>110</v>
      </c>
      <c r="B85" s="2" t="s">
        <v>207</v>
      </c>
      <c r="C85" s="15">
        <v>0</v>
      </c>
    </row>
    <row r="86" spans="1:3" x14ac:dyDescent="0.3">
      <c r="A86" s="8" t="s">
        <v>91</v>
      </c>
      <c r="B86" s="2" t="s">
        <v>143</v>
      </c>
      <c r="C86" s="15" t="e">
        <f>VLOOKUP(A86,pixels_api!A:B,2,FALSE)</f>
        <v>#N/A</v>
      </c>
    </row>
    <row r="87" spans="1:3" x14ac:dyDescent="0.3">
      <c r="A87" s="8" t="s">
        <v>92</v>
      </c>
      <c r="B87" s="2" t="s">
        <v>144</v>
      </c>
      <c r="C87" s="15" t="e">
        <f>VLOOKUP(A87,pixels_api!A:B,2,FALSE)</f>
        <v>#N/A</v>
      </c>
    </row>
    <row r="88" spans="1:3" x14ac:dyDescent="0.3">
      <c r="A88" s="8" t="s">
        <v>93</v>
      </c>
      <c r="B88" s="2" t="s">
        <v>145</v>
      </c>
      <c r="C88" s="15" t="e">
        <f>VLOOKUP(A88,pixels_api!A:B,2,FALSE)</f>
        <v>#N/A</v>
      </c>
    </row>
    <row r="89" spans="1:3" x14ac:dyDescent="0.3">
      <c r="A89" s="8" t="s">
        <v>94</v>
      </c>
      <c r="B89" s="2" t="s">
        <v>190</v>
      </c>
      <c r="C89" s="15" t="e">
        <f>VLOOKUP(A89,pixels_api!A:B,2,FALSE)</f>
        <v>#N/A</v>
      </c>
    </row>
    <row r="90" spans="1:3" x14ac:dyDescent="0.3">
      <c r="A90" s="8" t="s">
        <v>95</v>
      </c>
      <c r="B90" s="2" t="s">
        <v>192</v>
      </c>
      <c r="C90" s="15" t="e">
        <f>VLOOKUP(A90,pixels_api!A:B,2,FALSE)</f>
        <v>#N/A</v>
      </c>
    </row>
    <row r="91" spans="1:3" x14ac:dyDescent="0.3">
      <c r="A91" s="8" t="s">
        <v>96</v>
      </c>
      <c r="B91" s="2" t="s">
        <v>196</v>
      </c>
      <c r="C91" s="15" t="e">
        <f>VLOOKUP(A91,pixels_api!A:B,2,FALSE)</f>
        <v>#N/A</v>
      </c>
    </row>
    <row r="92" spans="1:3" x14ac:dyDescent="0.3">
      <c r="A92" s="8" t="s">
        <v>97</v>
      </c>
      <c r="B92" s="2" t="s">
        <v>146</v>
      </c>
      <c r="C92" s="15" t="e">
        <f>VLOOKUP(A92,pixels_api!A:B,2,FALSE)</f>
        <v>#N/A</v>
      </c>
    </row>
    <row r="93" spans="1:3" x14ac:dyDescent="0.3">
      <c r="A93" s="8" t="s">
        <v>99</v>
      </c>
      <c r="B93" s="2" t="s">
        <v>147</v>
      </c>
      <c r="C93" s="15" t="e">
        <f>VLOOKUP(A93,pixels_api!A:B,2,FALSE)</f>
        <v>#N/A</v>
      </c>
    </row>
    <row r="94" spans="1:3" x14ac:dyDescent="0.3">
      <c r="A94" s="8" t="s">
        <v>100</v>
      </c>
      <c r="B94" s="2" t="s">
        <v>148</v>
      </c>
      <c r="C94" s="15" t="e">
        <f>VLOOKUP(A94,pixels_api!A:B,2,FALSE)</f>
        <v>#N/A</v>
      </c>
    </row>
    <row r="95" spans="1:3" x14ac:dyDescent="0.3">
      <c r="A95" s="8" t="s">
        <v>104</v>
      </c>
      <c r="B95" s="2" t="s">
        <v>208</v>
      </c>
      <c r="C95" s="15" t="e">
        <f>VLOOKUP(A95,pixels_api!A:B,2,FALSE)</f>
        <v>#N/A</v>
      </c>
    </row>
    <row r="96" spans="1:3" x14ac:dyDescent="0.3">
      <c r="A96" s="8" t="s">
        <v>105</v>
      </c>
      <c r="B96" s="2" t="s">
        <v>149</v>
      </c>
      <c r="C96" s="15" t="e">
        <f>VLOOKUP(A96,pixels_api!A:B,2,FALSE)</f>
        <v>#N/A</v>
      </c>
    </row>
    <row r="97" spans="1:3" x14ac:dyDescent="0.3">
      <c r="A97" s="8" t="s">
        <v>21</v>
      </c>
      <c r="B97" s="2" t="s">
        <v>116</v>
      </c>
      <c r="C97" s="15" t="e">
        <f>VLOOKUP(A97,pixels_api!A:B,2,FALSE)</f>
        <v>#N/A</v>
      </c>
    </row>
    <row r="98" spans="1:3" x14ac:dyDescent="0.3">
      <c r="A98" s="8" t="s">
        <v>107</v>
      </c>
      <c r="B98" s="2" t="s">
        <v>159</v>
      </c>
      <c r="C98" s="15">
        <f>VLOOKUP(A98,pixels_api!A:B,2,FALSE)</f>
        <v>524</v>
      </c>
    </row>
    <row r="99" spans="1:3" x14ac:dyDescent="0.3">
      <c r="A99" s="8" t="s">
        <v>108</v>
      </c>
      <c r="B99" s="2" t="s">
        <v>156</v>
      </c>
      <c r="C99" s="15">
        <f>VLOOKUP(A99,pixels_api!A:B,2,FALSE)</f>
        <v>79</v>
      </c>
    </row>
    <row r="100" spans="1:3" x14ac:dyDescent="0.3">
      <c r="A100" s="8" t="s">
        <v>109</v>
      </c>
      <c r="B100" s="2" t="s">
        <v>160</v>
      </c>
      <c r="C100" s="15">
        <f>VLOOKUP(A100,pixels_api!A:B,2,FALSE)</f>
        <v>2400</v>
      </c>
    </row>
    <row r="101" spans="1:3" x14ac:dyDescent="0.3">
      <c r="A101" s="22" t="s">
        <v>24</v>
      </c>
      <c r="B101" s="21" t="s">
        <v>153</v>
      </c>
      <c r="C101" s="15">
        <f>VLOOKUP(A101,pixels_api!A:B,2,FALSE)</f>
        <v>79</v>
      </c>
    </row>
    <row r="102" spans="1:3" x14ac:dyDescent="0.3">
      <c r="A102" s="22" t="s">
        <v>111</v>
      </c>
      <c r="B102" s="21" t="s">
        <v>178</v>
      </c>
      <c r="C102" s="15">
        <f>VLOOKUP(A102,pixels_api!A:B,2,FALSE)</f>
        <v>885</v>
      </c>
    </row>
    <row r="103" spans="1:3" x14ac:dyDescent="0.3">
      <c r="A103" t="s">
        <v>22</v>
      </c>
      <c r="B103" t="s">
        <v>119</v>
      </c>
      <c r="C103" s="16" t="e">
        <f>VLOOKUP(A103,pixels_api!A:B,2,FALSE)</f>
        <v>#N/A</v>
      </c>
    </row>
    <row r="104" spans="1:3" x14ac:dyDescent="0.3">
      <c r="A104" t="s">
        <v>23</v>
      </c>
      <c r="B104" t="s">
        <v>120</v>
      </c>
      <c r="C104" s="16" t="e">
        <f>VLOOKUP(A104,pixels_api!A:B,2,FALSE)</f>
        <v>#N/A</v>
      </c>
    </row>
    <row r="105" spans="1:3" x14ac:dyDescent="0.3">
      <c r="A105" t="s">
        <v>110</v>
      </c>
      <c r="B105" t="s">
        <v>207</v>
      </c>
      <c r="C105" s="16">
        <f>VLOOKUP(A105,pixels_api!A:B,2,FALSE)</f>
        <v>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15E31-052A-428F-AC42-5FA84063035A}">
  <sheetPr codeName="Sheet7"/>
  <dimension ref="A1:L61"/>
  <sheetViews>
    <sheetView showGridLines="0" topLeftCell="E1" workbookViewId="0">
      <selection activeCell="S45" sqref="S45"/>
    </sheetView>
  </sheetViews>
  <sheetFormatPr defaultRowHeight="14.4" x14ac:dyDescent="0.3"/>
  <cols>
    <col min="1" max="1" width="10" hidden="1" customWidth="1"/>
    <col min="2" max="2" width="11.6640625" hidden="1" customWidth="1"/>
    <col min="3" max="3" width="17.44140625" hidden="1" customWidth="1"/>
    <col min="4" max="4" width="9.33203125" style="1" hidden="1" customWidth="1"/>
    <col min="5" max="5" width="13.88671875" bestFit="1" customWidth="1"/>
    <col min="6" max="6" width="15.109375" style="32" hidden="1" customWidth="1"/>
    <col min="7" max="7" width="14.88671875" style="44" customWidth="1"/>
    <col min="8" max="8" width="8.5546875" style="44" bestFit="1" customWidth="1"/>
    <col min="9" max="9" width="14.109375" style="44" customWidth="1"/>
    <col min="10" max="10" width="8" style="5" customWidth="1"/>
    <col min="11" max="11" width="8.88671875" style="5" hidden="1" customWidth="1"/>
    <col min="12" max="12" width="17.109375" style="7" hidden="1" customWidth="1"/>
  </cols>
  <sheetData>
    <row r="1" spans="1:12" x14ac:dyDescent="0.3">
      <c r="A1" s="45" t="s">
        <v>305</v>
      </c>
      <c r="B1" s="46" t="s">
        <v>0</v>
      </c>
      <c r="C1" s="46" t="s">
        <v>315</v>
      </c>
      <c r="D1" s="47" t="s">
        <v>4</v>
      </c>
      <c r="E1" s="46" t="s">
        <v>1</v>
      </c>
      <c r="F1" s="48" t="s">
        <v>5</v>
      </c>
      <c r="G1" s="53" t="s">
        <v>306</v>
      </c>
      <c r="H1" s="49" t="s">
        <v>7</v>
      </c>
      <c r="I1" s="49" t="s">
        <v>8</v>
      </c>
      <c r="J1" s="50" t="s">
        <v>312</v>
      </c>
      <c r="K1" s="52" t="s">
        <v>321</v>
      </c>
      <c r="L1" s="43" t="s">
        <v>313</v>
      </c>
    </row>
    <row r="2" spans="1:12" x14ac:dyDescent="0.3">
      <c r="A2" s="2" t="s">
        <v>303</v>
      </c>
      <c r="B2" s="2" t="s">
        <v>224</v>
      </c>
      <c r="C2" s="2" t="s">
        <v>253</v>
      </c>
      <c r="D2" s="4">
        <v>23</v>
      </c>
      <c r="E2" s="2" t="s">
        <v>133</v>
      </c>
      <c r="F2" s="3">
        <f>IF(A2="Resource",0,VLOOKUP(D2,Crafting!B:O,9,FALSE))</f>
        <v>0</v>
      </c>
      <c r="G2" s="51">
        <f>IF(A2="Resource",VLOOKUP(D2,Resources!B:G,5,FALSE),VLOOKUP(D2,Crafting!B:O,11,FALSE))</f>
        <v>10.5</v>
      </c>
      <c r="H2" s="51">
        <f>_xlfn.IFNA(VLOOKUP(Table9[[#This Row],[PRODUCT]],MARKET_id!B:C,2,FALSE),"no dsata")</f>
        <v>235</v>
      </c>
      <c r="I2" s="51" t="str">
        <f>IF(A2="Resource",VLOOKUP(D2,Resources!B:L,7,FALSE),VLOOKUP(D2,Crafting!B:O,13,FALSE))</f>
        <v>NA</v>
      </c>
      <c r="J2" s="37" t="str">
        <f>IF(A2="Resource",VLOOKUP(D2,Resources!B:L,11,FALSE),VLOOKUP(D2,Crafting!B:O,14,FALSE))</f>
        <v>NA</v>
      </c>
      <c r="K2" s="37">
        <f>SUMIF(C:C,Table9[[#This Row],[sub_industry]],I:II)</f>
        <v>0</v>
      </c>
      <c r="L2" s="6">
        <f>SUMIF(C:C,Table9[[#This Row],[sub_industry]],J:J)</f>
        <v>0</v>
      </c>
    </row>
    <row r="3" spans="1:12" x14ac:dyDescent="0.3">
      <c r="A3" s="2" t="s">
        <v>303</v>
      </c>
      <c r="B3" s="2" t="s">
        <v>224</v>
      </c>
      <c r="C3" s="2" t="s">
        <v>257</v>
      </c>
      <c r="D3" s="4">
        <v>27</v>
      </c>
      <c r="E3" s="2" t="s">
        <v>218</v>
      </c>
      <c r="F3" s="3">
        <f>IF(A3="Resource",0,VLOOKUP(D3,Crafting!B:O,9,FALSE))</f>
        <v>1</v>
      </c>
      <c r="G3" s="51">
        <f>IF(A3="Resource",VLOOKUP(D3,Resources!B:G,5,FALSE),VLOOKUP(D3,Crafting!B:O,11,FALSE))</f>
        <v>3.5</v>
      </c>
      <c r="H3" s="51" t="str">
        <f>_xlfn.IFNA(VLOOKUP(Table9[[#This Row],[PRODUCT]],MARKET_id!B:C,2,FALSE),"no dsata")</f>
        <v>no dsata</v>
      </c>
      <c r="I3" s="51" t="str">
        <f>IF(A3="Resource",VLOOKUP(D3,Resources!B:L,7,FALSE),VLOOKUP(D3,Crafting!B:O,13,FALSE))</f>
        <v>NA</v>
      </c>
      <c r="J3" s="37" t="str">
        <f>IF(A3="Resource",VLOOKUP(D3,Resources!B:L,11,FALSE),VLOOKUP(D3,Crafting!B:O,14,FALSE))</f>
        <v>NA</v>
      </c>
      <c r="K3" s="37">
        <f>SUMIF(C:C,Table9[[#This Row],[sub_industry]],I:II)</f>
        <v>0</v>
      </c>
      <c r="L3" s="6">
        <f>SUMIF(C:C,Table9[[#This Row],[sub_industry]],J:J)</f>
        <v>0</v>
      </c>
    </row>
    <row r="4" spans="1:12" hidden="1" x14ac:dyDescent="0.3">
      <c r="A4" s="2" t="s">
        <v>303</v>
      </c>
      <c r="B4" s="2" t="s">
        <v>301</v>
      </c>
      <c r="C4" s="2" t="str">
        <f>_xlfn.CONCAT(Table9[[#This Row],[INDUSTRY]],"-",Table9[[#This Row],[PRODUCT]])</f>
        <v>Woodwork-Plank</v>
      </c>
      <c r="D4" s="4">
        <v>55</v>
      </c>
      <c r="E4" s="2" t="s">
        <v>139</v>
      </c>
      <c r="F4" s="3">
        <f>IF(A4="Resource",0,VLOOKUP(D4,Crafting!B:O,9,FALSE))</f>
        <v>0</v>
      </c>
      <c r="G4" s="51">
        <f>IF(A4="Resource",VLOOKUP(D4,Resources!B:G,5,FALSE),VLOOKUP(D4,Crafting!B:O,11,FALSE))</f>
        <v>3</v>
      </c>
      <c r="H4" s="51">
        <f>_xlfn.IFNA(VLOOKUP(Table9[[#This Row],[PRODUCT]],MARKET_id!B:C,2,FALSE),"no dsata")</f>
        <v>152</v>
      </c>
      <c r="I4" s="51" t="str">
        <f>IF(A4="Resource",VLOOKUP(D4,Resources!B:L,7,FALSE),VLOOKUP(D4,Crafting!B:O,13,FALSE))</f>
        <v>NA</v>
      </c>
      <c r="J4" s="37" t="str">
        <f>IF(A4="Resource",VLOOKUP(D4,Resources!B:L,11,FALSE),VLOOKUP(D4,Crafting!B:O,14,FALSE))</f>
        <v>NA</v>
      </c>
      <c r="K4" s="37">
        <f>SUMIF(C:C,Table9[[#This Row],[sub_industry]],I:II)</f>
        <v>0</v>
      </c>
      <c r="L4" s="6">
        <f>SUMIF(C:C,Table9[[#This Row],[sub_industry]],J:J)</f>
        <v>0</v>
      </c>
    </row>
    <row r="5" spans="1:12" hidden="1" x14ac:dyDescent="0.3">
      <c r="A5" s="2" t="s">
        <v>303</v>
      </c>
      <c r="B5" s="2" t="s">
        <v>301</v>
      </c>
      <c r="C5" s="2" t="str">
        <f>_xlfn.CONCAT(Table9[[#This Row],[INDUSTRY]],"-",Table9[[#This Row],[PRODUCT]])</f>
        <v>Woodwork-Wood Beam</v>
      </c>
      <c r="D5" s="4">
        <v>57</v>
      </c>
      <c r="E5" s="2" t="s">
        <v>302</v>
      </c>
      <c r="F5" s="3">
        <f>IF(A5="Resource",0,VLOOKUP(D5,Crafting!B:O,9,FALSE))</f>
        <v>1508</v>
      </c>
      <c r="G5" s="51">
        <f>IF(A5="Resource",VLOOKUP(D5,Resources!B:G,5,FALSE),VLOOKUP(D5,Crafting!B:O,11,FALSE))</f>
        <v>4</v>
      </c>
      <c r="H5" s="51" t="str">
        <f>_xlfn.IFNA(VLOOKUP(Table9[[#This Row],[PRODUCT]],MARKET_id!B:C,2,FALSE),"no dsata")</f>
        <v>no dsata</v>
      </c>
      <c r="I5" s="51" t="str">
        <f>IF(A5="Resource",VLOOKUP(D5,Resources!B:L,7,FALSE),VLOOKUP(D5,Crafting!B:O,13,FALSE))</f>
        <v>NA</v>
      </c>
      <c r="J5" s="37" t="str">
        <f>IF(A5="Resource",VLOOKUP(D5,Resources!B:L,11,FALSE),VLOOKUP(D5,Crafting!B:O,14,FALSE))</f>
        <v>NA</v>
      </c>
      <c r="K5" s="37">
        <f>SUMIF(C:C,Table9[[#This Row],[sub_industry]],I:II)</f>
        <v>0</v>
      </c>
      <c r="L5" s="6">
        <f>SUMIF(C:C,Table9[[#This Row],[sub_industry]],J:J)</f>
        <v>0</v>
      </c>
    </row>
    <row r="6" spans="1:12" hidden="1" x14ac:dyDescent="0.3">
      <c r="A6" s="2" t="s">
        <v>303</v>
      </c>
      <c r="B6" s="2" t="s">
        <v>301</v>
      </c>
      <c r="C6" s="2" t="str">
        <f>_xlfn.CONCAT(Table9[[#This Row],[INDUSTRY]],"-",Table9[[#This Row],[PRODUCT]])</f>
        <v>Woodwork-Wood Beam</v>
      </c>
      <c r="D6" s="4">
        <v>58</v>
      </c>
      <c r="E6" s="2" t="s">
        <v>302</v>
      </c>
      <c r="F6" s="3">
        <f>IF(A6="Resource",0,VLOOKUP(D6,Crafting!B:O,9,FALSE))</f>
        <v>10312</v>
      </c>
      <c r="G6" s="51">
        <f>IF(A6="Resource",VLOOKUP(D6,Resources!B:G,5,FALSE),VLOOKUP(D6,Crafting!B:O,11,FALSE))</f>
        <v>48</v>
      </c>
      <c r="H6" s="51" t="str">
        <f>_xlfn.IFNA(VLOOKUP(Table9[[#This Row],[PRODUCT]],MARKET_id!B:C,2,FALSE),"no dsata")</f>
        <v>no dsata</v>
      </c>
      <c r="I6" s="51" t="str">
        <f>IF(A6="Resource",VLOOKUP(D6,Resources!B:L,7,FALSE),VLOOKUP(D6,Crafting!B:O,13,FALSE))</f>
        <v>NA</v>
      </c>
      <c r="J6" s="37" t="str">
        <f>IF(A6="Resource",VLOOKUP(D6,Resources!B:L,11,FALSE),VLOOKUP(D6,Crafting!B:O,14,FALSE))</f>
        <v>NA</v>
      </c>
      <c r="K6" s="37">
        <f>SUMIF(C:C,Table9[[#This Row],[sub_industry]],I:II)</f>
        <v>0</v>
      </c>
      <c r="L6" s="6">
        <f>SUMIF(C:C,Table9[[#This Row],[sub_industry]],J:J)</f>
        <v>0</v>
      </c>
    </row>
    <row r="7" spans="1:12" hidden="1" x14ac:dyDescent="0.3">
      <c r="A7" s="2" t="s">
        <v>303</v>
      </c>
      <c r="B7" s="2" t="s">
        <v>225</v>
      </c>
      <c r="C7" s="2" t="str">
        <f>_xlfn.CONCAT(Table9[[#This Row],[INDUSTRY]],"-",Table9[[#This Row],[PRODUCT]])</f>
        <v>Cooking-Popberry Pie</v>
      </c>
      <c r="D7" s="4">
        <v>29</v>
      </c>
      <c r="E7" s="2" t="s">
        <v>202</v>
      </c>
      <c r="F7" s="3">
        <f>IF(A7="Resource",0,VLOOKUP(D7,Crafting!B:O,9,FALSE))</f>
        <v>94</v>
      </c>
      <c r="G7" s="51">
        <f>IF(A7="Resource",VLOOKUP(D7,Resources!B:G,5,FALSE),VLOOKUP(D7,Crafting!B:O,11,FALSE))</f>
        <v>0</v>
      </c>
      <c r="H7" s="51">
        <f>_xlfn.IFNA(VLOOKUP(Table9[[#This Row],[PRODUCT]],MARKET_id!B:C,2,FALSE),"no dsata")</f>
        <v>108</v>
      </c>
      <c r="I7" s="51">
        <f>IF(A7="Resource",VLOOKUP(D7,Resources!B:L,7,FALSE),VLOOKUP(D7,Crafting!B:O,13,FALSE))</f>
        <v>12.920000000000002</v>
      </c>
      <c r="J7" s="37" t="str">
        <f>IF(A7="Resource",VLOOKUP(D7,Resources!B:L,11,FALSE),VLOOKUP(D7,Crafting!B:O,14,FALSE))</f>
        <v>inf</v>
      </c>
      <c r="K7" s="37">
        <f>SUMIF(C:C,Table9[[#This Row],[sub_industry]],I:II)</f>
        <v>12.920000000000002</v>
      </c>
      <c r="L7" s="6">
        <f>SUMIF(C:C,Table9[[#This Row],[sub_industry]],J:J)</f>
        <v>0</v>
      </c>
    </row>
    <row r="8" spans="1:12" hidden="1" x14ac:dyDescent="0.3">
      <c r="A8" s="2" t="s">
        <v>303</v>
      </c>
      <c r="B8" s="2" t="s">
        <v>225</v>
      </c>
      <c r="C8" s="2" t="str">
        <f>_xlfn.CONCAT(Table9[[#This Row],[INDUSTRY]],"-",Table9[[#This Row],[PRODUCT]])</f>
        <v>Cooking-Popberry Loaf</v>
      </c>
      <c r="D8" s="4">
        <v>30</v>
      </c>
      <c r="E8" s="2" t="s">
        <v>195</v>
      </c>
      <c r="F8" s="3">
        <f>IF(A8="Resource",0,VLOOKUP(D8,Crafting!B:O,9,FALSE))</f>
        <v>283</v>
      </c>
      <c r="G8" s="51">
        <f>IF(A8="Resource",VLOOKUP(D8,Resources!B:G,5,FALSE),VLOOKUP(D8,Crafting!B:O,11,FALSE))</f>
        <v>0</v>
      </c>
      <c r="H8" s="51">
        <f>_xlfn.IFNA(VLOOKUP(Table9[[#This Row],[PRODUCT]],MARKET_id!B:C,2,FALSE),"no dsata")</f>
        <v>397</v>
      </c>
      <c r="I8" s="51">
        <f>IF(A8="Resource",VLOOKUP(D8,Resources!B:L,7,FALSE),VLOOKUP(D8,Crafting!B:O,13,FALSE))</f>
        <v>110.02999999999997</v>
      </c>
      <c r="J8" s="37" t="str">
        <f>IF(A8="Resource",VLOOKUP(D8,Resources!B:L,11,FALSE),VLOOKUP(D8,Crafting!B:O,14,FALSE))</f>
        <v>inf</v>
      </c>
      <c r="K8" s="37">
        <f>SUMIF(C:C,Table9[[#This Row],[sub_industry]],I:II)</f>
        <v>110.02999999999997</v>
      </c>
      <c r="L8" s="6">
        <f>SUMIF(C:C,Table9[[#This Row],[sub_industry]],J:J)</f>
        <v>0</v>
      </c>
    </row>
    <row r="9" spans="1:12" hidden="1" x14ac:dyDescent="0.3">
      <c r="A9" s="2" t="s">
        <v>303</v>
      </c>
      <c r="B9" s="2" t="s">
        <v>225</v>
      </c>
      <c r="C9" s="2" t="str">
        <f>_xlfn.CONCAT(Table9[[#This Row],[INDUSTRY]],"-",Table9[[#This Row],[PRODUCT]])</f>
        <v>Cooking-Pancakes</v>
      </c>
      <c r="D9" s="4">
        <v>31</v>
      </c>
      <c r="E9" s="2" t="s">
        <v>9</v>
      </c>
      <c r="F9" s="3">
        <f>IF(A9="Resource",0,VLOOKUP(D9,Crafting!B:O,9,FALSE))</f>
        <v>136</v>
      </c>
      <c r="G9" s="51">
        <f>IF(A9="Resource",VLOOKUP(D9,Resources!B:G,5,FALSE),VLOOKUP(D9,Crafting!B:O,11,FALSE))</f>
        <v>0</v>
      </c>
      <c r="H9" s="51">
        <f>_xlfn.IFNA(VLOOKUP(Table9[[#This Row],[PRODUCT]],MARKET_id!B:C,2,FALSE),"no dsata")</f>
        <v>159</v>
      </c>
      <c r="I9" s="51">
        <f>IF(A9="Resource",VLOOKUP(D9,Resources!B:L,7,FALSE),VLOOKUP(D9,Crafting!B:O,13,FALSE))</f>
        <v>21.409999999999997</v>
      </c>
      <c r="J9" s="37" t="str">
        <f>IF(A9="Resource",VLOOKUP(D9,Resources!B:L,11,FALSE),VLOOKUP(D9,Crafting!B:O,14,FALSE))</f>
        <v>inf</v>
      </c>
      <c r="K9" s="37">
        <f>SUMIF(C:C,Table9[[#This Row],[sub_industry]],I:II)</f>
        <v>21.409999999999997</v>
      </c>
      <c r="L9" s="6">
        <f>SUMIF(C:C,Table9[[#This Row],[sub_industry]],J:J)</f>
        <v>0</v>
      </c>
    </row>
    <row r="10" spans="1:12" hidden="1" x14ac:dyDescent="0.3">
      <c r="A10" s="2" t="s">
        <v>303</v>
      </c>
      <c r="B10" s="2" t="s">
        <v>225</v>
      </c>
      <c r="C10" s="2" t="str">
        <f>_xlfn.CONCAT(Table9[[#This Row],[INDUSTRY]],"-",Table9[[#This Row],[PRODUCT]])</f>
        <v>Cooking-Plain Omelet</v>
      </c>
      <c r="D10" s="4">
        <v>32</v>
      </c>
      <c r="E10" s="2" t="s">
        <v>138</v>
      </c>
      <c r="F10" s="3">
        <f>IF(A10="Resource",0,VLOOKUP(D10,Crafting!B:O,9,FALSE))</f>
        <v>88</v>
      </c>
      <c r="G10" s="51">
        <f>IF(A10="Resource",VLOOKUP(D10,Resources!B:G,5,FALSE),VLOOKUP(D10,Crafting!B:O,11,FALSE))</f>
        <v>0</v>
      </c>
      <c r="H10" s="51">
        <f>_xlfn.IFNA(VLOOKUP(Table9[[#This Row],[PRODUCT]],MARKET_id!B:C,2,FALSE),"no dsata")</f>
        <v>105</v>
      </c>
      <c r="I10" s="51">
        <f>IF(A10="Resource",VLOOKUP(D10,Resources!B:L,7,FALSE),VLOOKUP(D10,Crafting!B:O,13,FALSE))</f>
        <v>15.950000000000003</v>
      </c>
      <c r="J10" s="37" t="str">
        <f>IF(A10="Resource",VLOOKUP(D10,Resources!B:L,11,FALSE),VLOOKUP(D10,Crafting!B:O,14,FALSE))</f>
        <v>inf</v>
      </c>
      <c r="K10" s="37">
        <f>SUMIF(C:C,Table9[[#This Row],[sub_industry]],I:II)</f>
        <v>15.950000000000003</v>
      </c>
      <c r="L10" s="6">
        <f>SUMIF(C:C,Table9[[#This Row],[sub_industry]],J:J)</f>
        <v>0</v>
      </c>
    </row>
    <row r="11" spans="1:12" hidden="1" x14ac:dyDescent="0.3">
      <c r="A11" s="2" t="s">
        <v>303</v>
      </c>
      <c r="B11" s="2" t="s">
        <v>225</v>
      </c>
      <c r="C11" s="2" t="str">
        <f>_xlfn.CONCAT(Table9[[#This Row],[INDUSTRY]],"-",Table9[[#This Row],[PRODUCT]])</f>
        <v>Cooking-Scarrot Pie</v>
      </c>
      <c r="D11" s="4">
        <v>33</v>
      </c>
      <c r="E11" s="2" t="s">
        <v>197</v>
      </c>
      <c r="F11" s="3">
        <f>IF(A11="Resource",0,VLOOKUP(D11,Crafting!B:O,9,FALSE))</f>
        <v>184</v>
      </c>
      <c r="G11" s="51">
        <f>IF(A11="Resource",VLOOKUP(D11,Resources!B:G,5,FALSE),VLOOKUP(D11,Crafting!B:O,11,FALSE))</f>
        <v>0</v>
      </c>
      <c r="H11" s="51">
        <f>_xlfn.IFNA(VLOOKUP(Table9[[#This Row],[PRODUCT]],MARKET_id!B:C,2,FALSE),"no dsata")</f>
        <v>236</v>
      </c>
      <c r="I11" s="51">
        <f>IF(A11="Resource",VLOOKUP(D11,Resources!B:L,7,FALSE),VLOOKUP(D11,Crafting!B:O,13,FALSE))</f>
        <v>49.639999999999986</v>
      </c>
      <c r="J11" s="37" t="str">
        <f>IF(A11="Resource",VLOOKUP(D11,Resources!B:L,11,FALSE),VLOOKUP(D11,Crafting!B:O,14,FALSE))</f>
        <v>inf</v>
      </c>
      <c r="K11" s="37">
        <f>SUMIF(C:C,Table9[[#This Row],[sub_industry]],I:II)</f>
        <v>49.639999999999986</v>
      </c>
      <c r="L11" s="6">
        <f>SUMIF(C:C,Table9[[#This Row],[sub_industry]],J:J)</f>
        <v>0</v>
      </c>
    </row>
    <row r="12" spans="1:12" hidden="1" x14ac:dyDescent="0.3">
      <c r="A12" s="2" t="s">
        <v>303</v>
      </c>
      <c r="B12" s="2" t="s">
        <v>225</v>
      </c>
      <c r="C12" s="2" t="str">
        <f>_xlfn.CONCAT(Table9[[#This Row],[INDUSTRY]],"-",Table9[[#This Row],[PRODUCT]])</f>
        <v>Cooking-Scarrot Loaf</v>
      </c>
      <c r="D12" s="4">
        <v>34</v>
      </c>
      <c r="E12" s="2" t="s">
        <v>187</v>
      </c>
      <c r="F12" s="3">
        <f>IF(A12="Resource",0,VLOOKUP(D12,Crafting!B:O,9,FALSE))</f>
        <v>373</v>
      </c>
      <c r="G12" s="51">
        <f>IF(A12="Resource",VLOOKUP(D12,Resources!B:G,5,FALSE),VLOOKUP(D12,Crafting!B:O,11,FALSE))</f>
        <v>0</v>
      </c>
      <c r="H12" s="51">
        <f>_xlfn.IFNA(VLOOKUP(Table9[[#This Row],[PRODUCT]],MARKET_id!B:C,2,FALSE),"no dsata")</f>
        <v>485</v>
      </c>
      <c r="I12" s="51">
        <f>IF(A12="Resource",VLOOKUP(D12,Resources!B:L,7,FALSE),VLOOKUP(D12,Crafting!B:O,13,FALSE))</f>
        <v>107.14999999999998</v>
      </c>
      <c r="J12" s="37" t="str">
        <f>IF(A12="Resource",VLOOKUP(D12,Resources!B:L,11,FALSE),VLOOKUP(D12,Crafting!B:O,14,FALSE))</f>
        <v>inf</v>
      </c>
      <c r="K12" s="37">
        <f>SUMIF(C:C,Table9[[#This Row],[sub_industry]],I:II)</f>
        <v>107.14999999999998</v>
      </c>
      <c r="L12" s="6">
        <f>SUMIF(C:C,Table9[[#This Row],[sub_industry]],J:J)</f>
        <v>0</v>
      </c>
    </row>
    <row r="13" spans="1:12" hidden="1" x14ac:dyDescent="0.3">
      <c r="A13" s="2" t="s">
        <v>303</v>
      </c>
      <c r="B13" s="2" t="s">
        <v>225</v>
      </c>
      <c r="C13" s="2" t="str">
        <f>_xlfn.CONCAT(Table9[[#This Row],[INDUSTRY]],"-",Table9[[#This Row],[PRODUCT]])</f>
        <v>Cooking-Grumpkin Pie</v>
      </c>
      <c r="D13" s="4">
        <v>35</v>
      </c>
      <c r="E13" s="2" t="s">
        <v>179</v>
      </c>
      <c r="F13" s="3">
        <f>IF(A13="Resource",0,VLOOKUP(D13,Crafting!B:O,9,FALSE))</f>
        <v>248</v>
      </c>
      <c r="G13" s="51">
        <f>IF(A13="Resource",VLOOKUP(D13,Resources!B:G,5,FALSE),VLOOKUP(D13,Crafting!B:O,11,FALSE))</f>
        <v>0</v>
      </c>
      <c r="H13" s="51">
        <f>_xlfn.IFNA(VLOOKUP(Table9[[#This Row],[PRODUCT]],MARKET_id!B:C,2,FALSE),"no dsata")</f>
        <v>246</v>
      </c>
      <c r="I13" s="51">
        <f>IF(A13="Resource",VLOOKUP(D13,Resources!B:L,7,FALSE),VLOOKUP(D13,Crafting!B:O,13,FALSE))</f>
        <v>-4.460000000000008</v>
      </c>
      <c r="J13" s="37" t="str">
        <f>IF(A13="Resource",VLOOKUP(D13,Resources!B:L,11,FALSE),VLOOKUP(D13,Crafting!B:O,14,FALSE))</f>
        <v>inf</v>
      </c>
      <c r="K13" s="37">
        <f>SUMIF(C:C,Table9[[#This Row],[sub_industry]],I:II)</f>
        <v>-4.460000000000008</v>
      </c>
      <c r="L13" s="6">
        <f>SUMIF(C:C,Table9[[#This Row],[sub_industry]],J:J)</f>
        <v>0</v>
      </c>
    </row>
    <row r="14" spans="1:12" hidden="1" x14ac:dyDescent="0.3">
      <c r="A14" s="2" t="s">
        <v>303</v>
      </c>
      <c r="B14" s="2" t="s">
        <v>225</v>
      </c>
      <c r="C14" s="2" t="str">
        <f>_xlfn.CONCAT(Table9[[#This Row],[INDUSTRY]],"-",Table9[[#This Row],[PRODUCT]])</f>
        <v>Cooking-Grumpkin Loaf</v>
      </c>
      <c r="D14" s="4">
        <v>36</v>
      </c>
      <c r="E14" s="2" t="s">
        <v>182</v>
      </c>
      <c r="F14" s="3">
        <f>IF(A14="Resource",0,VLOOKUP(D14,Crafting!B:O,9,FALSE))</f>
        <v>437</v>
      </c>
      <c r="G14" s="51">
        <f>IF(A14="Resource",VLOOKUP(D14,Resources!B:G,5,FALSE),VLOOKUP(D14,Crafting!B:O,11,FALSE))</f>
        <v>0</v>
      </c>
      <c r="H14" s="51">
        <f>_xlfn.IFNA(VLOOKUP(Table9[[#This Row],[PRODUCT]],MARKET_id!B:C,2,FALSE),"no dsata")</f>
        <v>445</v>
      </c>
      <c r="I14" s="51">
        <f>IF(A14="Resource",VLOOKUP(D14,Resources!B:L,7,FALSE),VLOOKUP(D14,Crafting!B:O,13,FALSE))</f>
        <v>3.5500000000000114</v>
      </c>
      <c r="J14" s="37" t="str">
        <f>IF(A14="Resource",VLOOKUP(D14,Resources!B:L,11,FALSE),VLOOKUP(D14,Crafting!B:O,14,FALSE))</f>
        <v>inf</v>
      </c>
      <c r="K14" s="37">
        <f>SUMIF(C:C,Table9[[#This Row],[sub_industry]],I:II)</f>
        <v>3.5500000000000114</v>
      </c>
      <c r="L14" s="6">
        <f>SUMIF(C:C,Table9[[#This Row],[sub_industry]],J:J)</f>
        <v>0</v>
      </c>
    </row>
    <row r="15" spans="1:12" hidden="1" x14ac:dyDescent="0.3">
      <c r="A15" s="2" t="s">
        <v>303</v>
      </c>
      <c r="B15" s="2" t="s">
        <v>230</v>
      </c>
      <c r="C15" s="2" t="str">
        <f>_xlfn.CONCAT(Table9[[#This Row],[INDUSTRY]],"-",Table9[[#This Row],[PRODUCT]])</f>
        <v>Winery-Popberry Wine</v>
      </c>
      <c r="D15" s="4">
        <v>46</v>
      </c>
      <c r="E15" s="2" t="s">
        <v>169</v>
      </c>
      <c r="F15" s="3">
        <f>IF(A15="Resource",0,VLOOKUP(D15,Crafting!B:O,9,FALSE))</f>
        <v>1150</v>
      </c>
      <c r="G15" s="51">
        <f>IF(A15="Resource",VLOOKUP(D15,Resources!B:G,5,FALSE),VLOOKUP(D15,Crafting!B:O,11,FALSE))</f>
        <v>0</v>
      </c>
      <c r="H15" s="51">
        <f>_xlfn.IFNA(VLOOKUP(Table9[[#This Row],[PRODUCT]],MARKET_id!B:C,2,FALSE),"no dsata")</f>
        <v>1000</v>
      </c>
      <c r="I15" s="51">
        <f>IF(A15="Resource",VLOOKUP(D15,Resources!B:L,7,FALSE),VLOOKUP(D15,Crafting!B:O,13,FALSE))</f>
        <v>-160</v>
      </c>
      <c r="J15" s="37" t="str">
        <f>IF(A15="Resource",VLOOKUP(D15,Resources!B:L,11,FALSE),VLOOKUP(D15,Crafting!B:O,14,FALSE))</f>
        <v>inf</v>
      </c>
      <c r="K15" s="37">
        <f>SUMIF(C:C,Table9[[#This Row],[sub_industry]],I:II)</f>
        <v>-160</v>
      </c>
      <c r="L15" s="6">
        <f>SUMIF(C:C,Table9[[#This Row],[sub_industry]],J:J)</f>
        <v>0</v>
      </c>
    </row>
    <row r="16" spans="1:12" hidden="1" x14ac:dyDescent="0.3">
      <c r="A16" s="2" t="s">
        <v>303</v>
      </c>
      <c r="B16" s="2" t="s">
        <v>230</v>
      </c>
      <c r="C16" s="2" t="str">
        <f>_xlfn.CONCAT(Table9[[#This Row],[INDUSTRY]],"-",Table9[[#This Row],[PRODUCT]])</f>
        <v>Winery-Grumpkin Wine</v>
      </c>
      <c r="D16" s="4">
        <v>47</v>
      </c>
      <c r="E16" s="2" t="s">
        <v>170</v>
      </c>
      <c r="F16" s="3">
        <f>IF(A16="Resource",0,VLOOKUP(D16,Crafting!B:O,9,FALSE))</f>
        <v>3257</v>
      </c>
      <c r="G16" s="51">
        <f>IF(A16="Resource",VLOOKUP(D16,Resources!B:G,5,FALSE),VLOOKUP(D16,Crafting!B:O,11,FALSE))</f>
        <v>0</v>
      </c>
      <c r="H16" s="51">
        <f>_xlfn.IFNA(VLOOKUP(Table9[[#This Row],[PRODUCT]],MARKET_id!B:C,2,FALSE),"no dsata")</f>
        <v>3490</v>
      </c>
      <c r="I16" s="51">
        <f>IF(A16="Resource",VLOOKUP(D16,Resources!B:L,7,FALSE),VLOOKUP(D16,Crafting!B:O,13,FALSE))</f>
        <v>198.09999999999991</v>
      </c>
      <c r="J16" s="37" t="str">
        <f>IF(A16="Resource",VLOOKUP(D16,Resources!B:L,11,FALSE),VLOOKUP(D16,Crafting!B:O,14,FALSE))</f>
        <v>inf</v>
      </c>
      <c r="K16" s="37">
        <f>SUMIF(C:C,Table9[[#This Row],[sub_industry]],I:II)</f>
        <v>198.09999999999991</v>
      </c>
      <c r="L16" s="6">
        <f>SUMIF(C:C,Table9[[#This Row],[sub_industry]],J:J)</f>
        <v>0</v>
      </c>
    </row>
    <row r="17" spans="1:12" hidden="1" x14ac:dyDescent="0.3">
      <c r="A17" s="2" t="s">
        <v>303</v>
      </c>
      <c r="B17" s="2" t="s">
        <v>230</v>
      </c>
      <c r="C17" s="2" t="str">
        <f>_xlfn.CONCAT(Table9[[#This Row],[INDUSTRY]],"-",Table9[[#This Row],[PRODUCT]])</f>
        <v>Winery-Scarrot Wine</v>
      </c>
      <c r="D17" s="4">
        <v>48</v>
      </c>
      <c r="E17" s="2" t="s">
        <v>185</v>
      </c>
      <c r="F17" s="3">
        <f>IF(A17="Resource",0,VLOOKUP(D17,Crafting!B:O,9,FALSE))</f>
        <v>2539</v>
      </c>
      <c r="G17" s="51">
        <f>IF(A17="Resource",VLOOKUP(D17,Resources!B:G,5,FALSE),VLOOKUP(D17,Crafting!B:O,11,FALSE))</f>
        <v>0</v>
      </c>
      <c r="H17" s="51">
        <f>_xlfn.IFNA(VLOOKUP(Table9[[#This Row],[PRODUCT]],MARKET_id!B:C,2,FALSE),"no dsata")</f>
        <v>2961</v>
      </c>
      <c r="I17" s="51">
        <f>IF(A17="Resource",VLOOKUP(D17,Resources!B:L,7,FALSE),VLOOKUP(D17,Crafting!B:O,13,FALSE))</f>
        <v>392.38999999999987</v>
      </c>
      <c r="J17" s="37" t="str">
        <f>IF(A17="Resource",VLOOKUP(D17,Resources!B:L,11,FALSE),VLOOKUP(D17,Crafting!B:O,14,FALSE))</f>
        <v>inf</v>
      </c>
      <c r="K17" s="37">
        <f>SUMIF(C:C,Table9[[#This Row],[sub_industry]],I:II)</f>
        <v>392.38999999999987</v>
      </c>
      <c r="L17" s="6">
        <f>SUMIF(C:C,Table9[[#This Row],[sub_industry]],J:J)</f>
        <v>0</v>
      </c>
    </row>
    <row r="18" spans="1:12" hidden="1" x14ac:dyDescent="0.3">
      <c r="A18" s="2" t="s">
        <v>303</v>
      </c>
      <c r="B18" s="2" t="s">
        <v>230</v>
      </c>
      <c r="C18" s="2" t="str">
        <f>_xlfn.CONCAT(Table9[[#This Row],[INDUSTRY]],"-",Table9[[#This Row],[PRODUCT]])</f>
        <v>Winery-Grainshine</v>
      </c>
      <c r="D18" s="4">
        <v>49</v>
      </c>
      <c r="E18" s="2" t="s">
        <v>173</v>
      </c>
      <c r="F18" s="3">
        <f>IF(A18="Resource",0,VLOOKUP(D18,Crafting!B:O,9,FALSE))</f>
        <v>1678</v>
      </c>
      <c r="G18" s="51">
        <f>IF(A18="Resource",VLOOKUP(D18,Resources!B:G,5,FALSE),VLOOKUP(D18,Crafting!B:O,11,FALSE))</f>
        <v>0</v>
      </c>
      <c r="H18" s="51">
        <f>_xlfn.IFNA(VLOOKUP(Table9[[#This Row],[PRODUCT]],MARKET_id!B:C,2,FALSE),"no dsata")</f>
        <v>1349</v>
      </c>
      <c r="I18" s="51">
        <f>IF(A18="Resource",VLOOKUP(D18,Resources!B:L,7,FALSE),VLOOKUP(D18,Crafting!B:O,13,FALSE))</f>
        <v>-342.49</v>
      </c>
      <c r="J18" s="37" t="str">
        <f>IF(A18="Resource",VLOOKUP(D18,Resources!B:L,11,FALSE),VLOOKUP(D18,Crafting!B:O,14,FALSE))</f>
        <v>inf</v>
      </c>
      <c r="K18" s="37">
        <f>SUMIF(C:C,Table9[[#This Row],[sub_industry]],I:II)</f>
        <v>-342.49</v>
      </c>
      <c r="L18" s="6">
        <f>SUMIF(C:C,Table9[[#This Row],[sub_industry]],J:J)</f>
        <v>0</v>
      </c>
    </row>
    <row r="19" spans="1:12" hidden="1" x14ac:dyDescent="0.3">
      <c r="A19" s="2" t="s">
        <v>303</v>
      </c>
      <c r="B19" s="2" t="s">
        <v>230</v>
      </c>
      <c r="C19" s="2" t="str">
        <f>_xlfn.CONCAT(Table9[[#This Row],[INDUSTRY]],"-",Table9[[#This Row],[PRODUCT]])</f>
        <v>Winery-Watermint Whisky</v>
      </c>
      <c r="D19" s="4">
        <v>50</v>
      </c>
      <c r="E19" s="2" t="s">
        <v>160</v>
      </c>
      <c r="F19" s="3">
        <f>IF(A19="Resource",0,VLOOKUP(D19,Crafting!B:O,9,FALSE))</f>
        <v>2038</v>
      </c>
      <c r="G19" s="51">
        <f>IF(A19="Resource",VLOOKUP(D19,Resources!B:G,5,FALSE),VLOOKUP(D19,Crafting!B:O,11,FALSE))</f>
        <v>0</v>
      </c>
      <c r="H19" s="51">
        <f>_xlfn.IFNA(VLOOKUP(Table9[[#This Row],[PRODUCT]],MARKET_id!B:C,2,FALSE),"no dsata")</f>
        <v>2400</v>
      </c>
      <c r="I19" s="51">
        <f>IF(A19="Resource",VLOOKUP(D19,Resources!B:L,7,FALSE),VLOOKUP(D19,Crafting!B:O,13,FALSE))</f>
        <v>338</v>
      </c>
      <c r="J19" s="37" t="str">
        <f>IF(A19="Resource",VLOOKUP(D19,Resources!B:L,11,FALSE),VLOOKUP(D19,Crafting!B:O,14,FALSE))</f>
        <v>inf</v>
      </c>
      <c r="K19" s="37">
        <f>SUMIF(C:C,Table9[[#This Row],[sub_industry]],I:II)</f>
        <v>338</v>
      </c>
      <c r="L19" s="6">
        <f>SUMIF(C:C,Table9[[#This Row],[sub_industry]],J:J)</f>
        <v>0</v>
      </c>
    </row>
    <row r="20" spans="1:12" hidden="1" x14ac:dyDescent="0.3">
      <c r="A20" s="2" t="s">
        <v>303</v>
      </c>
      <c r="B20" s="2" t="s">
        <v>230</v>
      </c>
      <c r="C20" s="2" t="str">
        <f>_xlfn.CONCAT(Table9[[#This Row],[INDUSTRY]],"-",Table9[[#This Row],[PRODUCT]])</f>
        <v>Winery-Astracactus Tequila</v>
      </c>
      <c r="D20" s="4">
        <v>51</v>
      </c>
      <c r="E20" s="2" t="s">
        <v>168</v>
      </c>
      <c r="F20" s="3">
        <f>IF(A20="Resource",0,VLOOKUP(D20,Crafting!B:O,9,FALSE))</f>
        <v>3022</v>
      </c>
      <c r="G20" s="51">
        <f>IF(A20="Resource",VLOOKUP(D20,Resources!B:G,5,FALSE),VLOOKUP(D20,Crafting!B:O,11,FALSE))</f>
        <v>0</v>
      </c>
      <c r="H20" s="51">
        <f>_xlfn.IFNA(VLOOKUP(Table9[[#This Row],[PRODUCT]],MARKET_id!B:C,2,FALSE),"no dsata")</f>
        <v>3271</v>
      </c>
      <c r="I20" s="51">
        <f>IF(A20="Resource",VLOOKUP(D20,Resources!B:L,7,FALSE),VLOOKUP(D20,Crafting!B:O,13,FALSE))</f>
        <v>216.28999999999996</v>
      </c>
      <c r="J20" s="37" t="str">
        <f>IF(A20="Resource",VLOOKUP(D20,Resources!B:L,11,FALSE),VLOOKUP(D20,Crafting!B:O,14,FALSE))</f>
        <v>inf</v>
      </c>
      <c r="K20" s="37">
        <f>SUMIF(C:C,Table9[[#This Row],[sub_industry]],I:II)</f>
        <v>216.28999999999996</v>
      </c>
      <c r="L20" s="6">
        <f>SUMIF(C:C,Table9[[#This Row],[sub_industry]],J:J)</f>
        <v>0</v>
      </c>
    </row>
    <row r="21" spans="1:12" hidden="1" x14ac:dyDescent="0.3">
      <c r="A21" s="2" t="s">
        <v>303</v>
      </c>
      <c r="B21" s="2" t="s">
        <v>230</v>
      </c>
      <c r="C21" s="2" t="str">
        <f>_xlfn.CONCAT(Table9[[#This Row],[INDUSTRY]],"-",Table9[[#This Row],[PRODUCT]])</f>
        <v>Winery-Muckchuck Mead</v>
      </c>
      <c r="D21" s="4">
        <v>52</v>
      </c>
      <c r="E21" s="2" t="s">
        <v>136</v>
      </c>
      <c r="F21" s="3">
        <f>IF(A21="Resource",0,VLOOKUP(D21,Crafting!B:O,9,FALSE))</f>
        <v>3454</v>
      </c>
      <c r="G21" s="51">
        <f>IF(A21="Resource",VLOOKUP(D21,Resources!B:G,5,FALSE),VLOOKUP(D21,Crafting!B:O,11,FALSE))</f>
        <v>0</v>
      </c>
      <c r="H21" s="51">
        <f>_xlfn.IFNA(VLOOKUP(Table9[[#This Row],[PRODUCT]],MARKET_id!B:C,2,FALSE),"no dsata")</f>
        <v>3599</v>
      </c>
      <c r="I21" s="51">
        <f>IF(A21="Resource",VLOOKUP(D21,Resources!B:L,7,FALSE),VLOOKUP(D21,Crafting!B:O,13,FALSE))</f>
        <v>109.00999999999976</v>
      </c>
      <c r="J21" s="37" t="str">
        <f>IF(A21="Resource",VLOOKUP(D21,Resources!B:L,11,FALSE),VLOOKUP(D21,Crafting!B:O,14,FALSE))</f>
        <v>inf</v>
      </c>
      <c r="K21" s="37">
        <f>SUMIF(C:C,Table9[[#This Row],[sub_industry]],I:II)</f>
        <v>109.00999999999976</v>
      </c>
      <c r="L21" s="6">
        <f>SUMIF(C:C,Table9[[#This Row],[sub_industry]],J:J)</f>
        <v>0</v>
      </c>
    </row>
    <row r="22" spans="1:12" hidden="1" x14ac:dyDescent="0.3">
      <c r="A22" s="2" t="s">
        <v>303</v>
      </c>
      <c r="B22" s="2" t="s">
        <v>230</v>
      </c>
      <c r="C22" s="2" t="str">
        <f>_xlfn.CONCAT(Table9[[#This Row],[INDUSTRY]],"-",Table9[[#This Row],[PRODUCT]])</f>
        <v>Winery-Butterbrew</v>
      </c>
      <c r="D22" s="4">
        <v>53</v>
      </c>
      <c r="E22" s="2" t="s">
        <v>157</v>
      </c>
      <c r="F22" s="3">
        <f>IF(A22="Resource",0,VLOOKUP(D22,Crafting!B:O,9,FALSE))</f>
        <v>7204</v>
      </c>
      <c r="G22" s="51">
        <f>IF(A22="Resource",VLOOKUP(D22,Resources!B:G,5,FALSE),VLOOKUP(D22,Crafting!B:O,11,FALSE))</f>
        <v>0</v>
      </c>
      <c r="H22" s="51">
        <f>_xlfn.IFNA(VLOOKUP(Table9[[#This Row],[PRODUCT]],MARKET_id!B:C,2,FALSE),"no dsata")</f>
        <v>6200</v>
      </c>
      <c r="I22" s="51">
        <f>IF(A22="Resource",VLOOKUP(D22,Resources!B:L,7,FALSE),VLOOKUP(D22,Crafting!B:O,13,FALSE))</f>
        <v>-1066</v>
      </c>
      <c r="J22" s="37" t="str">
        <f>IF(A22="Resource",VLOOKUP(D22,Resources!B:L,11,FALSE),VLOOKUP(D22,Crafting!B:O,14,FALSE))</f>
        <v>inf</v>
      </c>
      <c r="K22" s="37">
        <f>SUMIF(C:C,Table9[[#This Row],[sub_industry]],I:II)</f>
        <v>-1066</v>
      </c>
      <c r="L22" s="6">
        <f>SUMIF(C:C,Table9[[#This Row],[sub_industry]],J:J)</f>
        <v>0</v>
      </c>
    </row>
    <row r="23" spans="1:12" hidden="1" x14ac:dyDescent="0.3">
      <c r="A23" s="2" t="s">
        <v>303</v>
      </c>
      <c r="B23" s="2" t="s">
        <v>230</v>
      </c>
      <c r="C23" s="2" t="str">
        <f>_xlfn.CONCAT(Table9[[#This Row],[INDUSTRY]],"-",Table9[[#This Row],[PRODUCT]])</f>
        <v>Winery-Hotka</v>
      </c>
      <c r="D23" s="4">
        <v>54</v>
      </c>
      <c r="E23" s="2" t="s">
        <v>174</v>
      </c>
      <c r="F23" s="3">
        <f>IF(A23="Resource",0,VLOOKUP(D23,Crafting!B:O,9,FALSE))</f>
        <v>5782</v>
      </c>
      <c r="G23" s="51">
        <f>IF(A23="Resource",VLOOKUP(D23,Resources!B:G,5,FALSE),VLOOKUP(D23,Crafting!B:O,11,FALSE))</f>
        <v>2</v>
      </c>
      <c r="H23" s="51">
        <f>_xlfn.IFNA(VLOOKUP(Table9[[#This Row],[PRODUCT]],MARKET_id!B:C,2,FALSE),"no dsata")</f>
        <v>5899</v>
      </c>
      <c r="I23" s="51">
        <f>IF(A23="Resource",VLOOKUP(D23,Resources!B:L,7,FALSE),VLOOKUP(D23,Crafting!B:O,13,FALSE))</f>
        <v>58.010000000000218</v>
      </c>
      <c r="J23" s="37">
        <f>IF(A23="Resource",VLOOKUP(D23,Resources!B:L,11,FALSE),VLOOKUP(D23,Crafting!B:O,14,FALSE))</f>
        <v>29.005000000000109</v>
      </c>
      <c r="K23" s="37">
        <f>SUMIF(C:C,Table9[[#This Row],[sub_industry]],I:II)</f>
        <v>58.010000000000218</v>
      </c>
      <c r="L23" s="6">
        <f>SUMIF(C:C,Table9[[#This Row],[sub_industry]],J:J)</f>
        <v>29.005000000000109</v>
      </c>
    </row>
    <row r="24" spans="1:12" hidden="1" x14ac:dyDescent="0.3">
      <c r="A24" s="2" t="s">
        <v>303</v>
      </c>
      <c r="B24" s="2" t="s">
        <v>301</v>
      </c>
      <c r="C24" s="2" t="str">
        <f>_xlfn.CONCAT(Table9[[#This Row],[INDUSTRY]],"-",Table9[[#This Row],[PRODUCT]])</f>
        <v>Woodwork-6 Slot Storage Chest</v>
      </c>
      <c r="D24" s="4">
        <v>56</v>
      </c>
      <c r="E24" s="2" t="s">
        <v>175</v>
      </c>
      <c r="F24" s="3">
        <f>IF(A24="Resource",0,VLOOKUP(D24,Crafting!B:O,9,FALSE))</f>
        <v>16824</v>
      </c>
      <c r="G24" s="51">
        <f>IF(A24="Resource",VLOOKUP(D24,Resources!B:G,5,FALSE),VLOOKUP(D24,Crafting!B:O,11,FALSE))</f>
        <v>8</v>
      </c>
      <c r="H24" s="51">
        <f>_xlfn.IFNA(VLOOKUP(Table9[[#This Row],[PRODUCT]],MARKET_id!B:C,2,FALSE),"no dsata")</f>
        <v>17497</v>
      </c>
      <c r="I24" s="51">
        <f>IF(A24="Resource",VLOOKUP(D24,Resources!B:L,7,FALSE),VLOOKUP(D24,Crafting!B:O,13,FALSE))</f>
        <v>498.02999999999884</v>
      </c>
      <c r="J24" s="37">
        <f>IF(A24="Resource",VLOOKUP(D24,Resources!B:L,11,FALSE),VLOOKUP(D24,Crafting!B:O,14,FALSE))</f>
        <v>62.253749999999854</v>
      </c>
      <c r="K24" s="37">
        <f>SUMIF(C:C,Table9[[#This Row],[sub_industry]],I:II)</f>
        <v>498.02999999999884</v>
      </c>
      <c r="L24" s="6">
        <f>SUMIF(C:C,Table9[[#This Row],[sub_industry]],J:J)</f>
        <v>62.253749999999854</v>
      </c>
    </row>
    <row r="25" spans="1:12" hidden="1" x14ac:dyDescent="0.3">
      <c r="A25" s="2" t="s">
        <v>303</v>
      </c>
      <c r="B25" s="2" t="s">
        <v>227</v>
      </c>
      <c r="C25" s="2" t="str">
        <f>_xlfn.CONCAT(Table9[[#This Row],[INDUSTRY]],"-",Table9[[#This Row],[PRODUCT]])</f>
        <v>Kiln-Bomb Shell</v>
      </c>
      <c r="D25" s="4">
        <v>40</v>
      </c>
      <c r="E25" s="2" t="s">
        <v>118</v>
      </c>
      <c r="F25" s="3">
        <f>IF(A25="Resource",0,VLOOKUP(D25,Crafting!B:O,9,FALSE))</f>
        <v>8172</v>
      </c>
      <c r="G25" s="51">
        <f>IF(A25="Resource",VLOOKUP(D25,Resources!B:G,5,FALSE),VLOOKUP(D25,Crafting!B:O,11,FALSE))</f>
        <v>8</v>
      </c>
      <c r="H25" s="51">
        <f>_xlfn.IFNA(VLOOKUP(Table9[[#This Row],[PRODUCT]],MARKET_id!B:C,2,FALSE),"no dsata")</f>
        <v>8600</v>
      </c>
      <c r="I25" s="51">
        <f>IF(A25="Resource",VLOOKUP(D25,Resources!B:L,7,FALSE),VLOOKUP(D25,Crafting!B:O,13,FALSE))</f>
        <v>342</v>
      </c>
      <c r="J25" s="37">
        <f>IF(A25="Resource",VLOOKUP(D25,Resources!B:L,11,FALSE),VLOOKUP(D25,Crafting!B:O,14,FALSE))</f>
        <v>42.75</v>
      </c>
      <c r="K25" s="37">
        <f>SUMIF(C:C,Table9[[#This Row],[sub_industry]],I:II)</f>
        <v>342</v>
      </c>
      <c r="L25" s="6">
        <f>SUMIF(C:C,Table9[[#This Row],[sub_industry]],J:J)</f>
        <v>42.75</v>
      </c>
    </row>
    <row r="26" spans="1:12" hidden="1" x14ac:dyDescent="0.3">
      <c r="A26" s="2" t="s">
        <v>304</v>
      </c>
      <c r="B26" s="2" t="s">
        <v>223</v>
      </c>
      <c r="C26" s="2" t="s">
        <v>223</v>
      </c>
      <c r="D26" s="4">
        <v>14</v>
      </c>
      <c r="E26" s="2" t="s">
        <v>207</v>
      </c>
      <c r="F26" s="3">
        <f>IF(A26="Resource",0,VLOOKUP(D26,Crafting!B:O,9,FALSE))</f>
        <v>0</v>
      </c>
      <c r="G26" s="51">
        <f>IF(A26="Resource",VLOOKUP(D26,Resources!B:G,5,FALSE),VLOOKUP(D26,Crafting!B:O,11,FALSE))</f>
        <v>6</v>
      </c>
      <c r="H26" s="51">
        <f>_xlfn.IFNA(VLOOKUP(Table9[[#This Row],[PRODUCT]],MARKET_id!B:C,2,FALSE),"no dsata")</f>
        <v>0</v>
      </c>
      <c r="I26" s="51" t="e">
        <f>IF(A26="Resource",VLOOKUP(D26,Resources!B:L,7,FALSE),VLOOKUP(D26,Crafting!B:O,13,FALSE))</f>
        <v>#N/A</v>
      </c>
      <c r="J26" s="37" t="e">
        <f>IF(A26="Resource",VLOOKUP(D26,Resources!B:L,11,FALSE),VLOOKUP(D26,Crafting!B:O,14,FALSE))</f>
        <v>#N/A</v>
      </c>
      <c r="K26" s="37" t="e">
        <f>SUMIF(C:C,Table9[[#This Row],[sub_industry]],I:II)</f>
        <v>#N/A</v>
      </c>
      <c r="L26" s="6" t="e">
        <f>SUMIF(C:C,Table9[[#This Row],[sub_industry]],J:J)</f>
        <v>#N/A</v>
      </c>
    </row>
    <row r="27" spans="1:12" hidden="1" x14ac:dyDescent="0.3">
      <c r="A27" s="2" t="s">
        <v>304</v>
      </c>
      <c r="B27" s="2" t="s">
        <v>2</v>
      </c>
      <c r="C27" s="2" t="s">
        <v>2</v>
      </c>
      <c r="D27" s="4">
        <v>1</v>
      </c>
      <c r="E27" s="2" t="s">
        <v>3</v>
      </c>
      <c r="F27" s="3">
        <f>IF(A27="Resource",0,VLOOKUP(D27,Crafting!B:O,9,FALSE))</f>
        <v>0</v>
      </c>
      <c r="G27" s="51">
        <f>IF(A27="Resource",VLOOKUP(D27,Resources!B:G,5,FALSE),VLOOKUP(D27,Crafting!B:O,11,FALSE))</f>
        <v>1.5</v>
      </c>
      <c r="H27" s="51">
        <f>_xlfn.IFNA(VLOOKUP(Table9[[#This Row],[PRODUCT]],MARKET_id!B:C,2,FALSE),"no dsata")</f>
        <v>44</v>
      </c>
      <c r="I27" s="51" t="e">
        <f>IF(A27="Resource",VLOOKUP(D27,Resources!B:L,7,FALSE),VLOOKUP(D27,Crafting!B:O,13,FALSE))</f>
        <v>#N/A</v>
      </c>
      <c r="J27" s="37" t="e">
        <f>IF(A27="Resource",VLOOKUP(D27,Resources!B:L,11,FALSE),VLOOKUP(D27,Crafting!B:O,14,FALSE))</f>
        <v>#N/A</v>
      </c>
      <c r="K27" s="37" t="e">
        <f>SUMIF(C:C,Table9[[#This Row],[sub_industry]],I:II)</f>
        <v>#N/A</v>
      </c>
      <c r="L27" s="6" t="e">
        <f>SUMIF(C:C,Table9[[#This Row],[sub_industry]],J:J)</f>
        <v>#N/A</v>
      </c>
    </row>
    <row r="28" spans="1:12" hidden="1" x14ac:dyDescent="0.3">
      <c r="A28" s="2" t="s">
        <v>303</v>
      </c>
      <c r="B28" s="2" t="s">
        <v>227</v>
      </c>
      <c r="C28" s="2" t="str">
        <f>_xlfn.CONCAT(Table9[[#This Row],[INDUSTRY]],"-",Table9[[#This Row],[PRODUCT]])</f>
        <v>Kiln-Glue</v>
      </c>
      <c r="D28" s="4">
        <v>39</v>
      </c>
      <c r="E28" s="2" t="s">
        <v>114</v>
      </c>
      <c r="F28" s="3">
        <f>IF(A28="Resource",0,VLOOKUP(D28,Crafting!B:O,9,FALSE))</f>
        <v>1365</v>
      </c>
      <c r="G28" s="51">
        <f>IF(A28="Resource",VLOOKUP(D28,Resources!B:G,5,FALSE),VLOOKUP(D28,Crafting!B:O,11,FALSE))</f>
        <v>3</v>
      </c>
      <c r="H28" s="51">
        <f>_xlfn.IFNA(VLOOKUP(Table9[[#This Row],[PRODUCT]],MARKET_id!B:C,2,FALSE),"no dsata")</f>
        <v>1448</v>
      </c>
      <c r="I28" s="51">
        <f>IF(A28="Resource",VLOOKUP(D28,Resources!B:L,7,FALSE),VLOOKUP(D28,Crafting!B:O,13,FALSE))</f>
        <v>68.519999999999982</v>
      </c>
      <c r="J28" s="37">
        <f>IF(A28="Resource",VLOOKUP(D28,Resources!B:L,11,FALSE),VLOOKUP(D28,Crafting!B:O,14,FALSE))</f>
        <v>22.839999999999993</v>
      </c>
      <c r="K28" s="37">
        <f>SUMIF(C:C,Table9[[#This Row],[sub_industry]],I:II)</f>
        <v>68.519999999999982</v>
      </c>
      <c r="L28" s="6">
        <f>SUMIF(C:C,Table9[[#This Row],[sub_industry]],J:J)</f>
        <v>22.839999999999993</v>
      </c>
    </row>
    <row r="29" spans="1:12" hidden="1" x14ac:dyDescent="0.3">
      <c r="A29" s="2" t="s">
        <v>303</v>
      </c>
      <c r="B29" s="2" t="s">
        <v>228</v>
      </c>
      <c r="C29" s="2" t="str">
        <f>_xlfn.CONCAT(Table9[[#This Row],[INDUSTRY]],"-",Table9[[#This Row],[PRODUCT]])</f>
        <v>Granger-Shrapnel</v>
      </c>
      <c r="D29" s="4">
        <v>43</v>
      </c>
      <c r="E29" s="2" t="s">
        <v>115</v>
      </c>
      <c r="F29" s="3">
        <f>IF(A29="Resource",0,VLOOKUP(D29,Crafting!B:O,9,FALSE))</f>
        <v>384</v>
      </c>
      <c r="G29" s="51">
        <f>IF(A29="Resource",VLOOKUP(D29,Resources!B:G,5,FALSE),VLOOKUP(D29,Crafting!B:O,11,FALSE))</f>
        <v>4</v>
      </c>
      <c r="H29" s="51">
        <f>_xlfn.IFNA(VLOOKUP(Table9[[#This Row],[PRODUCT]],MARKET_id!B:C,2,FALSE),"no dsata")</f>
        <v>460</v>
      </c>
      <c r="I29" s="51">
        <f>IF(A29="Resource",VLOOKUP(D29,Resources!B:L,7,FALSE),VLOOKUP(D29,Crafting!B:O,13,FALSE))</f>
        <v>71.399999999999977</v>
      </c>
      <c r="J29" s="37">
        <f>IF(A29="Resource",VLOOKUP(D29,Resources!B:L,11,FALSE),VLOOKUP(D29,Crafting!B:O,14,FALSE))</f>
        <v>17.849999999999994</v>
      </c>
      <c r="K29" s="37">
        <f>SUMIF(C:C,Table9[[#This Row],[sub_industry]],I:II)</f>
        <v>71.399999999999977</v>
      </c>
      <c r="L29" s="6">
        <f>SUMIF(C:C,Table9[[#This Row],[sub_industry]],J:J)</f>
        <v>17.849999999999994</v>
      </c>
    </row>
    <row r="30" spans="1:12" x14ac:dyDescent="0.3">
      <c r="A30" s="2" t="s">
        <v>303</v>
      </c>
      <c r="B30" s="2" t="s">
        <v>224</v>
      </c>
      <c r="C30" s="2" t="s">
        <v>251</v>
      </c>
      <c r="D30" s="4">
        <v>21</v>
      </c>
      <c r="E30" s="2" t="s">
        <v>155</v>
      </c>
      <c r="F30" s="3">
        <f>IF(A30="Resource",0,VLOOKUP(D30,Crafting!B:O,9,FALSE))</f>
        <v>9</v>
      </c>
      <c r="G30" s="51">
        <f>IF(A30="Resource",VLOOKUP(D30,Resources!B:G,5,FALSE),VLOOKUP(D30,Crafting!B:O,11,FALSE))</f>
        <v>7</v>
      </c>
      <c r="H30" s="51">
        <f>_xlfn.IFNA(VLOOKUP(Table9[[#This Row],[PRODUCT]],MARKET_id!B:C,2,FALSE),"no dsata")</f>
        <v>119</v>
      </c>
      <c r="I30" s="51">
        <f>IF(A30="Resource",VLOOKUP(D30,Resources!B:L,7,FALSE),VLOOKUP(D30,Crafting!B:O,13,FALSE))</f>
        <v>108.81</v>
      </c>
      <c r="J30" s="37">
        <f>IF(A30="Resource",VLOOKUP(D30,Resources!B:L,11,FALSE),VLOOKUP(D30,Crafting!B:O,14,FALSE))</f>
        <v>15.544285714285715</v>
      </c>
      <c r="K30" s="37">
        <f>SUMIF(C:C,Table9[[#This Row],[sub_industry]],I:II)</f>
        <v>108.81</v>
      </c>
      <c r="L30" s="6">
        <f>SUMIF(C:C,Table9[[#This Row],[sub_industry]],J:J)</f>
        <v>15.544285714285715</v>
      </c>
    </row>
    <row r="31" spans="1:12" hidden="1" x14ac:dyDescent="0.3">
      <c r="A31" s="2" t="s">
        <v>303</v>
      </c>
      <c r="B31" s="2" t="s">
        <v>228</v>
      </c>
      <c r="C31" s="2" t="str">
        <f>_xlfn.CONCAT(Table9[[#This Row],[INDUSTRY]],"-",Table9[[#This Row],[PRODUCT]])</f>
        <v>Granger-Flour</v>
      </c>
      <c r="D31" s="4">
        <v>41</v>
      </c>
      <c r="E31" s="2" t="s">
        <v>127</v>
      </c>
      <c r="F31" s="3">
        <f>IF(A31="Resource",0,VLOOKUP(D31,Crafting!B:O,9,FALSE))</f>
        <v>106</v>
      </c>
      <c r="G31" s="51">
        <f>IF(A31="Resource",VLOOKUP(D31,Resources!B:G,5,FALSE),VLOOKUP(D31,Crafting!B:O,11,FALSE))</f>
        <v>2</v>
      </c>
      <c r="H31" s="51">
        <f>_xlfn.IFNA(VLOOKUP(Table9[[#This Row],[PRODUCT]],MARKET_id!B:C,2,FALSE),"no dsata")</f>
        <v>145</v>
      </c>
      <c r="I31" s="51">
        <f>IF(A31="Resource",VLOOKUP(D31,Resources!B:L,7,FALSE),VLOOKUP(D31,Crafting!B:O,13,FALSE))</f>
        <v>37.550000000000011</v>
      </c>
      <c r="J31" s="37">
        <f>IF(A31="Resource",VLOOKUP(D31,Resources!B:L,11,FALSE),VLOOKUP(D31,Crafting!B:O,14,FALSE))</f>
        <v>18.775000000000006</v>
      </c>
      <c r="K31" s="37">
        <f>SUMIF(C:C,Table9[[#This Row],[sub_industry]],I:II)</f>
        <v>37.550000000000011</v>
      </c>
      <c r="L31" s="6">
        <f>SUMIF(C:C,Table9[[#This Row],[sub_industry]],J:J)</f>
        <v>18.775000000000006</v>
      </c>
    </row>
    <row r="32" spans="1:12" hidden="1" x14ac:dyDescent="0.3">
      <c r="A32" s="2" t="s">
        <v>303</v>
      </c>
      <c r="B32" s="2" t="s">
        <v>228</v>
      </c>
      <c r="C32" s="2" t="str">
        <f>_xlfn.CONCAT(Table9[[#This Row],[INDUSTRY]],"-",Table9[[#This Row],[PRODUCT]])</f>
        <v>Granger-4-Leaf Cloveregano</v>
      </c>
      <c r="D32" s="4">
        <v>42</v>
      </c>
      <c r="E32" s="2" t="s">
        <v>176</v>
      </c>
      <c r="F32" s="3">
        <f>IF(A32="Resource",0,VLOOKUP(D32,Crafting!B:O,9,FALSE))</f>
        <v>513</v>
      </c>
      <c r="G32" s="51">
        <f>IF(A32="Resource",VLOOKUP(D32,Resources!B:G,5,FALSE),VLOOKUP(D32,Crafting!B:O,11,FALSE))</f>
        <v>12</v>
      </c>
      <c r="H32" s="51">
        <f>_xlfn.IFNA(VLOOKUP(Table9[[#This Row],[PRODUCT]],MARKET_id!B:C,2,FALSE),"no dsata")</f>
        <v>689</v>
      </c>
      <c r="I32" s="51">
        <f>IF(A32="Resource",VLOOKUP(D32,Resources!B:L,7,FALSE),VLOOKUP(D32,Crafting!B:O,13,FALSE))</f>
        <v>169.11</v>
      </c>
      <c r="J32" s="37">
        <f>IF(A32="Resource",VLOOKUP(D32,Resources!B:L,11,FALSE),VLOOKUP(D32,Crafting!B:O,14,FALSE))</f>
        <v>14.092500000000001</v>
      </c>
      <c r="K32" s="37">
        <f>SUMIF(C:C,Table9[[#This Row],[sub_industry]],I:II)</f>
        <v>169.11</v>
      </c>
      <c r="L32" s="6">
        <f>SUMIF(C:C,Table9[[#This Row],[sub_industry]],J:J)</f>
        <v>14.092500000000001</v>
      </c>
    </row>
    <row r="33" spans="1:12" hidden="1" x14ac:dyDescent="0.3">
      <c r="A33" s="2" t="s">
        <v>303</v>
      </c>
      <c r="B33" s="2" t="s">
        <v>228</v>
      </c>
      <c r="C33" s="2" t="str">
        <f>_xlfn.CONCAT(Table9[[#This Row],[INDUSTRY]],"-",Table9[[#This Row],[PRODUCT]])</f>
        <v>Granger-Construction Powder</v>
      </c>
      <c r="D33" s="4">
        <v>44</v>
      </c>
      <c r="E33" s="2" t="s">
        <v>166</v>
      </c>
      <c r="F33" s="3">
        <f>IF(A33="Resource",0,VLOOKUP(D33,Crafting!B:O,9,FALSE))</f>
        <v>1740</v>
      </c>
      <c r="G33" s="51">
        <f>IF(A33="Resource",VLOOKUP(D33,Resources!B:G,5,FALSE),VLOOKUP(D33,Crafting!B:O,11,FALSE))</f>
        <v>5</v>
      </c>
      <c r="H33" s="51">
        <f>_xlfn.IFNA(VLOOKUP(Table9[[#This Row],[PRODUCT]],MARKET_id!B:C,2,FALSE),"no dsata")</f>
        <v>1790</v>
      </c>
      <c r="I33" s="51">
        <f>IF(A33="Resource",VLOOKUP(D33,Resources!B:L,7,FALSE),VLOOKUP(D33,Crafting!B:O,13,FALSE))</f>
        <v>32.099999999999909</v>
      </c>
      <c r="J33" s="37">
        <f>IF(A33="Resource",VLOOKUP(D33,Resources!B:L,11,FALSE),VLOOKUP(D33,Crafting!B:O,14,FALSE))</f>
        <v>6.4199999999999822</v>
      </c>
      <c r="K33" s="37">
        <f>SUMIF(C:C,Table9[[#This Row],[sub_industry]],I:II)</f>
        <v>32.099999999999909</v>
      </c>
      <c r="L33" s="6">
        <f>SUMIF(C:C,Table9[[#This Row],[sub_industry]],J:J)</f>
        <v>6.4199999999999822</v>
      </c>
    </row>
    <row r="34" spans="1:12" hidden="1" x14ac:dyDescent="0.3">
      <c r="A34" s="2" t="s">
        <v>304</v>
      </c>
      <c r="B34" s="2" t="s">
        <v>221</v>
      </c>
      <c r="C34" s="2" t="s">
        <v>221</v>
      </c>
      <c r="D34" s="4">
        <v>4</v>
      </c>
      <c r="E34" s="2" t="s">
        <v>130</v>
      </c>
      <c r="F34" s="3">
        <f>IF(A34="Resource",0,VLOOKUP(D34,Crafting!B:O,9,FALSE))</f>
        <v>0</v>
      </c>
      <c r="G34" s="51">
        <f>IF(A34="Resource",VLOOKUP(D34,Resources!B:G,5,FALSE),VLOOKUP(D34,Crafting!B:O,11,FALSE))</f>
        <v>2.5</v>
      </c>
      <c r="H34" s="51">
        <f>_xlfn.IFNA(VLOOKUP(Table9[[#This Row],[PRODUCT]],MARKET_id!B:C,2,FALSE),"no dsata")</f>
        <v>14</v>
      </c>
      <c r="I34" s="51" t="e">
        <f>IF(A34="Resource",VLOOKUP(D34,Resources!B:L,7,FALSE),VLOOKUP(D34,Crafting!B:O,13,FALSE))</f>
        <v>#N/A</v>
      </c>
      <c r="J34" s="37" t="e">
        <f>IF(A34="Resource",VLOOKUP(D34,Resources!B:L,11,FALSE),VLOOKUP(D34,Crafting!B:O,14,FALSE))</f>
        <v>#N/A</v>
      </c>
      <c r="K34" s="37" t="e">
        <f>SUMIF(C:C,Table9[[#This Row],[sub_industry]],I:II)</f>
        <v>#N/A</v>
      </c>
      <c r="L34" s="6" t="e">
        <f>SUMIF(C:C,Table9[[#This Row],[sub_industry]],J:J)</f>
        <v>#N/A</v>
      </c>
    </row>
    <row r="35" spans="1:12" hidden="1" x14ac:dyDescent="0.3">
      <c r="A35" s="2" t="s">
        <v>304</v>
      </c>
      <c r="B35" s="2" t="s">
        <v>223</v>
      </c>
      <c r="C35" s="2" t="s">
        <v>223</v>
      </c>
      <c r="D35" s="4">
        <v>15</v>
      </c>
      <c r="E35" s="2" t="s">
        <v>164</v>
      </c>
      <c r="F35" s="3">
        <f>IF(A35="Resource",0,VLOOKUP(D35,Crafting!B:O,9,FALSE))</f>
        <v>0</v>
      </c>
      <c r="G35" s="51">
        <f>IF(A35="Resource",VLOOKUP(D35,Resources!B:G,5,FALSE),VLOOKUP(D35,Crafting!B:O,11,FALSE))</f>
        <v>6</v>
      </c>
      <c r="H35" s="51">
        <f>_xlfn.IFNA(VLOOKUP(Table9[[#This Row],[PRODUCT]],MARKET_id!B:C,2,FALSE),"no dsata")</f>
        <v>73</v>
      </c>
      <c r="I35" s="51" t="e">
        <f>IF(A35="Resource",VLOOKUP(D35,Resources!B:L,7,FALSE),VLOOKUP(D35,Crafting!B:O,13,FALSE))</f>
        <v>#N/A</v>
      </c>
      <c r="J35" s="37" t="e">
        <f>IF(A35="Resource",VLOOKUP(D35,Resources!B:L,11,FALSE),VLOOKUP(D35,Crafting!B:O,14,FALSE))</f>
        <v>#N/A</v>
      </c>
      <c r="K35" s="37" t="e">
        <f>SUMIF(C:C,Table9[[#This Row],[sub_industry]],I:II)</f>
        <v>#N/A</v>
      </c>
      <c r="L35" s="6" t="e">
        <f>SUMIF(C:C,Table9[[#This Row],[sub_industry]],J:J)</f>
        <v>#N/A</v>
      </c>
    </row>
    <row r="36" spans="1:12" x14ac:dyDescent="0.3">
      <c r="A36" s="2" t="s">
        <v>303</v>
      </c>
      <c r="B36" s="2" t="s">
        <v>224</v>
      </c>
      <c r="C36" s="2" t="s">
        <v>249</v>
      </c>
      <c r="D36" s="4">
        <v>19</v>
      </c>
      <c r="E36" s="2" t="s">
        <v>128</v>
      </c>
      <c r="F36" s="3">
        <f>IF(A36="Resource",0,VLOOKUP(D36,Crafting!B:O,9,FALSE))</f>
        <v>3</v>
      </c>
      <c r="G36" s="51">
        <f>IF(A36="Resource",VLOOKUP(D36,Resources!B:G,5,FALSE),VLOOKUP(D36,Crafting!B:O,11,FALSE))</f>
        <v>4</v>
      </c>
      <c r="H36" s="51">
        <f>_xlfn.IFNA(VLOOKUP(Table9[[#This Row],[PRODUCT]],MARKET_id!B:C,2,FALSE),"no dsata")</f>
        <v>53</v>
      </c>
      <c r="I36" s="51">
        <f>IF(A36="Resource",VLOOKUP(D36,Resources!B:L,7,FALSE),VLOOKUP(D36,Crafting!B:O,13,FALSE))</f>
        <v>49.47</v>
      </c>
      <c r="J36" s="37">
        <f>IF(A36="Resource",VLOOKUP(D36,Resources!B:L,11,FALSE),VLOOKUP(D36,Crafting!B:O,14,FALSE))</f>
        <v>12.3675</v>
      </c>
      <c r="K36" s="37">
        <f>SUMIF(C:C,Table9[[#This Row],[sub_industry]],I:II)</f>
        <v>49.47</v>
      </c>
      <c r="L36" s="6">
        <f>SUMIF(C:C,Table9[[#This Row],[sub_industry]],J:J)</f>
        <v>12.3675</v>
      </c>
    </row>
    <row r="37" spans="1:12" x14ac:dyDescent="0.3">
      <c r="A37" s="2" t="s">
        <v>303</v>
      </c>
      <c r="B37" s="2" t="s">
        <v>224</v>
      </c>
      <c r="C37" s="2" t="s">
        <v>248</v>
      </c>
      <c r="D37" s="4">
        <v>18</v>
      </c>
      <c r="E37" s="2" t="s">
        <v>10</v>
      </c>
      <c r="F37" s="3">
        <f>IF(A37="Resource",0,VLOOKUP(D37,Crafting!B:O,9,FALSE))</f>
        <v>1</v>
      </c>
      <c r="G37" s="51">
        <f>IF(A37="Resource",VLOOKUP(D37,Resources!B:G,5,FALSE),VLOOKUP(D37,Crafting!B:O,11,FALSE))</f>
        <v>3.5</v>
      </c>
      <c r="H37" s="51">
        <f>_xlfn.IFNA(VLOOKUP(Table9[[#This Row],[PRODUCT]],MARKET_id!B:C,2,FALSE),"no dsata")</f>
        <v>46</v>
      </c>
      <c r="I37" s="51">
        <f>IF(A37="Resource",VLOOKUP(D37,Resources!B:L,7,FALSE),VLOOKUP(D37,Crafting!B:O,13,FALSE))</f>
        <v>44.54</v>
      </c>
      <c r="J37" s="37">
        <f>IF(A37="Resource",VLOOKUP(D37,Resources!B:L,11,FALSE),VLOOKUP(D37,Crafting!B:O,14,FALSE))</f>
        <v>12.725714285714286</v>
      </c>
      <c r="K37" s="37">
        <f>SUMIF(C:C,Table9[[#This Row],[sub_industry]],I:II)</f>
        <v>44.54</v>
      </c>
      <c r="L37" s="6">
        <f>SUMIF(C:C,Table9[[#This Row],[sub_industry]],J:J)</f>
        <v>12.725714285714286</v>
      </c>
    </row>
    <row r="38" spans="1:12" x14ac:dyDescent="0.3">
      <c r="A38" s="2" t="s">
        <v>303</v>
      </c>
      <c r="B38" s="2" t="s">
        <v>224</v>
      </c>
      <c r="C38" s="2" t="s">
        <v>247</v>
      </c>
      <c r="D38" s="4">
        <v>17</v>
      </c>
      <c r="E38" s="2" t="s">
        <v>162</v>
      </c>
      <c r="F38" s="3">
        <f>IF(A38="Resource",0,VLOOKUP(D38,Crafting!B:O,9,FALSE))</f>
        <v>1</v>
      </c>
      <c r="G38" s="51">
        <f>IF(A38="Resource",VLOOKUP(D38,Resources!B:G,5,FALSE),VLOOKUP(D38,Crafting!B:O,11,FALSE))</f>
        <v>3.5</v>
      </c>
      <c r="H38" s="51">
        <f>_xlfn.IFNA(VLOOKUP(Table9[[#This Row],[PRODUCT]],MARKET_id!B:C,2,FALSE),"no dsata")</f>
        <v>42</v>
      </c>
      <c r="I38" s="51">
        <f>IF(A38="Resource",VLOOKUP(D38,Resources!B:L,7,FALSE),VLOOKUP(D38,Crafting!B:O,13,FALSE))</f>
        <v>40.58</v>
      </c>
      <c r="J38" s="37">
        <f>IF(A38="Resource",VLOOKUP(D38,Resources!B:L,11,FALSE),VLOOKUP(D38,Crafting!B:O,14,FALSE))</f>
        <v>11.594285714285714</v>
      </c>
      <c r="K38" s="37">
        <f>SUMIF(C:C,Table9[[#This Row],[sub_industry]],I:II)</f>
        <v>40.58</v>
      </c>
      <c r="L38" s="6">
        <f>SUMIF(C:C,Table9[[#This Row],[sub_industry]],J:J)</f>
        <v>11.594285714285714</v>
      </c>
    </row>
    <row r="39" spans="1:12" hidden="1" x14ac:dyDescent="0.3">
      <c r="A39" s="2" t="s">
        <v>303</v>
      </c>
      <c r="B39" s="2" t="s">
        <v>227</v>
      </c>
      <c r="C39" s="2" t="str">
        <f>_xlfn.CONCAT(Table9[[#This Row],[INDUSTRY]],"-",Table9[[#This Row],[PRODUCT]])</f>
        <v>Kiln-Ironite Bar</v>
      </c>
      <c r="D39" s="4">
        <v>37</v>
      </c>
      <c r="E39" s="2" t="s">
        <v>181</v>
      </c>
      <c r="F39" s="3">
        <f>IF(A39="Resource",0,VLOOKUP(D39,Crafting!B:O,9,FALSE))</f>
        <v>84</v>
      </c>
      <c r="G39" s="51">
        <f>IF(A39="Resource",VLOOKUP(D39,Resources!B:G,5,FALSE),VLOOKUP(D39,Crafting!B:O,11,FALSE))</f>
        <v>3</v>
      </c>
      <c r="H39" s="51">
        <f>_xlfn.IFNA(VLOOKUP(Table9[[#This Row],[PRODUCT]],MARKET_id!B:C,2,FALSE),"no dsata")</f>
        <v>128</v>
      </c>
      <c r="I39" s="51">
        <f>IF(A39="Resource",VLOOKUP(D39,Resources!B:L,7,FALSE),VLOOKUP(D39,Crafting!B:O,13,FALSE))</f>
        <v>42.72</v>
      </c>
      <c r="J39" s="37">
        <f>IF(A39="Resource",VLOOKUP(D39,Resources!B:L,11,FALSE),VLOOKUP(D39,Crafting!B:O,14,FALSE))</f>
        <v>14.24</v>
      </c>
      <c r="K39" s="37">
        <f>SUMIF(C:C,Table9[[#This Row],[sub_industry]],I:II)</f>
        <v>42.72</v>
      </c>
      <c r="L39" s="6">
        <f>SUMIF(C:C,Table9[[#This Row],[sub_industry]],J:J)</f>
        <v>14.24</v>
      </c>
    </row>
    <row r="40" spans="1:12" x14ac:dyDescent="0.3">
      <c r="A40" s="2" t="s">
        <v>303</v>
      </c>
      <c r="B40" s="2" t="s">
        <v>224</v>
      </c>
      <c r="C40" s="2" t="s">
        <v>256</v>
      </c>
      <c r="D40" s="4">
        <v>26</v>
      </c>
      <c r="E40" s="2" t="s">
        <v>135</v>
      </c>
      <c r="F40" s="3">
        <f>IF(A40="Resource",0,VLOOKUP(D40,Crafting!B:O,9,FALSE))</f>
        <v>36</v>
      </c>
      <c r="G40" s="51">
        <f>IF(A40="Resource",VLOOKUP(D40,Resources!B:G,5,FALSE),VLOOKUP(D40,Crafting!B:O,11,FALSE))</f>
        <v>8.5</v>
      </c>
      <c r="H40" s="51">
        <f>_xlfn.IFNA(VLOOKUP(Table9[[#This Row],[PRODUCT]],MARKET_id!B:C,2,FALSE),"no dsata")</f>
        <v>138</v>
      </c>
      <c r="I40" s="51">
        <f>IF(A40="Resource",VLOOKUP(D40,Resources!B:L,7,FALSE),VLOOKUP(D40,Crafting!B:O,13,FALSE))</f>
        <v>100.62</v>
      </c>
      <c r="J40" s="37">
        <f>IF(A40="Resource",VLOOKUP(D40,Resources!B:L,11,FALSE),VLOOKUP(D40,Crafting!B:O,14,FALSE))</f>
        <v>11.83764705882353</v>
      </c>
      <c r="K40" s="37">
        <f>SUMIF(C:C,Table9[[#This Row],[sub_industry]],I:II)</f>
        <v>100.62</v>
      </c>
      <c r="L40" s="6">
        <f>SUMIF(C:C,Table9[[#This Row],[sub_industry]],J:J)</f>
        <v>11.83764705882353</v>
      </c>
    </row>
    <row r="41" spans="1:12" hidden="1" x14ac:dyDescent="0.3">
      <c r="A41" s="2" t="s">
        <v>303</v>
      </c>
      <c r="B41" s="2" t="s">
        <v>228</v>
      </c>
      <c r="C41" s="2" t="str">
        <f>_xlfn.CONCAT(Table9[[#This Row],[INDUSTRY]],"-",Table9[[#This Row],[PRODUCT]])</f>
        <v>Granger-Moomunch</v>
      </c>
      <c r="D41" s="4">
        <v>45</v>
      </c>
      <c r="E41" s="2" t="s">
        <v>229</v>
      </c>
      <c r="F41" s="3">
        <f>IF(A41="Resource",0,VLOOKUP(D41,Crafting!B:O,9,FALSE))</f>
        <v>836</v>
      </c>
      <c r="G41" s="51">
        <f>IF(A41="Resource",VLOOKUP(D41,Resources!B:G,5,FALSE),VLOOKUP(D41,Crafting!B:O,11,FALSE))</f>
        <v>10</v>
      </c>
      <c r="H41" s="51">
        <f>_xlfn.IFNA(VLOOKUP(Table9[[#This Row],[PRODUCT]],MARKET_id!B:C,2,FALSE),"no dsata")</f>
        <v>950</v>
      </c>
      <c r="I41" s="51">
        <f>IF(A41="Resource",VLOOKUP(D41,Resources!B:L,7,FALSE),VLOOKUP(D41,Crafting!B:O,13,FALSE))</f>
        <v>104.5</v>
      </c>
      <c r="J41" s="37">
        <f>IF(A41="Resource",VLOOKUP(D41,Resources!B:L,11,FALSE),VLOOKUP(D41,Crafting!B:O,14,FALSE))</f>
        <v>10.45</v>
      </c>
      <c r="K41" s="37">
        <f>SUMIF(C:C,Table9[[#This Row],[sub_industry]],I:II)</f>
        <v>104.5</v>
      </c>
      <c r="L41" s="6">
        <f>SUMIF(C:C,Table9[[#This Row],[sub_industry]],J:J)</f>
        <v>10.45</v>
      </c>
    </row>
    <row r="42" spans="1:12" x14ac:dyDescent="0.3">
      <c r="A42" s="2" t="s">
        <v>303</v>
      </c>
      <c r="B42" s="2" t="s">
        <v>224</v>
      </c>
      <c r="C42" s="2" t="s">
        <v>252</v>
      </c>
      <c r="D42" s="4">
        <v>22</v>
      </c>
      <c r="E42" s="2" t="s">
        <v>184</v>
      </c>
      <c r="F42" s="3">
        <f>IF(A42="Resource",0,VLOOKUP(D42,Crafting!B:O,9,FALSE))</f>
        <v>3</v>
      </c>
      <c r="G42" s="51">
        <f>IF(A42="Resource",VLOOKUP(D42,Resources!B:G,5,FALSE),VLOOKUP(D42,Crafting!B:O,11,FALSE))</f>
        <v>5</v>
      </c>
      <c r="H42" s="51">
        <f>_xlfn.IFNA(VLOOKUP(Table9[[#This Row],[PRODUCT]],MARKET_id!B:C,2,FALSE),"no dsata")</f>
        <v>52</v>
      </c>
      <c r="I42" s="51">
        <f>IF(A42="Resource",VLOOKUP(D42,Resources!B:L,7,FALSE),VLOOKUP(D42,Crafting!B:O,13,FALSE))</f>
        <v>47.965199999999996</v>
      </c>
      <c r="J42" s="37">
        <f>IF(A42="Resource",VLOOKUP(D42,Resources!B:L,11,FALSE),VLOOKUP(D42,Crafting!B:O,14,FALSE))</f>
        <v>9.5930399999999985</v>
      </c>
      <c r="K42" s="37">
        <f>SUMIF(C:C,Table9[[#This Row],[sub_industry]],I:II)</f>
        <v>47.965199999999996</v>
      </c>
      <c r="L42" s="6">
        <f>SUMIF(C:C,Table9[[#This Row],[sub_industry]],J:J)</f>
        <v>9.5930399999999985</v>
      </c>
    </row>
    <row r="43" spans="1:12" x14ac:dyDescent="0.3">
      <c r="A43" s="2" t="s">
        <v>303</v>
      </c>
      <c r="B43" s="2" t="s">
        <v>224</v>
      </c>
      <c r="C43" s="2" t="s">
        <v>250</v>
      </c>
      <c r="D43" s="4">
        <v>20</v>
      </c>
      <c r="E43" s="2" t="s">
        <v>183</v>
      </c>
      <c r="F43" s="3">
        <f>IF(A43="Resource",0,VLOOKUP(D43,Crafting!B:O,9,FALSE))</f>
        <v>15</v>
      </c>
      <c r="G43" s="51">
        <f>IF(A43="Resource",VLOOKUP(D43,Resources!B:G,5,FALSE),VLOOKUP(D43,Crafting!B:O,11,FALSE))</f>
        <v>8</v>
      </c>
      <c r="H43" s="51">
        <f>_xlfn.IFNA(VLOOKUP(Table9[[#This Row],[PRODUCT]],MARKET_id!B:C,2,FALSE),"no dsata")</f>
        <v>87</v>
      </c>
      <c r="I43" s="51">
        <f>IF(A43="Resource",VLOOKUP(D43,Resources!B:L,7,FALSE),VLOOKUP(D43,Crafting!B:O,13,FALSE))</f>
        <v>71.13</v>
      </c>
      <c r="J43" s="37">
        <f>IF(A43="Resource",VLOOKUP(D43,Resources!B:L,11,FALSE),VLOOKUP(D43,Crafting!B:O,14,FALSE))</f>
        <v>8.8912499999999994</v>
      </c>
      <c r="K43" s="37">
        <f>SUMIF(C:C,Table9[[#This Row],[sub_industry]],I:II)</f>
        <v>71.13</v>
      </c>
      <c r="L43" s="6">
        <f>SUMIF(C:C,Table9[[#This Row],[sub_industry]],J:J)</f>
        <v>8.8912499999999994</v>
      </c>
    </row>
    <row r="44" spans="1:12" hidden="1" x14ac:dyDescent="0.3">
      <c r="A44" s="2" t="s">
        <v>304</v>
      </c>
      <c r="B44" s="2" t="s">
        <v>232</v>
      </c>
      <c r="C44" s="2" t="s">
        <v>232</v>
      </c>
      <c r="D44" s="4">
        <v>8</v>
      </c>
      <c r="E44" s="2" t="s">
        <v>122</v>
      </c>
      <c r="F44" s="3">
        <f>IF(A44="Resource",0,VLOOKUP(D44,Crafting!B:O,9,FALSE))</f>
        <v>0</v>
      </c>
      <c r="G44" s="51">
        <f>IF(A44="Resource",VLOOKUP(D44,Resources!B:G,5,FALSE),VLOOKUP(D44,Crafting!B:O,11,FALSE))</f>
        <v>8</v>
      </c>
      <c r="H44" s="51">
        <f>_xlfn.IFNA(VLOOKUP(Table9[[#This Row],[PRODUCT]],MARKET_id!B:C,2,FALSE),"no dsata")</f>
        <v>200</v>
      </c>
      <c r="I44" s="51" t="e">
        <f>IF(A44="Resource",VLOOKUP(D44,Resources!B:L,7,FALSE),VLOOKUP(D44,Crafting!B:O,13,FALSE))</f>
        <v>#N/A</v>
      </c>
      <c r="J44" s="37" t="e">
        <f>IF(A44="Resource",VLOOKUP(D44,Resources!B:L,11,FALSE),VLOOKUP(D44,Crafting!B:O,14,FALSE))</f>
        <v>#N/A</v>
      </c>
      <c r="K44" s="37" t="e">
        <f>SUMIF(C:C,Table9[[#This Row],[sub_industry]],I:II)</f>
        <v>#N/A</v>
      </c>
      <c r="L44" s="6" t="e">
        <f>SUMIF(C:C,Table9[[#This Row],[sub_industry]],J:J)</f>
        <v>#N/A</v>
      </c>
    </row>
    <row r="45" spans="1:12" x14ac:dyDescent="0.3">
      <c r="A45" s="2" t="s">
        <v>303</v>
      </c>
      <c r="B45" s="2" t="s">
        <v>224</v>
      </c>
      <c r="C45" s="2" t="s">
        <v>255</v>
      </c>
      <c r="D45" s="4">
        <v>25</v>
      </c>
      <c r="E45" s="2" t="s">
        <v>177</v>
      </c>
      <c r="F45" s="3">
        <f>IF(A45="Resource",0,VLOOKUP(D45,Crafting!B:O,9,FALSE))</f>
        <v>18</v>
      </c>
      <c r="G45" s="51">
        <f>IF(A45="Resource",VLOOKUP(D45,Resources!B:G,5,FALSE),VLOOKUP(D45,Crafting!B:O,11,FALSE))</f>
        <v>11.5</v>
      </c>
      <c r="H45" s="51">
        <f>_xlfn.IFNA(VLOOKUP(Table9[[#This Row],[PRODUCT]],MARKET_id!B:C,2,FALSE),"no dsata")</f>
        <v>120</v>
      </c>
      <c r="I45" s="51">
        <f>IF(A45="Resource",VLOOKUP(D45,Resources!B:L,7,FALSE),VLOOKUP(D45,Crafting!B:O,13,FALSE))</f>
        <v>100.8</v>
      </c>
      <c r="J45" s="37">
        <f>IF(A45="Resource",VLOOKUP(D45,Resources!B:L,11,FALSE),VLOOKUP(D45,Crafting!B:O,14,FALSE))</f>
        <v>8.765217391304347</v>
      </c>
      <c r="K45" s="37">
        <f>SUMIF(C:C,Table9[[#This Row],[sub_industry]],I:II)</f>
        <v>100.8</v>
      </c>
      <c r="L45" s="6">
        <f>SUMIF(C:C,Table9[[#This Row],[sub_industry]],J:J)</f>
        <v>8.765217391304347</v>
      </c>
    </row>
    <row r="46" spans="1:12" x14ac:dyDescent="0.3">
      <c r="A46" s="2" t="s">
        <v>303</v>
      </c>
      <c r="B46" s="2" t="s">
        <v>224</v>
      </c>
      <c r="C46" s="2" t="s">
        <v>254</v>
      </c>
      <c r="D46" s="4">
        <v>24</v>
      </c>
      <c r="E46" s="2" t="s">
        <v>156</v>
      </c>
      <c r="F46" s="3">
        <f>IF(A46="Resource",0,VLOOKUP(D46,Crafting!B:O,9,FALSE))</f>
        <v>12</v>
      </c>
      <c r="G46" s="51">
        <f>IF(A46="Resource",VLOOKUP(D46,Resources!B:G,5,FALSE),VLOOKUP(D46,Crafting!B:O,11,FALSE))</f>
        <v>8</v>
      </c>
      <c r="H46" s="51">
        <f>_xlfn.IFNA(VLOOKUP(Table9[[#This Row],[PRODUCT]],MARKET_id!B:C,2,FALSE),"no dsata")</f>
        <v>79</v>
      </c>
      <c r="I46" s="51">
        <f>IF(A46="Resource",VLOOKUP(D46,Resources!B:L,7,FALSE),VLOOKUP(D46,Crafting!B:O,13,FALSE))</f>
        <v>66.209999999999994</v>
      </c>
      <c r="J46" s="37">
        <f>IF(A46="Resource",VLOOKUP(D46,Resources!B:L,11,FALSE),VLOOKUP(D46,Crafting!B:O,14,FALSE))</f>
        <v>8.2762499999999992</v>
      </c>
      <c r="K46" s="37">
        <f>SUMIF(C:C,Table9[[#This Row],[sub_industry]],I:II)</f>
        <v>66.209999999999994</v>
      </c>
      <c r="L46" s="6">
        <f>SUMIF(C:C,Table9[[#This Row],[sub_industry]],J:J)</f>
        <v>8.2762499999999992</v>
      </c>
    </row>
    <row r="47" spans="1:12" hidden="1" x14ac:dyDescent="0.3">
      <c r="A47" s="2" t="s">
        <v>304</v>
      </c>
      <c r="B47" s="2" t="s">
        <v>222</v>
      </c>
      <c r="C47" s="2" t="s">
        <v>222</v>
      </c>
      <c r="D47" s="4">
        <v>12</v>
      </c>
      <c r="E47" s="2" t="s">
        <v>171</v>
      </c>
      <c r="F47" s="3">
        <f>IF(A47="Resource",0,VLOOKUP(D47,Crafting!B:O,9,FALSE))</f>
        <v>0</v>
      </c>
      <c r="G47" s="51">
        <f>IF(A47="Resource",VLOOKUP(D47,Resources!B:G,5,FALSE),VLOOKUP(D47,Crafting!B:O,11,FALSE))</f>
        <v>5</v>
      </c>
      <c r="H47" s="51">
        <f>_xlfn.IFNA(VLOOKUP(Table9[[#This Row],[PRODUCT]],MARKET_id!B:C,2,FALSE),"no dsata")</f>
        <v>117</v>
      </c>
      <c r="I47" s="51" t="e">
        <f>IF(A47="Resource",VLOOKUP(D47,Resources!B:L,7,FALSE),VLOOKUP(D47,Crafting!B:O,13,FALSE))</f>
        <v>#N/A</v>
      </c>
      <c r="J47" s="37" t="e">
        <f>IF(A47="Resource",VLOOKUP(D47,Resources!B:L,11,FALSE),VLOOKUP(D47,Crafting!B:O,14,FALSE))</f>
        <v>#N/A</v>
      </c>
      <c r="K47" s="37" t="e">
        <f>SUMIF(C:C,Table9[[#This Row],[sub_industry]],I:II)</f>
        <v>#N/A</v>
      </c>
      <c r="L47" s="6" t="e">
        <f>SUMIF(C:C,Table9[[#This Row],[sub_industry]],J:J)</f>
        <v>#N/A</v>
      </c>
    </row>
    <row r="48" spans="1:12" hidden="1" x14ac:dyDescent="0.3">
      <c r="A48" s="2" t="s">
        <v>304</v>
      </c>
      <c r="B48" s="2" t="s">
        <v>232</v>
      </c>
      <c r="C48" s="2" t="s">
        <v>232</v>
      </c>
      <c r="D48" s="4">
        <v>7</v>
      </c>
      <c r="E48" s="2" t="s">
        <v>154</v>
      </c>
      <c r="F48" s="3">
        <f>IF(A48="Resource",0,VLOOKUP(D48,Crafting!B:O,9,FALSE))</f>
        <v>0</v>
      </c>
      <c r="G48" s="51">
        <f>IF(A48="Resource",VLOOKUP(D48,Resources!B:G,5,FALSE),VLOOKUP(D48,Crafting!B:O,11,FALSE))</f>
        <v>8</v>
      </c>
      <c r="H48" s="51">
        <f>_xlfn.IFNA(VLOOKUP(Table9[[#This Row],[PRODUCT]],MARKET_id!B:C,2,FALSE),"no dsata")</f>
        <v>21</v>
      </c>
      <c r="I48" s="51" t="e">
        <f>IF(A48="Resource",VLOOKUP(D48,Resources!B:L,7,FALSE),VLOOKUP(D48,Crafting!B:O,13,FALSE))</f>
        <v>#N/A</v>
      </c>
      <c r="J48" s="37" t="e">
        <f>IF(A48="Resource",VLOOKUP(D48,Resources!B:L,11,FALSE),VLOOKUP(D48,Crafting!B:O,14,FALSE))</f>
        <v>#N/A</v>
      </c>
      <c r="K48" s="37" t="e">
        <f>SUMIF(C:C,Table9[[#This Row],[sub_industry]],I:II)</f>
        <v>#N/A</v>
      </c>
      <c r="L48" s="6" t="e">
        <f>SUMIF(C:C,Table9[[#This Row],[sub_industry]],J:J)</f>
        <v>#N/A</v>
      </c>
    </row>
    <row r="49" spans="1:12" hidden="1" x14ac:dyDescent="0.3">
      <c r="A49" s="2" t="s">
        <v>304</v>
      </c>
      <c r="B49" s="2" t="s">
        <v>231</v>
      </c>
      <c r="C49" s="2" t="s">
        <v>231</v>
      </c>
      <c r="D49" s="4">
        <v>7</v>
      </c>
      <c r="E49" s="2" t="s">
        <v>154</v>
      </c>
      <c r="F49" s="3">
        <f>IF(A49="Resource",0,VLOOKUP(D49,Crafting!B:O,9,FALSE))</f>
        <v>0</v>
      </c>
      <c r="G49" s="51">
        <f>IF(A49="Resource",VLOOKUP(D49,Resources!B:G,5,FALSE),VLOOKUP(D49,Crafting!B:O,11,FALSE))</f>
        <v>8</v>
      </c>
      <c r="H49" s="51">
        <f>_xlfn.IFNA(VLOOKUP(Table9[[#This Row],[PRODUCT]],MARKET_id!B:C,2,FALSE),"no dsata")</f>
        <v>21</v>
      </c>
      <c r="I49" s="51" t="e">
        <f>IF(A49="Resource",VLOOKUP(D49,Resources!B:L,7,FALSE),VLOOKUP(D49,Crafting!B:O,13,FALSE))</f>
        <v>#N/A</v>
      </c>
      <c r="J49" s="37" t="e">
        <f>IF(A49="Resource",VLOOKUP(D49,Resources!B:L,11,FALSE),VLOOKUP(D49,Crafting!B:O,14,FALSE))</f>
        <v>#N/A</v>
      </c>
      <c r="K49" s="37" t="e">
        <f>SUMIF(C:C,Table9[[#This Row],[sub_industry]],I:II)</f>
        <v>#N/A</v>
      </c>
      <c r="L49" s="6" t="e">
        <f>SUMIF(C:C,Table9[[#This Row],[sub_industry]],J:J)</f>
        <v>#N/A</v>
      </c>
    </row>
    <row r="50" spans="1:12" hidden="1" x14ac:dyDescent="0.3">
      <c r="A50" s="2" t="s">
        <v>304</v>
      </c>
      <c r="B50" s="2" t="s">
        <v>233</v>
      </c>
      <c r="C50" s="2" t="s">
        <v>233</v>
      </c>
      <c r="D50" s="4">
        <v>7</v>
      </c>
      <c r="E50" s="2" t="s">
        <v>154</v>
      </c>
      <c r="F50" s="3">
        <f>IF(A50="Resource",0,VLOOKUP(D50,Crafting!B:O,9,FALSE))</f>
        <v>0</v>
      </c>
      <c r="G50" s="51">
        <f>IF(A50="Resource",VLOOKUP(D50,Resources!B:G,5,FALSE),VLOOKUP(D50,Crafting!B:O,11,FALSE))</f>
        <v>8</v>
      </c>
      <c r="H50" s="51">
        <f>_xlfn.IFNA(VLOOKUP(Table9[[#This Row],[PRODUCT]],MARKET_id!B:C,2,FALSE),"no dsata")</f>
        <v>21</v>
      </c>
      <c r="I50" s="51" t="e">
        <f>IF(A50="Resource",VLOOKUP(D50,Resources!B:L,7,FALSE),VLOOKUP(D50,Crafting!B:O,13,FALSE))</f>
        <v>#N/A</v>
      </c>
      <c r="J50" s="37" t="e">
        <f>IF(A50="Resource",VLOOKUP(D50,Resources!B:L,11,FALSE),VLOOKUP(D50,Crafting!B:O,14,FALSE))</f>
        <v>#N/A</v>
      </c>
      <c r="K50" s="37" t="e">
        <f>SUMIF(C:C,Table9[[#This Row],[sub_industry]],I:II)</f>
        <v>#N/A</v>
      </c>
      <c r="L50" s="6" t="e">
        <f>SUMIF(C:C,Table9[[#This Row],[sub_industry]],J:J)</f>
        <v>#N/A</v>
      </c>
    </row>
    <row r="51" spans="1:12" hidden="1" x14ac:dyDescent="0.3">
      <c r="A51" s="2" t="s">
        <v>304</v>
      </c>
      <c r="B51" s="2" t="s">
        <v>2</v>
      </c>
      <c r="C51" s="2" t="s">
        <v>2</v>
      </c>
      <c r="D51" s="4">
        <v>2</v>
      </c>
      <c r="E51" s="2" t="s">
        <v>161</v>
      </c>
      <c r="F51" s="3">
        <f>IF(A51="Resource",0,VLOOKUP(D51,Crafting!B:O,9,FALSE))</f>
        <v>0</v>
      </c>
      <c r="G51" s="51">
        <f>IF(A51="Resource",VLOOKUP(D51,Resources!B:G,5,FALSE),VLOOKUP(D51,Crafting!B:O,11,FALSE))</f>
        <v>1.5</v>
      </c>
      <c r="H51" s="51">
        <f>_xlfn.IFNA(VLOOKUP(Table9[[#This Row],[PRODUCT]],MARKET_id!B:C,2,FALSE),"no dsata")</f>
        <v>102</v>
      </c>
      <c r="I51" s="51" t="e">
        <f>IF(A51="Resource",VLOOKUP(D51,Resources!B:L,7,FALSE),VLOOKUP(D51,Crafting!B:O,13,FALSE))</f>
        <v>#N/A</v>
      </c>
      <c r="J51" s="37" t="e">
        <f>IF(A51="Resource",VLOOKUP(D51,Resources!B:L,11,FALSE),VLOOKUP(D51,Crafting!B:O,14,FALSE))</f>
        <v>#N/A</v>
      </c>
      <c r="K51" s="37" t="e">
        <f>SUMIF(C:C,Table9[[#This Row],[sub_industry]],I:II)</f>
        <v>#N/A</v>
      </c>
      <c r="L51" s="6" t="e">
        <f>SUMIF(C:C,Table9[[#This Row],[sub_industry]],J:J)</f>
        <v>#N/A</v>
      </c>
    </row>
    <row r="52" spans="1:12" hidden="1" x14ac:dyDescent="0.3">
      <c r="A52" s="2" t="s">
        <v>304</v>
      </c>
      <c r="B52" s="2" t="s">
        <v>221</v>
      </c>
      <c r="C52" s="2" t="s">
        <v>221</v>
      </c>
      <c r="D52" s="4">
        <v>5</v>
      </c>
      <c r="E52" s="2" t="s">
        <v>153</v>
      </c>
      <c r="F52" s="3">
        <f>IF(A52="Resource",0,VLOOKUP(D52,Crafting!B:O,9,FALSE))</f>
        <v>0</v>
      </c>
      <c r="G52" s="51">
        <f>IF(A52="Resource",VLOOKUP(D52,Resources!B:G,5,FALSE),VLOOKUP(D52,Crafting!B:O,11,FALSE))</f>
        <v>2.5</v>
      </c>
      <c r="H52" s="51">
        <f>_xlfn.IFNA(VLOOKUP(Table9[[#This Row],[PRODUCT]],MARKET_id!B:C,2,FALSE),"no dsata")</f>
        <v>79</v>
      </c>
      <c r="I52" s="51" t="e">
        <f>IF(A52="Resource",VLOOKUP(D52,Resources!B:L,7,FALSE),VLOOKUP(D52,Crafting!B:O,13,FALSE))</f>
        <v>#N/A</v>
      </c>
      <c r="J52" s="37" t="e">
        <f>IF(A52="Resource",VLOOKUP(D52,Resources!B:L,11,FALSE),VLOOKUP(D52,Crafting!B:O,14,FALSE))</f>
        <v>#N/A</v>
      </c>
      <c r="K52" s="37" t="e">
        <f>SUMIF(C:C,Table9[[#This Row],[sub_industry]],I:II)</f>
        <v>#N/A</v>
      </c>
      <c r="L52" s="6" t="e">
        <f>SUMIF(C:C,Table9[[#This Row],[sub_industry]],J:J)</f>
        <v>#N/A</v>
      </c>
    </row>
    <row r="53" spans="1:12" hidden="1" x14ac:dyDescent="0.3">
      <c r="A53" s="2" t="s">
        <v>304</v>
      </c>
      <c r="B53" s="2" t="s">
        <v>222</v>
      </c>
      <c r="C53" s="2" t="s">
        <v>222</v>
      </c>
      <c r="D53" s="4">
        <v>11</v>
      </c>
      <c r="E53" s="2" t="s">
        <v>180</v>
      </c>
      <c r="F53" s="3">
        <f>IF(A53="Resource",0,VLOOKUP(D53,Crafting!B:O,9,FALSE))</f>
        <v>0</v>
      </c>
      <c r="G53" s="51">
        <f>IF(A53="Resource",VLOOKUP(D53,Resources!B:G,5,FALSE),VLOOKUP(D53,Crafting!B:O,11,FALSE))</f>
        <v>5</v>
      </c>
      <c r="H53" s="51">
        <f>_xlfn.IFNA(VLOOKUP(Table9[[#This Row],[PRODUCT]],MARKET_id!B:C,2,FALSE),"no dsata")</f>
        <v>9</v>
      </c>
      <c r="I53" s="51" t="e">
        <f>IF(A53="Resource",VLOOKUP(D53,Resources!B:L,7,FALSE),VLOOKUP(D53,Crafting!B:O,13,FALSE))</f>
        <v>#N/A</v>
      </c>
      <c r="J53" s="37" t="e">
        <f>IF(A53="Resource",VLOOKUP(D53,Resources!B:L,11,FALSE),VLOOKUP(D53,Crafting!B:O,14,FALSE))</f>
        <v>#N/A</v>
      </c>
      <c r="K53" s="37" t="e">
        <f>SUMIF(C:C,Table9[[#This Row],[sub_industry]],I:II)</f>
        <v>#N/A</v>
      </c>
      <c r="L53" s="6" t="e">
        <f>SUMIF(C:C,Table9[[#This Row],[sub_industry]],J:J)</f>
        <v>#N/A</v>
      </c>
    </row>
    <row r="54" spans="1:12" hidden="1" x14ac:dyDescent="0.3">
      <c r="A54" s="2" t="s">
        <v>304</v>
      </c>
      <c r="B54" s="2" t="s">
        <v>223</v>
      </c>
      <c r="C54" s="2" t="s">
        <v>223</v>
      </c>
      <c r="D54" s="4">
        <v>16</v>
      </c>
      <c r="E54" s="2" t="s">
        <v>151</v>
      </c>
      <c r="F54" s="3">
        <f>IF(A54="Resource",0,VLOOKUP(D54,Crafting!B:O,9,FALSE))</f>
        <v>0</v>
      </c>
      <c r="G54" s="51">
        <f>IF(A54="Resource",VLOOKUP(D54,Resources!B:G,5,FALSE),VLOOKUP(D54,Crafting!B:O,11,FALSE))</f>
        <v>6</v>
      </c>
      <c r="H54" s="51">
        <f>_xlfn.IFNA(VLOOKUP(Table9[[#This Row],[PRODUCT]],MARKET_id!B:C,2,FALSE),"no dsata")</f>
        <v>987</v>
      </c>
      <c r="I54" s="51" t="e">
        <f>IF(A54="Resource",VLOOKUP(D54,Resources!B:L,7,FALSE),VLOOKUP(D54,Crafting!B:O,13,FALSE))</f>
        <v>#N/A</v>
      </c>
      <c r="J54" s="37" t="e">
        <f>IF(A54="Resource",VLOOKUP(D54,Resources!B:L,11,FALSE),VLOOKUP(D54,Crafting!B:O,14,FALSE))</f>
        <v>#N/A</v>
      </c>
      <c r="K54" s="37" t="e">
        <f>SUMIF(C:C,Table9[[#This Row],[sub_industry]],I:II)</f>
        <v>#N/A</v>
      </c>
      <c r="L54" s="6" t="e">
        <f>SUMIF(C:C,Table9[[#This Row],[sub_industry]],J:J)</f>
        <v>#N/A</v>
      </c>
    </row>
    <row r="55" spans="1:12" hidden="1" x14ac:dyDescent="0.3">
      <c r="A55" s="2" t="s">
        <v>304</v>
      </c>
      <c r="B55" s="2" t="s">
        <v>233</v>
      </c>
      <c r="C55" s="2" t="s">
        <v>233</v>
      </c>
      <c r="D55" s="4">
        <v>10</v>
      </c>
      <c r="E55" s="2" t="s">
        <v>159</v>
      </c>
      <c r="F55" s="3">
        <f>IF(A55="Resource",0,VLOOKUP(D55,Crafting!B:O,9,FALSE))</f>
        <v>0</v>
      </c>
      <c r="G55" s="51">
        <f>IF(A55="Resource",VLOOKUP(D55,Resources!B:G,5,FALSE),VLOOKUP(D55,Crafting!B:O,11,FALSE))</f>
        <v>8</v>
      </c>
      <c r="H55" s="51">
        <f>_xlfn.IFNA(VLOOKUP(Table9[[#This Row],[PRODUCT]],MARKET_id!B:C,2,FALSE),"no dsata")</f>
        <v>524</v>
      </c>
      <c r="I55" s="51" t="e">
        <f>IF(A55="Resource",VLOOKUP(D55,Resources!B:L,7,FALSE),VLOOKUP(D55,Crafting!B:O,13,FALSE))</f>
        <v>#N/A</v>
      </c>
      <c r="J55" s="37" t="e">
        <f>IF(A55="Resource",VLOOKUP(D55,Resources!B:L,11,FALSE),VLOOKUP(D55,Crafting!B:O,14,FALSE))</f>
        <v>#N/A</v>
      </c>
      <c r="K55" s="37" t="e">
        <f>SUMIF(C:C,Table9[[#This Row],[sub_industry]],I:II)</f>
        <v>#N/A</v>
      </c>
      <c r="L55" s="6" t="e">
        <f>SUMIF(C:C,Table9[[#This Row],[sub_industry]],J:J)</f>
        <v>#N/A</v>
      </c>
    </row>
    <row r="56" spans="1:12" hidden="1" x14ac:dyDescent="0.3">
      <c r="A56" s="2" t="s">
        <v>304</v>
      </c>
      <c r="B56" s="2" t="s">
        <v>231</v>
      </c>
      <c r="C56" s="2" t="s">
        <v>231</v>
      </c>
      <c r="D56" s="4">
        <v>9</v>
      </c>
      <c r="E56" s="2" t="s">
        <v>152</v>
      </c>
      <c r="F56" s="3">
        <f>IF(A56="Resource",0,VLOOKUP(D56,Crafting!B:O,9,FALSE))</f>
        <v>0</v>
      </c>
      <c r="G56" s="51">
        <f>IF(A56="Resource",VLOOKUP(D56,Resources!B:G,5,FALSE),VLOOKUP(D56,Crafting!B:O,11,FALSE))</f>
        <v>8</v>
      </c>
      <c r="H56" s="51">
        <f>_xlfn.IFNA(VLOOKUP(Table9[[#This Row],[PRODUCT]],MARKET_id!B:C,2,FALSE),"no dsata")</f>
        <v>88</v>
      </c>
      <c r="I56" s="51" t="e">
        <f>IF(A56="Resource",VLOOKUP(D56,Resources!B:L,7,FALSE),VLOOKUP(D56,Crafting!B:O,13,FALSE))</f>
        <v>#N/A</v>
      </c>
      <c r="J56" s="37" t="e">
        <f>IF(A56="Resource",VLOOKUP(D56,Resources!B:L,11,FALSE),VLOOKUP(D56,Crafting!B:O,14,FALSE))</f>
        <v>#N/A</v>
      </c>
      <c r="K56" s="37" t="e">
        <f>SUMIF(C:C,Table9[[#This Row],[sub_industry]],I:II)</f>
        <v>#N/A</v>
      </c>
      <c r="L56" s="6" t="e">
        <f>SUMIF(C:C,Table9[[#This Row],[sub_industry]],J:J)</f>
        <v>#N/A</v>
      </c>
    </row>
    <row r="57" spans="1:12" hidden="1" x14ac:dyDescent="0.3">
      <c r="A57" s="2" t="s">
        <v>304</v>
      </c>
      <c r="B57" s="2" t="s">
        <v>2</v>
      </c>
      <c r="C57" s="2" t="s">
        <v>2</v>
      </c>
      <c r="D57" s="4">
        <v>3</v>
      </c>
      <c r="E57" s="2" t="s">
        <v>125</v>
      </c>
      <c r="F57" s="3">
        <f>IF(A57="Resource",0,VLOOKUP(D57,Crafting!B:O,9,FALSE))</f>
        <v>0</v>
      </c>
      <c r="G57" s="51">
        <f>IF(A57="Resource",VLOOKUP(D57,Resources!B:G,5,FALSE),VLOOKUP(D57,Crafting!B:O,11,FALSE))</f>
        <v>1.5</v>
      </c>
      <c r="H57" s="51">
        <f>_xlfn.IFNA(VLOOKUP(Table9[[#This Row],[PRODUCT]],MARKET_id!B:C,2,FALSE),"no dsata")</f>
        <v>444</v>
      </c>
      <c r="I57" s="51" t="e">
        <f>IF(A57="Resource",VLOOKUP(D57,Resources!B:L,7,FALSE),VLOOKUP(D57,Crafting!B:O,13,FALSE))</f>
        <v>#N/A</v>
      </c>
      <c r="J57" s="37" t="e">
        <f>IF(A57="Resource",VLOOKUP(D57,Resources!B:L,11,FALSE),VLOOKUP(D57,Crafting!B:O,14,FALSE))</f>
        <v>#N/A</v>
      </c>
      <c r="K57" s="37" t="e">
        <f>SUMIF(C:C,Table9[[#This Row],[sub_industry]],I:II)</f>
        <v>#N/A</v>
      </c>
      <c r="L57" s="6" t="e">
        <f>SUMIF(C:C,Table9[[#This Row],[sub_industry]],J:J)</f>
        <v>#N/A</v>
      </c>
    </row>
    <row r="58" spans="1:12" hidden="1" x14ac:dyDescent="0.3">
      <c r="A58" s="2" t="s">
        <v>304</v>
      </c>
      <c r="B58" s="2" t="s">
        <v>222</v>
      </c>
      <c r="C58" s="2" t="s">
        <v>222</v>
      </c>
      <c r="D58" s="4">
        <v>13</v>
      </c>
      <c r="E58" s="2" t="s">
        <v>167</v>
      </c>
      <c r="F58" s="3">
        <f>IF(A58="Resource",0,VLOOKUP(D58,Crafting!B:O,9,FALSE))</f>
        <v>0</v>
      </c>
      <c r="G58" s="51">
        <f>IF(A58="Resource",VLOOKUP(D58,Resources!B:G,5,FALSE),VLOOKUP(D58,Crafting!B:O,11,FALSE))</f>
        <v>5</v>
      </c>
      <c r="H58" s="51">
        <f>_xlfn.IFNA(VLOOKUP(Table9[[#This Row],[PRODUCT]],MARKET_id!B:C,2,FALSE),"no dsata")</f>
        <v>340</v>
      </c>
      <c r="I58" s="51" t="e">
        <f>IF(A58="Resource",VLOOKUP(D58,Resources!B:L,7,FALSE),VLOOKUP(D58,Crafting!B:O,13,FALSE))</f>
        <v>#N/A</v>
      </c>
      <c r="J58" s="37" t="e">
        <f>IF(A58="Resource",VLOOKUP(D58,Resources!B:L,11,FALSE),VLOOKUP(D58,Crafting!B:O,14,FALSE))</f>
        <v>#N/A</v>
      </c>
      <c r="K58" s="37" t="e">
        <f>SUMIF(C:C,Table9[[#This Row],[sub_industry]],I:II)</f>
        <v>#N/A</v>
      </c>
      <c r="L58" s="6" t="e">
        <f>SUMIF(C:C,Table9[[#This Row],[sub_industry]],J:J)</f>
        <v>#N/A</v>
      </c>
    </row>
    <row r="59" spans="1:12" x14ac:dyDescent="0.3">
      <c r="A59" s="2" t="s">
        <v>303</v>
      </c>
      <c r="B59" s="2" t="s">
        <v>224</v>
      </c>
      <c r="C59" s="2" t="s">
        <v>258</v>
      </c>
      <c r="D59" s="4">
        <v>28</v>
      </c>
      <c r="E59" s="2" t="s">
        <v>163</v>
      </c>
      <c r="F59" s="3">
        <f>IF(A59="Resource",0,VLOOKUP(D59,Crafting!B:O,9,FALSE))</f>
        <v>3</v>
      </c>
      <c r="G59" s="51">
        <f>IF(A59="Resource",VLOOKUP(D59,Resources!B:G,5,FALSE),VLOOKUP(D59,Crafting!B:O,11,FALSE))</f>
        <v>5</v>
      </c>
      <c r="H59" s="51">
        <f>_xlfn.IFNA(VLOOKUP(Table9[[#This Row],[PRODUCT]],MARKET_id!B:C,2,FALSE),"no dsata")</f>
        <v>396</v>
      </c>
      <c r="I59" s="51">
        <f>IF(A59="Resource",VLOOKUP(D59,Resources!B:L,7,FALSE),VLOOKUP(D59,Crafting!B:O,13,FALSE))</f>
        <v>0.92040000000000033</v>
      </c>
      <c r="J59" s="37">
        <f>IF(A59="Resource",VLOOKUP(D59,Resources!B:L,11,FALSE),VLOOKUP(D59,Crafting!B:O,14,FALSE))</f>
        <v>0.18408000000000008</v>
      </c>
      <c r="K59" s="37">
        <f>SUMIF(C:C,Table9[[#This Row],[sub_industry]],I:II)</f>
        <v>0.92040000000000033</v>
      </c>
      <c r="L59" s="6">
        <f>SUMIF(C:C,Table9[[#This Row],[sub_industry]],J:J)</f>
        <v>0.18408000000000008</v>
      </c>
    </row>
    <row r="60" spans="1:12" hidden="1" x14ac:dyDescent="0.3">
      <c r="A60" s="2" t="s">
        <v>304</v>
      </c>
      <c r="B60" s="2" t="s">
        <v>221</v>
      </c>
      <c r="C60" s="2" t="s">
        <v>221</v>
      </c>
      <c r="D60" s="4">
        <v>6</v>
      </c>
      <c r="E60" s="2" t="s">
        <v>150</v>
      </c>
      <c r="F60" s="3">
        <f>IF(A60="Resource",0,VLOOKUP(D60,Crafting!B:O,9,FALSE))</f>
        <v>0</v>
      </c>
      <c r="G60" s="51">
        <f>IF(A60="Resource",VLOOKUP(D60,Resources!B:G,5,FALSE),VLOOKUP(D60,Crafting!B:O,11,FALSE))</f>
        <v>2.5</v>
      </c>
      <c r="H60" s="51">
        <f>_xlfn.IFNA(VLOOKUP(Table9[[#This Row],[PRODUCT]],MARKET_id!B:C,2,FALSE),"no dsata")</f>
        <v>999</v>
      </c>
      <c r="I60" s="51" t="e">
        <f>IF(A60="Resource",VLOOKUP(D60,Resources!B:L,7,FALSE),VLOOKUP(D60,Crafting!B:O,13,FALSE))</f>
        <v>#N/A</v>
      </c>
      <c r="J60" s="37" t="e">
        <f>IF(A60="Resource",VLOOKUP(D60,Resources!B:L,11,FALSE),VLOOKUP(D60,Crafting!B:O,14,FALSE))</f>
        <v>#N/A</v>
      </c>
      <c r="K60" s="37" t="e">
        <f>SUMIF(C:C,Table9[[#This Row],[sub_industry]],I:II)</f>
        <v>#N/A</v>
      </c>
      <c r="L60" s="6" t="e">
        <f>SUMIF(C:C,Table9[[#This Row],[sub_industry]],J:J)</f>
        <v>#N/A</v>
      </c>
    </row>
    <row r="61" spans="1:12" hidden="1" x14ac:dyDescent="0.3">
      <c r="A61" s="2" t="s">
        <v>303</v>
      </c>
      <c r="B61" s="2" t="s">
        <v>227</v>
      </c>
      <c r="C61" s="2" t="str">
        <f>_xlfn.CONCAT(Table9[[#This Row],[INDUSTRY]],"-",Table9[[#This Row],[PRODUCT]])</f>
        <v>Kiln-Brick</v>
      </c>
      <c r="D61" s="4">
        <v>38</v>
      </c>
      <c r="E61" s="2" t="s">
        <v>121</v>
      </c>
      <c r="F61" s="3">
        <f>IF(A61="Resource",0,VLOOKUP(D61,Crafting!B:O,9,FALSE))</f>
        <v>800</v>
      </c>
      <c r="G61" s="51">
        <f>IF(A61="Resource",VLOOKUP(D61,Resources!B:G,5,FALSE),VLOOKUP(D61,Crafting!B:O,11,FALSE))</f>
        <v>4</v>
      </c>
      <c r="H61" s="51">
        <f>_xlfn.IFNA(VLOOKUP(Table9[[#This Row],[PRODUCT]],MARKET_id!B:C,2,FALSE),"no dsata")</f>
        <v>694</v>
      </c>
      <c r="I61" s="51">
        <f>IF(A61="Resource",VLOOKUP(D61,Resources!B:L,7,FALSE),VLOOKUP(D61,Crafting!B:O,13,FALSE))</f>
        <v>-112.94000000000005</v>
      </c>
      <c r="J61" s="37">
        <f>IF(A61="Resource",VLOOKUP(D61,Resources!B:L,11,FALSE),VLOOKUP(D61,Crafting!B:O,14,FALSE))</f>
        <v>-28.235000000000014</v>
      </c>
      <c r="K61" s="37">
        <f>SUMIF(C:C,Table9[[#This Row],[sub_industry]],I:II)</f>
        <v>-112.94000000000005</v>
      </c>
      <c r="L61" s="6">
        <f>SUMIF(C:C,Table9[[#This Row],[sub_industry]],J:J)</f>
        <v>-28.235000000000014</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CE9CB-432F-4DEE-AA5D-0F831EE3ABB5}">
  <sheetPr codeName="Sheet8"/>
  <dimension ref="A1:D49"/>
  <sheetViews>
    <sheetView workbookViewId="0">
      <selection activeCell="A16" sqref="A16:XFD16"/>
    </sheetView>
  </sheetViews>
  <sheetFormatPr defaultRowHeight="14.4" x14ac:dyDescent="0.3"/>
  <cols>
    <col min="1" max="1" width="11.77734375" bestFit="1" customWidth="1"/>
    <col min="2" max="2" width="25.6640625" bestFit="1" customWidth="1"/>
    <col min="3" max="3" width="12" style="5" customWidth="1"/>
    <col min="4" max="4" width="11.109375" style="5" customWidth="1"/>
  </cols>
  <sheetData>
    <row r="1" spans="1:4" x14ac:dyDescent="0.3">
      <c r="A1" s="2" t="s">
        <v>0</v>
      </c>
      <c r="B1" s="2" t="s">
        <v>314</v>
      </c>
      <c r="C1" s="37" t="s">
        <v>8</v>
      </c>
      <c r="D1" s="37" t="s">
        <v>312</v>
      </c>
    </row>
    <row r="2" spans="1:4" hidden="1" x14ac:dyDescent="0.3">
      <c r="A2" s="2" t="s">
        <v>2</v>
      </c>
      <c r="B2" s="2" t="s">
        <v>2</v>
      </c>
      <c r="C2" s="37" t="e">
        <f>VLOOKUP(Table10[[#This Row],[suib_industry]],ITEM_SUMMARY!C:L,8,0)</f>
        <v>#N/A</v>
      </c>
      <c r="D2" s="37" t="e">
        <f>VLOOKUP(Table10[[#This Row],[suib_industry]],ITEM_SUMMARY!C:L,10,0)</f>
        <v>#N/A</v>
      </c>
    </row>
    <row r="3" spans="1:4" hidden="1" x14ac:dyDescent="0.3">
      <c r="A3" s="2" t="s">
        <v>221</v>
      </c>
      <c r="B3" s="2" t="s">
        <v>221</v>
      </c>
      <c r="C3" s="37" t="e">
        <f>VLOOKUP(Table10[[#This Row],[suib_industry]],ITEM_SUMMARY!C:L,8,0)</f>
        <v>#N/A</v>
      </c>
      <c r="D3" s="37" t="e">
        <f>VLOOKUP(Table10[[#This Row],[suib_industry]],ITEM_SUMMARY!C:L,10,0)</f>
        <v>#N/A</v>
      </c>
    </row>
    <row r="4" spans="1:4" hidden="1" x14ac:dyDescent="0.3">
      <c r="A4" s="2" t="s">
        <v>232</v>
      </c>
      <c r="B4" s="2" t="s">
        <v>232</v>
      </c>
      <c r="C4" s="37" t="e">
        <f>VLOOKUP(Table10[[#This Row],[suib_industry]],ITEM_SUMMARY!C:L,8,0)</f>
        <v>#N/A</v>
      </c>
      <c r="D4" s="37" t="e">
        <f>VLOOKUP(Table10[[#This Row],[suib_industry]],ITEM_SUMMARY!C:L,10,0)</f>
        <v>#N/A</v>
      </c>
    </row>
    <row r="5" spans="1:4" hidden="1" x14ac:dyDescent="0.3">
      <c r="A5" s="2" t="s">
        <v>231</v>
      </c>
      <c r="B5" s="2" t="s">
        <v>231</v>
      </c>
      <c r="C5" s="37" t="e">
        <f>VLOOKUP(Table10[[#This Row],[suib_industry]],ITEM_SUMMARY!C:L,8,0)</f>
        <v>#N/A</v>
      </c>
      <c r="D5" s="37" t="e">
        <f>VLOOKUP(Table10[[#This Row],[suib_industry]],ITEM_SUMMARY!C:L,10,0)</f>
        <v>#N/A</v>
      </c>
    </row>
    <row r="6" spans="1:4" hidden="1" x14ac:dyDescent="0.3">
      <c r="A6" s="2" t="s">
        <v>233</v>
      </c>
      <c r="B6" s="2" t="s">
        <v>233</v>
      </c>
      <c r="C6" s="37" t="e">
        <f>VLOOKUP(Table10[[#This Row],[suib_industry]],ITEM_SUMMARY!C:L,8,0)</f>
        <v>#N/A</v>
      </c>
      <c r="D6" s="37" t="e">
        <f>VLOOKUP(Table10[[#This Row],[suib_industry]],ITEM_SUMMARY!C:L,10,0)</f>
        <v>#N/A</v>
      </c>
    </row>
    <row r="7" spans="1:4" hidden="1" x14ac:dyDescent="0.3">
      <c r="A7" s="2" t="s">
        <v>222</v>
      </c>
      <c r="B7" s="2" t="s">
        <v>222</v>
      </c>
      <c r="C7" s="37" t="e">
        <f>VLOOKUP(Table10[[#This Row],[suib_industry]],ITEM_SUMMARY!C:L,8,0)</f>
        <v>#N/A</v>
      </c>
      <c r="D7" s="37" t="e">
        <f>VLOOKUP(Table10[[#This Row],[suib_industry]],ITEM_SUMMARY!C:L,10,0)</f>
        <v>#N/A</v>
      </c>
    </row>
    <row r="8" spans="1:4" hidden="1" x14ac:dyDescent="0.3">
      <c r="A8" s="2" t="s">
        <v>223</v>
      </c>
      <c r="B8" s="2" t="s">
        <v>223</v>
      </c>
      <c r="C8" s="37" t="e">
        <f>VLOOKUP(Table10[[#This Row],[suib_industry]],ITEM_SUMMARY!C:L,8,0)</f>
        <v>#N/A</v>
      </c>
      <c r="D8" s="37" t="e">
        <f>VLOOKUP(Table10[[#This Row],[suib_industry]],ITEM_SUMMARY!C:L,10,0)</f>
        <v>#N/A</v>
      </c>
    </row>
    <row r="9" spans="1:4" x14ac:dyDescent="0.3">
      <c r="A9" s="2" t="s">
        <v>224</v>
      </c>
      <c r="B9" s="2" t="s">
        <v>247</v>
      </c>
      <c r="C9" s="37">
        <f>VLOOKUP(Table10[[#This Row],[suib_industry]],ITEM_SUMMARY!C:L,8,0)</f>
        <v>11.594285714285714</v>
      </c>
      <c r="D9" s="37">
        <f>VLOOKUP(Table10[[#This Row],[suib_industry]],ITEM_SUMMARY!C:L,10,0)</f>
        <v>11.594285714285714</v>
      </c>
    </row>
    <row r="10" spans="1:4" x14ac:dyDescent="0.3">
      <c r="A10" s="2" t="s">
        <v>224</v>
      </c>
      <c r="B10" s="2" t="s">
        <v>248</v>
      </c>
      <c r="C10" s="37">
        <f>VLOOKUP(Table10[[#This Row],[suib_industry]],ITEM_SUMMARY!C:L,8,0)</f>
        <v>12.725714285714286</v>
      </c>
      <c r="D10" s="37">
        <f>VLOOKUP(Table10[[#This Row],[suib_industry]],ITEM_SUMMARY!C:L,10,0)</f>
        <v>12.725714285714286</v>
      </c>
    </row>
    <row r="11" spans="1:4" x14ac:dyDescent="0.3">
      <c r="A11" s="2" t="s">
        <v>224</v>
      </c>
      <c r="B11" s="2" t="s">
        <v>249</v>
      </c>
      <c r="C11" s="37">
        <f>VLOOKUP(Table10[[#This Row],[suib_industry]],ITEM_SUMMARY!C:L,8,0)</f>
        <v>12.3675</v>
      </c>
      <c r="D11" s="37">
        <f>VLOOKUP(Table10[[#This Row],[suib_industry]],ITEM_SUMMARY!C:L,10,0)</f>
        <v>12.3675</v>
      </c>
    </row>
    <row r="12" spans="1:4" x14ac:dyDescent="0.3">
      <c r="A12" s="2" t="s">
        <v>224</v>
      </c>
      <c r="B12" s="2" t="s">
        <v>250</v>
      </c>
      <c r="C12" s="37">
        <f>VLOOKUP(Table10[[#This Row],[suib_industry]],ITEM_SUMMARY!C:L,8,0)</f>
        <v>8.8912499999999994</v>
      </c>
      <c r="D12" s="37">
        <f>VLOOKUP(Table10[[#This Row],[suib_industry]],ITEM_SUMMARY!C:L,10,0)</f>
        <v>8.8912499999999994</v>
      </c>
    </row>
    <row r="13" spans="1:4" x14ac:dyDescent="0.3">
      <c r="A13" s="2" t="s">
        <v>224</v>
      </c>
      <c r="B13" s="2" t="s">
        <v>251</v>
      </c>
      <c r="C13" s="37">
        <f>VLOOKUP(Table10[[#This Row],[suib_industry]],ITEM_SUMMARY!C:L,8,0)</f>
        <v>15.544285714285715</v>
      </c>
      <c r="D13" s="37">
        <f>VLOOKUP(Table10[[#This Row],[suib_industry]],ITEM_SUMMARY!C:L,10,0)</f>
        <v>15.544285714285715</v>
      </c>
    </row>
    <row r="14" spans="1:4" x14ac:dyDescent="0.3">
      <c r="A14" s="2" t="s">
        <v>224</v>
      </c>
      <c r="B14" s="2" t="s">
        <v>252</v>
      </c>
      <c r="C14" s="37">
        <f>VLOOKUP(Table10[[#This Row],[suib_industry]],ITEM_SUMMARY!C:L,8,0)</f>
        <v>9.5930399999999985</v>
      </c>
      <c r="D14" s="37">
        <f>VLOOKUP(Table10[[#This Row],[suib_industry]],ITEM_SUMMARY!C:L,10,0)</f>
        <v>9.5930399999999985</v>
      </c>
    </row>
    <row r="15" spans="1:4" x14ac:dyDescent="0.3">
      <c r="A15" s="2" t="s">
        <v>224</v>
      </c>
      <c r="B15" s="2" t="s">
        <v>253</v>
      </c>
      <c r="C15" s="37" t="str">
        <f>VLOOKUP(Table10[[#This Row],[suib_industry]],ITEM_SUMMARY!C:L,8,0)</f>
        <v>NA</v>
      </c>
      <c r="D15" s="37">
        <f>VLOOKUP(Table10[[#This Row],[suib_industry]],ITEM_SUMMARY!C:L,10,0)</f>
        <v>0</v>
      </c>
    </row>
    <row r="16" spans="1:4" x14ac:dyDescent="0.3">
      <c r="A16" s="2" t="s">
        <v>224</v>
      </c>
      <c r="B16" s="2" t="s">
        <v>254</v>
      </c>
      <c r="C16" s="37">
        <f>VLOOKUP(Table10[[#This Row],[suib_industry]],ITEM_SUMMARY!C:L,8,0)</f>
        <v>8.2762499999999992</v>
      </c>
      <c r="D16" s="37">
        <f>VLOOKUP(Table10[[#This Row],[suib_industry]],ITEM_SUMMARY!C:L,10,0)</f>
        <v>8.2762499999999992</v>
      </c>
    </row>
    <row r="17" spans="1:4" x14ac:dyDescent="0.3">
      <c r="A17" s="2" t="s">
        <v>224</v>
      </c>
      <c r="B17" s="2" t="s">
        <v>255</v>
      </c>
      <c r="C17" s="37">
        <f>VLOOKUP(Table10[[#This Row],[suib_industry]],ITEM_SUMMARY!C:L,8,0)</f>
        <v>8.765217391304347</v>
      </c>
      <c r="D17" s="37">
        <f>VLOOKUP(Table10[[#This Row],[suib_industry]],ITEM_SUMMARY!C:L,10,0)</f>
        <v>8.765217391304347</v>
      </c>
    </row>
    <row r="18" spans="1:4" x14ac:dyDescent="0.3">
      <c r="A18" s="2" t="s">
        <v>224</v>
      </c>
      <c r="B18" s="2" t="s">
        <v>256</v>
      </c>
      <c r="C18" s="37">
        <f>VLOOKUP(Table10[[#This Row],[suib_industry]],ITEM_SUMMARY!C:L,8,0)</f>
        <v>11.83764705882353</v>
      </c>
      <c r="D18" s="37">
        <f>VLOOKUP(Table10[[#This Row],[suib_industry]],ITEM_SUMMARY!C:L,10,0)</f>
        <v>11.83764705882353</v>
      </c>
    </row>
    <row r="19" spans="1:4" x14ac:dyDescent="0.3">
      <c r="A19" s="2" t="s">
        <v>224</v>
      </c>
      <c r="B19" s="2" t="s">
        <v>257</v>
      </c>
      <c r="C19" s="37" t="str">
        <f>VLOOKUP(Table10[[#This Row],[suib_industry]],ITEM_SUMMARY!C:L,8,0)</f>
        <v>NA</v>
      </c>
      <c r="D19" s="37">
        <f>VLOOKUP(Table10[[#This Row],[suib_industry]],ITEM_SUMMARY!C:L,10,0)</f>
        <v>0</v>
      </c>
    </row>
    <row r="20" spans="1:4" x14ac:dyDescent="0.3">
      <c r="A20" s="2" t="s">
        <v>224</v>
      </c>
      <c r="B20" s="2" t="s">
        <v>258</v>
      </c>
      <c r="C20" s="37">
        <f>VLOOKUP(Table10[[#This Row],[suib_industry]],ITEM_SUMMARY!C:L,8,0)</f>
        <v>0.18408000000000008</v>
      </c>
      <c r="D20" s="37">
        <f>VLOOKUP(Table10[[#This Row],[suib_industry]],ITEM_SUMMARY!C:L,10,0)</f>
        <v>0.18408000000000008</v>
      </c>
    </row>
    <row r="21" spans="1:4" hidden="1" x14ac:dyDescent="0.3">
      <c r="A21" s="2" t="s">
        <v>225</v>
      </c>
      <c r="B21" s="2" t="s">
        <v>267</v>
      </c>
      <c r="C21" s="37" t="str">
        <f>VLOOKUP(Table10[[#This Row],[suib_industry]],ITEM_SUMMARY!C:L,8,0)</f>
        <v>inf</v>
      </c>
      <c r="D21" s="37">
        <f>VLOOKUP(Table10[[#This Row],[suib_industry]],ITEM_SUMMARY!C:L,10,0)</f>
        <v>0</v>
      </c>
    </row>
    <row r="22" spans="1:4" hidden="1" x14ac:dyDescent="0.3">
      <c r="A22" s="2" t="s">
        <v>225</v>
      </c>
      <c r="B22" s="2" t="s">
        <v>268</v>
      </c>
      <c r="C22" s="37" t="str">
        <f>VLOOKUP(Table10[[#This Row],[suib_industry]],ITEM_SUMMARY!C:L,8,0)</f>
        <v>inf</v>
      </c>
      <c r="D22" s="37">
        <f>VLOOKUP(Table10[[#This Row],[suib_industry]],ITEM_SUMMARY!C:L,10,0)</f>
        <v>0</v>
      </c>
    </row>
    <row r="23" spans="1:4" hidden="1" x14ac:dyDescent="0.3">
      <c r="A23" s="2" t="s">
        <v>225</v>
      </c>
      <c r="B23" s="2" t="s">
        <v>269</v>
      </c>
      <c r="C23" s="37" t="str">
        <f>VLOOKUP(Table10[[#This Row],[suib_industry]],ITEM_SUMMARY!C:L,8,0)</f>
        <v>inf</v>
      </c>
      <c r="D23" s="37">
        <f>VLOOKUP(Table10[[#This Row],[suib_industry]],ITEM_SUMMARY!C:L,10,0)</f>
        <v>0</v>
      </c>
    </row>
    <row r="24" spans="1:4" hidden="1" x14ac:dyDescent="0.3">
      <c r="A24" s="2" t="s">
        <v>225</v>
      </c>
      <c r="B24" s="2" t="s">
        <v>270</v>
      </c>
      <c r="C24" s="37" t="str">
        <f>VLOOKUP(Table10[[#This Row],[suib_industry]],ITEM_SUMMARY!C:L,8,0)</f>
        <v>inf</v>
      </c>
      <c r="D24" s="37">
        <f>VLOOKUP(Table10[[#This Row],[suib_industry]],ITEM_SUMMARY!C:L,10,0)</f>
        <v>0</v>
      </c>
    </row>
    <row r="25" spans="1:4" hidden="1" x14ac:dyDescent="0.3">
      <c r="A25" s="2" t="s">
        <v>225</v>
      </c>
      <c r="B25" s="2" t="s">
        <v>271</v>
      </c>
      <c r="C25" s="37" t="str">
        <f>VLOOKUP(Table10[[#This Row],[suib_industry]],ITEM_SUMMARY!C:L,8,0)</f>
        <v>inf</v>
      </c>
      <c r="D25" s="37">
        <f>VLOOKUP(Table10[[#This Row],[suib_industry]],ITEM_SUMMARY!C:L,10,0)</f>
        <v>0</v>
      </c>
    </row>
    <row r="26" spans="1:4" hidden="1" x14ac:dyDescent="0.3">
      <c r="A26" s="2" t="s">
        <v>225</v>
      </c>
      <c r="B26" s="2" t="s">
        <v>272</v>
      </c>
      <c r="C26" s="37" t="str">
        <f>VLOOKUP(Table10[[#This Row],[suib_industry]],ITEM_SUMMARY!C:L,8,0)</f>
        <v>inf</v>
      </c>
      <c r="D26" s="37">
        <f>VLOOKUP(Table10[[#This Row],[suib_industry]],ITEM_SUMMARY!C:L,10,0)</f>
        <v>0</v>
      </c>
    </row>
    <row r="27" spans="1:4" hidden="1" x14ac:dyDescent="0.3">
      <c r="A27" s="2" t="s">
        <v>225</v>
      </c>
      <c r="B27" s="2" t="s">
        <v>273</v>
      </c>
      <c r="C27" s="37" t="str">
        <f>VLOOKUP(Table10[[#This Row],[suib_industry]],ITEM_SUMMARY!C:L,8,0)</f>
        <v>inf</v>
      </c>
      <c r="D27" s="37">
        <f>VLOOKUP(Table10[[#This Row],[suib_industry]],ITEM_SUMMARY!C:L,10,0)</f>
        <v>0</v>
      </c>
    </row>
    <row r="28" spans="1:4" hidden="1" x14ac:dyDescent="0.3">
      <c r="A28" s="2" t="s">
        <v>225</v>
      </c>
      <c r="B28" s="2" t="s">
        <v>274</v>
      </c>
      <c r="C28" s="37" t="str">
        <f>VLOOKUP(Table10[[#This Row],[suib_industry]],ITEM_SUMMARY!C:L,8,0)</f>
        <v>inf</v>
      </c>
      <c r="D28" s="37">
        <f>VLOOKUP(Table10[[#This Row],[suib_industry]],ITEM_SUMMARY!C:L,10,0)</f>
        <v>0</v>
      </c>
    </row>
    <row r="29" spans="1:4" hidden="1" x14ac:dyDescent="0.3">
      <c r="A29" s="2" t="s">
        <v>228</v>
      </c>
      <c r="B29" s="2" t="s">
        <v>278</v>
      </c>
      <c r="C29" s="37">
        <f>VLOOKUP(Table10[[#This Row],[suib_industry]],ITEM_SUMMARY!C:L,8,0)</f>
        <v>18.775000000000006</v>
      </c>
      <c r="D29" s="37">
        <f>VLOOKUP(Table10[[#This Row],[suib_industry]],ITEM_SUMMARY!C:L,10,0)</f>
        <v>18.775000000000006</v>
      </c>
    </row>
    <row r="30" spans="1:4" hidden="1" x14ac:dyDescent="0.3">
      <c r="A30" s="2" t="s">
        <v>228</v>
      </c>
      <c r="B30" s="2" t="s">
        <v>279</v>
      </c>
      <c r="C30" s="37">
        <f>VLOOKUP(Table10[[#This Row],[suib_industry]],ITEM_SUMMARY!C:L,8,0)</f>
        <v>14.092500000000001</v>
      </c>
      <c r="D30" s="37">
        <f>VLOOKUP(Table10[[#This Row],[suib_industry]],ITEM_SUMMARY!C:L,10,0)</f>
        <v>14.092500000000001</v>
      </c>
    </row>
    <row r="31" spans="1:4" hidden="1" x14ac:dyDescent="0.3">
      <c r="A31" s="2" t="s">
        <v>228</v>
      </c>
      <c r="B31" s="2" t="s">
        <v>280</v>
      </c>
      <c r="C31" s="37">
        <f>VLOOKUP(Table10[[#This Row],[suib_industry]],ITEM_SUMMARY!C:L,8,0)</f>
        <v>17.849999999999994</v>
      </c>
      <c r="D31" s="37">
        <f>VLOOKUP(Table10[[#This Row],[suib_industry]],ITEM_SUMMARY!C:L,10,0)</f>
        <v>17.849999999999994</v>
      </c>
    </row>
    <row r="32" spans="1:4" hidden="1" x14ac:dyDescent="0.3">
      <c r="A32" s="2" t="s">
        <v>228</v>
      </c>
      <c r="B32" s="2" t="s">
        <v>281</v>
      </c>
      <c r="C32" s="37">
        <f>VLOOKUP(Table10[[#This Row],[suib_industry]],ITEM_SUMMARY!C:L,8,0)</f>
        <v>6.4199999999999822</v>
      </c>
      <c r="D32" s="37">
        <f>VLOOKUP(Table10[[#This Row],[suib_industry]],ITEM_SUMMARY!C:L,10,0)</f>
        <v>6.4199999999999822</v>
      </c>
    </row>
    <row r="33" spans="1:4" hidden="1" x14ac:dyDescent="0.3">
      <c r="A33" s="2" t="s">
        <v>228</v>
      </c>
      <c r="B33" s="2" t="s">
        <v>282</v>
      </c>
      <c r="C33" s="37">
        <f>VLOOKUP(Table10[[#This Row],[suib_industry]],ITEM_SUMMARY!C:L,8,0)</f>
        <v>10.45</v>
      </c>
      <c r="D33" s="37">
        <f>VLOOKUP(Table10[[#This Row],[suib_industry]],ITEM_SUMMARY!C:L,10,0)</f>
        <v>10.45</v>
      </c>
    </row>
    <row r="34" spans="1:4" hidden="1" x14ac:dyDescent="0.3">
      <c r="A34" s="2" t="s">
        <v>227</v>
      </c>
      <c r="B34" s="2" t="s">
        <v>275</v>
      </c>
      <c r="C34" s="37">
        <f>VLOOKUP(Table10[[#This Row],[suib_industry]],ITEM_SUMMARY!C:L,8,0)</f>
        <v>14.24</v>
      </c>
      <c r="D34" s="37">
        <f>VLOOKUP(Table10[[#This Row],[suib_industry]],ITEM_SUMMARY!C:L,10,0)</f>
        <v>14.24</v>
      </c>
    </row>
    <row r="35" spans="1:4" hidden="1" x14ac:dyDescent="0.3">
      <c r="A35" s="2" t="s">
        <v>227</v>
      </c>
      <c r="B35" s="2" t="s">
        <v>276</v>
      </c>
      <c r="C35" s="37">
        <f>VLOOKUP(Table10[[#This Row],[suib_industry]],ITEM_SUMMARY!C:L,8,0)</f>
        <v>-28.235000000000014</v>
      </c>
      <c r="D35" s="37">
        <f>VLOOKUP(Table10[[#This Row],[suib_industry]],ITEM_SUMMARY!C:L,10,0)</f>
        <v>-28.235000000000014</v>
      </c>
    </row>
    <row r="36" spans="1:4" hidden="1" x14ac:dyDescent="0.3">
      <c r="A36" s="2" t="s">
        <v>227</v>
      </c>
      <c r="B36" s="2" t="s">
        <v>277</v>
      </c>
      <c r="C36" s="37">
        <f>VLOOKUP(Table10[[#This Row],[suib_industry]],ITEM_SUMMARY!C:L,8,0)</f>
        <v>22.839999999999993</v>
      </c>
      <c r="D36" s="37">
        <f>VLOOKUP(Table10[[#This Row],[suib_industry]],ITEM_SUMMARY!C:L,10,0)</f>
        <v>22.839999999999993</v>
      </c>
    </row>
    <row r="37" spans="1:4" hidden="1" x14ac:dyDescent="0.3">
      <c r="A37" s="2" t="s">
        <v>227</v>
      </c>
      <c r="B37" s="2" t="s">
        <v>316</v>
      </c>
      <c r="C37" s="37">
        <f>VLOOKUP(Table10[[#This Row],[suib_industry]],ITEM_SUMMARY!C:L,8,0)</f>
        <v>42.75</v>
      </c>
      <c r="D37" s="37">
        <f>VLOOKUP(Table10[[#This Row],[suib_industry]],ITEM_SUMMARY!C:L,10,0)</f>
        <v>42.75</v>
      </c>
    </row>
    <row r="38" spans="1:4" hidden="1" x14ac:dyDescent="0.3">
      <c r="A38" s="2" t="s">
        <v>230</v>
      </c>
      <c r="B38" s="2" t="s">
        <v>259</v>
      </c>
      <c r="C38" s="37" t="str">
        <f>VLOOKUP(Table10[[#This Row],[suib_industry]],ITEM_SUMMARY!C:L,8,0)</f>
        <v>inf</v>
      </c>
      <c r="D38" s="37">
        <f>VLOOKUP(Table10[[#This Row],[suib_industry]],ITEM_SUMMARY!C:L,10,0)</f>
        <v>0</v>
      </c>
    </row>
    <row r="39" spans="1:4" hidden="1" x14ac:dyDescent="0.3">
      <c r="A39" s="2" t="s">
        <v>230</v>
      </c>
      <c r="B39" s="2" t="s">
        <v>260</v>
      </c>
      <c r="C39" s="37" t="str">
        <f>VLOOKUP(Table10[[#This Row],[suib_industry]],ITEM_SUMMARY!C:L,8,0)</f>
        <v>inf</v>
      </c>
      <c r="D39" s="37">
        <f>VLOOKUP(Table10[[#This Row],[suib_industry]],ITEM_SUMMARY!C:L,10,0)</f>
        <v>0</v>
      </c>
    </row>
    <row r="40" spans="1:4" hidden="1" x14ac:dyDescent="0.3">
      <c r="A40" s="2" t="s">
        <v>230</v>
      </c>
      <c r="B40" s="2" t="s">
        <v>261</v>
      </c>
      <c r="C40" s="37" t="str">
        <f>VLOOKUP(Table10[[#This Row],[suib_industry]],ITEM_SUMMARY!C:L,8,0)</f>
        <v>inf</v>
      </c>
      <c r="D40" s="37">
        <f>VLOOKUP(Table10[[#This Row],[suib_industry]],ITEM_SUMMARY!C:L,10,0)</f>
        <v>0</v>
      </c>
    </row>
    <row r="41" spans="1:4" hidden="1" x14ac:dyDescent="0.3">
      <c r="A41" s="2" t="s">
        <v>230</v>
      </c>
      <c r="B41" s="2" t="s">
        <v>262</v>
      </c>
      <c r="C41" s="37" t="str">
        <f>VLOOKUP(Table10[[#This Row],[suib_industry]],ITEM_SUMMARY!C:L,8,0)</f>
        <v>inf</v>
      </c>
      <c r="D41" s="37">
        <f>VLOOKUP(Table10[[#This Row],[suib_industry]],ITEM_SUMMARY!C:L,10,0)</f>
        <v>0</v>
      </c>
    </row>
    <row r="42" spans="1:4" hidden="1" x14ac:dyDescent="0.3">
      <c r="A42" s="2" t="s">
        <v>230</v>
      </c>
      <c r="B42" s="2" t="s">
        <v>263</v>
      </c>
      <c r="C42" s="37" t="str">
        <f>VLOOKUP(Table10[[#This Row],[suib_industry]],ITEM_SUMMARY!C:L,8,0)</f>
        <v>inf</v>
      </c>
      <c r="D42" s="37">
        <f>VLOOKUP(Table10[[#This Row],[suib_industry]],ITEM_SUMMARY!C:L,10,0)</f>
        <v>0</v>
      </c>
    </row>
    <row r="43" spans="1:4" hidden="1" x14ac:dyDescent="0.3">
      <c r="A43" s="2" t="s">
        <v>230</v>
      </c>
      <c r="B43" s="2" t="s">
        <v>264</v>
      </c>
      <c r="C43" s="37" t="str">
        <f>VLOOKUP(Table10[[#This Row],[suib_industry]],ITEM_SUMMARY!C:L,8,0)</f>
        <v>inf</v>
      </c>
      <c r="D43" s="37">
        <f>VLOOKUP(Table10[[#This Row],[suib_industry]],ITEM_SUMMARY!C:L,10,0)</f>
        <v>0</v>
      </c>
    </row>
    <row r="44" spans="1:4" hidden="1" x14ac:dyDescent="0.3">
      <c r="A44" s="2" t="s">
        <v>230</v>
      </c>
      <c r="B44" s="2" t="s">
        <v>265</v>
      </c>
      <c r="C44" s="37" t="str">
        <f>VLOOKUP(Table10[[#This Row],[suib_industry]],ITEM_SUMMARY!C:L,8,0)</f>
        <v>inf</v>
      </c>
      <c r="D44" s="37">
        <f>VLOOKUP(Table10[[#This Row],[suib_industry]],ITEM_SUMMARY!C:L,10,0)</f>
        <v>0</v>
      </c>
    </row>
    <row r="45" spans="1:4" hidden="1" x14ac:dyDescent="0.3">
      <c r="A45" s="2" t="s">
        <v>230</v>
      </c>
      <c r="B45" s="2" t="s">
        <v>266</v>
      </c>
      <c r="C45" s="37" t="str">
        <f>VLOOKUP(Table10[[#This Row],[suib_industry]],ITEM_SUMMARY!C:L,8,0)</f>
        <v>inf</v>
      </c>
      <c r="D45" s="37">
        <f>VLOOKUP(Table10[[#This Row],[suib_industry]],ITEM_SUMMARY!C:L,10,0)</f>
        <v>0</v>
      </c>
    </row>
    <row r="46" spans="1:4" hidden="1" x14ac:dyDescent="0.3">
      <c r="A46" s="2" t="s">
        <v>230</v>
      </c>
      <c r="B46" s="2" t="s">
        <v>317</v>
      </c>
      <c r="C46" s="37">
        <f>VLOOKUP(Table10[[#This Row],[suib_industry]],ITEM_SUMMARY!C:L,8,0)</f>
        <v>29.005000000000109</v>
      </c>
      <c r="D46" s="37">
        <f>VLOOKUP(Table10[[#This Row],[suib_industry]],ITEM_SUMMARY!C:L,10,0)</f>
        <v>29.005000000000109</v>
      </c>
    </row>
    <row r="47" spans="1:4" hidden="1" x14ac:dyDescent="0.3">
      <c r="A47" s="2" t="s">
        <v>301</v>
      </c>
      <c r="B47" s="2" t="s">
        <v>318</v>
      </c>
      <c r="C47" s="37" t="str">
        <f>VLOOKUP(Table10[[#This Row],[suib_industry]],ITEM_SUMMARY!C:L,8,0)</f>
        <v>NA</v>
      </c>
      <c r="D47" s="37">
        <f>VLOOKUP(Table10[[#This Row],[suib_industry]],ITEM_SUMMARY!C:L,10,0)</f>
        <v>0</v>
      </c>
    </row>
    <row r="48" spans="1:4" hidden="1" x14ac:dyDescent="0.3">
      <c r="A48" s="2" t="s">
        <v>301</v>
      </c>
      <c r="B48" s="2" t="s">
        <v>319</v>
      </c>
      <c r="C48" s="37">
        <f>VLOOKUP(Table10[[#This Row],[suib_industry]],ITEM_SUMMARY!C:L,8,0)</f>
        <v>62.253749999999854</v>
      </c>
      <c r="D48" s="37">
        <f>VLOOKUP(Table10[[#This Row],[suib_industry]],ITEM_SUMMARY!C:L,10,0)</f>
        <v>62.253749999999854</v>
      </c>
    </row>
    <row r="49" spans="1:4" hidden="1" x14ac:dyDescent="0.3">
      <c r="A49" s="2" t="s">
        <v>301</v>
      </c>
      <c r="B49" s="2" t="s">
        <v>320</v>
      </c>
      <c r="C49" s="37" t="str">
        <f>VLOOKUP(Table10[[#This Row],[suib_industry]],ITEM_SUMMARY!C:L,8,0)</f>
        <v>NA</v>
      </c>
      <c r="D49" s="37">
        <f>VLOOKUP(Table10[[#This Row],[suib_industry]],ITEM_SUMMARY!C:L,10,0)</f>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F98C8-A1C7-48C1-9D4F-332B9CE06CB7}">
  <sheetPr codeName="Sheet9"/>
  <dimension ref="A1:G57"/>
  <sheetViews>
    <sheetView tabSelected="1" workbookViewId="0">
      <selection activeCell="F4" sqref="F4"/>
    </sheetView>
  </sheetViews>
  <sheetFormatPr defaultRowHeight="14.4" x14ac:dyDescent="0.3"/>
  <cols>
    <col min="1" max="1" width="33.88671875" bestFit="1" customWidth="1"/>
    <col min="2" max="2" width="12.77734375" customWidth="1"/>
    <col min="3" max="3" width="9.77734375" style="2" customWidth="1"/>
    <col min="4" max="4" width="10" style="2" customWidth="1"/>
    <col min="5" max="5" width="9.33203125" style="2" bestFit="1" customWidth="1"/>
    <col min="6" max="6" width="11.44140625" bestFit="1" customWidth="1"/>
    <col min="7" max="7" width="10.21875" style="55" customWidth="1"/>
  </cols>
  <sheetData>
    <row r="1" spans="1:7" x14ac:dyDescent="0.3">
      <c r="A1" s="11" t="s">
        <v>291</v>
      </c>
      <c r="B1" s="54" t="s">
        <v>322</v>
      </c>
      <c r="C1" s="23" t="s">
        <v>323</v>
      </c>
      <c r="D1" s="23" t="s">
        <v>325</v>
      </c>
      <c r="E1" s="23" t="s">
        <v>324</v>
      </c>
      <c r="F1" s="23" t="s">
        <v>326</v>
      </c>
      <c r="G1" s="56" t="s">
        <v>327</v>
      </c>
    </row>
    <row r="2" spans="1:7" x14ac:dyDescent="0.3">
      <c r="A2" s="8" t="s">
        <v>160</v>
      </c>
      <c r="B2" s="4">
        <v>221.19</v>
      </c>
      <c r="C2" s="2">
        <f>_xlfn.IFNA(VLOOKUP(Table6[[#This Row],[ITEM]],ITEM_SUMMARY!E:G,2,FALSE),"No data")</f>
        <v>2038</v>
      </c>
      <c r="D2" s="2">
        <f>_xlfn.IFNA(VLOOKUP(Table6[[#This Row],[ITEM]],ITEM_SUMMARY!E:G,3,FALSE),"No data")</f>
        <v>0</v>
      </c>
      <c r="E2" s="2">
        <f>_xlfn.IFNA(VLOOKUP(Table6[[#This Row],[ITEM]],MARKET_id!B:C,2,FALSE),"no data")</f>
        <v>2400</v>
      </c>
      <c r="F2" s="2" t="str">
        <f>IF(Table6[[#This Row],[eNERGY_CRAFTING]]=0,IF(Table6[[#This Row],[crafting cost]]&lt;Table6[[#This Row],[Market]],"CRAFT","BUY"),"BUY")</f>
        <v>CRAFT</v>
      </c>
      <c r="G2" s="57">
        <f>IFERROR(IF(Table6[[#This Row],[craft/BUY]]="BUY",Table6[[#This Row],[Market]]/Table6[[#This Row],[ENERGY]],Table6[[#This Row],[crafting cost]]/Table6[[#This Row],[ENERGY]]),"NO DDATA")</f>
        <v>9.2137980921379814</v>
      </c>
    </row>
    <row r="3" spans="1:7" x14ac:dyDescent="0.3">
      <c r="A3" s="8" t="s">
        <v>197</v>
      </c>
      <c r="B3" s="4">
        <v>18.72</v>
      </c>
      <c r="C3" s="2">
        <f>_xlfn.IFNA(VLOOKUP(Table6[[#This Row],[ITEM]],ITEM_SUMMARY!E:G,2,FALSE),"No data")</f>
        <v>184</v>
      </c>
      <c r="D3" s="2">
        <f>_xlfn.IFNA(VLOOKUP(Table6[[#This Row],[ITEM]],ITEM_SUMMARY!E:G,3,FALSE),"No data")</f>
        <v>0</v>
      </c>
      <c r="E3" s="2">
        <f>_xlfn.IFNA(VLOOKUP(Table6[[#This Row],[ITEM]],MARKET_id!B:C,2,FALSE),"no data")</f>
        <v>236</v>
      </c>
      <c r="F3" s="2" t="str">
        <f>IF(Table6[[#This Row],[eNERGY_CRAFTING]]=0,IF(Table6[[#This Row],[crafting cost]]&lt;Table6[[#This Row],[Market]],"CRAFT","BUY"),"BUY")</f>
        <v>CRAFT</v>
      </c>
      <c r="G3" s="57">
        <f>IFERROR(IF(Table6[[#This Row],[craft/BUY]]="BUY",Table6[[#This Row],[Market]]/Table6[[#This Row],[ENERGY]],Table6[[#This Row],[crafting cost]]/Table6[[#This Row],[ENERGY]]),"NO DDATA")</f>
        <v>9.8290598290598297</v>
      </c>
    </row>
    <row r="4" spans="1:7" x14ac:dyDescent="0.3">
      <c r="A4" s="8" t="s">
        <v>185</v>
      </c>
      <c r="B4" s="4">
        <v>257.81</v>
      </c>
      <c r="C4" s="2">
        <f>_xlfn.IFNA(VLOOKUP(Table6[[#This Row],[ITEM]],ITEM_SUMMARY!E:G,2,FALSE),"No data")</f>
        <v>2539</v>
      </c>
      <c r="D4" s="2">
        <f>_xlfn.IFNA(VLOOKUP(Table6[[#This Row],[ITEM]],ITEM_SUMMARY!E:G,3,FALSE),"No data")</f>
        <v>0</v>
      </c>
      <c r="E4" s="2">
        <f>_xlfn.IFNA(VLOOKUP(Table6[[#This Row],[ITEM]],MARKET_id!B:C,2,FALSE),"no data")</f>
        <v>2961</v>
      </c>
      <c r="F4" s="2" t="str">
        <f>IF(Table6[[#This Row],[eNERGY_CRAFTING]]=0,IF(Table6[[#This Row],[crafting cost]]&lt;Table6[[#This Row],[Market]],"CRAFT","BUY"),"BUY")</f>
        <v>CRAFT</v>
      </c>
      <c r="G4" s="57">
        <f>IFERROR(IF(Table6[[#This Row],[craft/BUY]]="BUY",Table6[[#This Row],[Market]]/Table6[[#This Row],[ENERGY]],Table6[[#This Row],[crafting cost]]/Table6[[#This Row],[ENERGY]]),"NO DDATA")</f>
        <v>9.8483379232768318</v>
      </c>
    </row>
    <row r="5" spans="1:7" x14ac:dyDescent="0.3">
      <c r="A5" s="8" t="s">
        <v>168</v>
      </c>
      <c r="B5" s="4">
        <v>299.3</v>
      </c>
      <c r="C5" s="2">
        <f>_xlfn.IFNA(VLOOKUP(Table6[[#This Row],[ITEM]],ITEM_SUMMARY!E:G,2,FALSE),"No data")</f>
        <v>3022</v>
      </c>
      <c r="D5" s="2">
        <f>_xlfn.IFNA(VLOOKUP(Table6[[#This Row],[ITEM]],ITEM_SUMMARY!E:G,3,FALSE),"No data")</f>
        <v>0</v>
      </c>
      <c r="E5" s="2">
        <f>_xlfn.IFNA(VLOOKUP(Table6[[#This Row],[ITEM]],MARKET_id!B:C,2,FALSE),"no data")</f>
        <v>3271</v>
      </c>
      <c r="F5" s="2" t="str">
        <f>IF(Table6[[#This Row],[eNERGY_CRAFTING]]=0,IF(Table6[[#This Row],[crafting cost]]&lt;Table6[[#This Row],[Market]],"CRAFT","BUY"),"BUY")</f>
        <v>CRAFT</v>
      </c>
      <c r="G5" s="57">
        <f>IFERROR(IF(Table6[[#This Row],[craft/BUY]]="BUY",Table6[[#This Row],[Market]]/Table6[[#This Row],[ENERGY]],Table6[[#This Row],[crafting cost]]/Table6[[#This Row],[ENERGY]]),"NO DDATA")</f>
        <v>10.096892749749415</v>
      </c>
    </row>
    <row r="6" spans="1:7" x14ac:dyDescent="0.3">
      <c r="A6" s="8" t="s">
        <v>136</v>
      </c>
      <c r="B6" s="4">
        <v>326.25</v>
      </c>
      <c r="C6" s="2">
        <f>_xlfn.IFNA(VLOOKUP(Table6[[#This Row],[ITEM]],ITEM_SUMMARY!E:G,2,FALSE),"No data")</f>
        <v>3454</v>
      </c>
      <c r="D6" s="2">
        <f>_xlfn.IFNA(VLOOKUP(Table6[[#This Row],[ITEM]],ITEM_SUMMARY!E:G,3,FALSE),"No data")</f>
        <v>0</v>
      </c>
      <c r="E6" s="2">
        <f>_xlfn.IFNA(VLOOKUP(Table6[[#This Row],[ITEM]],MARKET_id!B:C,2,FALSE),"no data")</f>
        <v>3599</v>
      </c>
      <c r="F6" s="2" t="str">
        <f>IF(Table6[[#This Row],[eNERGY_CRAFTING]]=0,IF(Table6[[#This Row],[crafting cost]]&lt;Table6[[#This Row],[Market]],"CRAFT","BUY"),"BUY")</f>
        <v>CRAFT</v>
      </c>
      <c r="G6" s="57">
        <f>IFERROR(IF(Table6[[#This Row],[craft/BUY]]="BUY",Table6[[#This Row],[Market]]/Table6[[#This Row],[ENERGY]],Table6[[#This Row],[crafting cost]]/Table6[[#This Row],[ENERGY]]),"NO DDATA")</f>
        <v>10.586973180076628</v>
      </c>
    </row>
    <row r="7" spans="1:7" x14ac:dyDescent="0.3">
      <c r="A7" s="8" t="s">
        <v>157</v>
      </c>
      <c r="B7" s="4">
        <v>558</v>
      </c>
      <c r="C7" s="2">
        <f>_xlfn.IFNA(VLOOKUP(Table6[[#This Row],[ITEM]],ITEM_SUMMARY!E:G,2,FALSE),"No data")</f>
        <v>7204</v>
      </c>
      <c r="D7" s="2">
        <f>_xlfn.IFNA(VLOOKUP(Table6[[#This Row],[ITEM]],ITEM_SUMMARY!E:G,3,FALSE),"No data")</f>
        <v>0</v>
      </c>
      <c r="E7" s="2">
        <f>_xlfn.IFNA(VLOOKUP(Table6[[#This Row],[ITEM]],MARKET_id!B:C,2,FALSE),"no data")</f>
        <v>6200</v>
      </c>
      <c r="F7" s="2" t="str">
        <f>IF(Table6[[#This Row],[eNERGY_CRAFTING]]=0,IF(Table6[[#This Row],[crafting cost]]&lt;Table6[[#This Row],[Market]],"CRAFT","BUY"),"BUY")</f>
        <v>BUY</v>
      </c>
      <c r="G7" s="57">
        <f>IFERROR(IF(Table6[[#This Row],[craft/BUY]]="BUY",Table6[[#This Row],[Market]]/Table6[[#This Row],[ENERGY]],Table6[[#This Row],[crafting cost]]/Table6[[#This Row],[ENERGY]]),"NO DDATA")</f>
        <v>11.111111111111111</v>
      </c>
    </row>
    <row r="8" spans="1:7" x14ac:dyDescent="0.3">
      <c r="A8" s="8" t="s">
        <v>173</v>
      </c>
      <c r="B8" s="4">
        <v>116.07</v>
      </c>
      <c r="C8" s="2">
        <f>_xlfn.IFNA(VLOOKUP(Table6[[#This Row],[ITEM]],ITEM_SUMMARY!E:G,2,FALSE),"No data")</f>
        <v>1678</v>
      </c>
      <c r="D8" s="2">
        <f>_xlfn.IFNA(VLOOKUP(Table6[[#This Row],[ITEM]],ITEM_SUMMARY!E:G,3,FALSE),"No data")</f>
        <v>0</v>
      </c>
      <c r="E8" s="2">
        <f>_xlfn.IFNA(VLOOKUP(Table6[[#This Row],[ITEM]],MARKET_id!B:C,2,FALSE),"no data")</f>
        <v>1349</v>
      </c>
      <c r="F8" s="2" t="str">
        <f>IF(Table6[[#This Row],[eNERGY_CRAFTING]]=0,IF(Table6[[#This Row],[crafting cost]]&lt;Table6[[#This Row],[Market]],"CRAFT","BUY"),"BUY")</f>
        <v>BUY</v>
      </c>
      <c r="G8" s="57">
        <f>IFERROR(IF(Table6[[#This Row],[craft/BUY]]="BUY",Table6[[#This Row],[Market]]/Table6[[#This Row],[ENERGY]],Table6[[#This Row],[crafting cost]]/Table6[[#This Row],[ENERGY]]),"NO DDATA")</f>
        <v>11.622296889807876</v>
      </c>
    </row>
    <row r="9" spans="1:7" x14ac:dyDescent="0.3">
      <c r="A9" s="8" t="s">
        <v>169</v>
      </c>
      <c r="B9" s="4">
        <v>77</v>
      </c>
      <c r="C9" s="2">
        <f>_xlfn.IFNA(VLOOKUP(Table6[[#This Row],[ITEM]],ITEM_SUMMARY!E:G,2,FALSE),"No data")</f>
        <v>1150</v>
      </c>
      <c r="D9" s="2">
        <f>_xlfn.IFNA(VLOOKUP(Table6[[#This Row],[ITEM]],ITEM_SUMMARY!E:G,3,FALSE),"No data")</f>
        <v>0</v>
      </c>
      <c r="E9" s="2">
        <f>_xlfn.IFNA(VLOOKUP(Table6[[#This Row],[ITEM]],MARKET_id!B:C,2,FALSE),"no data")</f>
        <v>1000</v>
      </c>
      <c r="F9" s="2" t="str">
        <f>IF(Table6[[#This Row],[eNERGY_CRAFTING]]=0,IF(Table6[[#This Row],[crafting cost]]&lt;Table6[[#This Row],[Market]],"CRAFT","BUY"),"BUY")</f>
        <v>BUY</v>
      </c>
      <c r="G9" s="57">
        <f>IFERROR(IF(Table6[[#This Row],[craft/BUY]]="BUY",Table6[[#This Row],[Market]]/Table6[[#This Row],[ENERGY]],Table6[[#This Row],[crafting cost]]/Table6[[#This Row],[ENERGY]]),"NO DDATA")</f>
        <v>12.987012987012987</v>
      </c>
    </row>
    <row r="10" spans="1:7" x14ac:dyDescent="0.3">
      <c r="A10" s="8" t="s">
        <v>187</v>
      </c>
      <c r="B10" s="4">
        <v>27.93</v>
      </c>
      <c r="C10" s="2">
        <f>_xlfn.IFNA(VLOOKUP(Table6[[#This Row],[ITEM]],ITEM_SUMMARY!E:G,2,FALSE),"No data")</f>
        <v>373</v>
      </c>
      <c r="D10" s="2">
        <f>_xlfn.IFNA(VLOOKUP(Table6[[#This Row],[ITEM]],ITEM_SUMMARY!E:G,3,FALSE),"No data")</f>
        <v>0</v>
      </c>
      <c r="E10" s="2">
        <f>_xlfn.IFNA(VLOOKUP(Table6[[#This Row],[ITEM]],MARKET_id!B:C,2,FALSE),"no data")</f>
        <v>485</v>
      </c>
      <c r="F10" s="2" t="str">
        <f>IF(Table6[[#This Row],[eNERGY_CRAFTING]]=0,IF(Table6[[#This Row],[crafting cost]]&lt;Table6[[#This Row],[Market]],"CRAFT","BUY"),"BUY")</f>
        <v>CRAFT</v>
      </c>
      <c r="G10" s="57">
        <f>IFERROR(IF(Table6[[#This Row],[craft/BUY]]="BUY",Table6[[#This Row],[Market]]/Table6[[#This Row],[ENERGY]],Table6[[#This Row],[crafting cost]]/Table6[[#This Row],[ENERGY]]),"NO DDATA")</f>
        <v>13.354815610454708</v>
      </c>
    </row>
    <row r="11" spans="1:7" x14ac:dyDescent="0.3">
      <c r="A11" s="8" t="s">
        <v>163</v>
      </c>
      <c r="B11" s="4">
        <v>27.58</v>
      </c>
      <c r="C11" s="2">
        <f>_xlfn.IFNA(VLOOKUP(Table6[[#This Row],[ITEM]],ITEM_SUMMARY!E:G,2,FALSE),"No data")</f>
        <v>3</v>
      </c>
      <c r="D11" s="2">
        <f>_xlfn.IFNA(VLOOKUP(Table6[[#This Row],[ITEM]],ITEM_SUMMARY!E:G,3,FALSE),"No data")</f>
        <v>5</v>
      </c>
      <c r="E11" s="2">
        <f>_xlfn.IFNA(VLOOKUP(Table6[[#This Row],[ITEM]],MARKET_id!B:C,2,FALSE),"no data")</f>
        <v>396</v>
      </c>
      <c r="F11" s="2" t="str">
        <f>IF(Table6[[#This Row],[eNERGY_CRAFTING]]=0,IF(Table6[[#This Row],[crafting cost]]&lt;Table6[[#This Row],[Market]],"CRAFT","BUY"),"BUY")</f>
        <v>BUY</v>
      </c>
      <c r="G11" s="57">
        <f>IFERROR(IF(Table6[[#This Row],[craft/BUY]]="BUY",Table6[[#This Row],[Market]]/Table6[[#This Row],[ENERGY]],Table6[[#This Row],[crafting cost]]/Table6[[#This Row],[ENERGY]]),"NO DDATA")</f>
        <v>14.358230601885426</v>
      </c>
    </row>
    <row r="12" spans="1:7" x14ac:dyDescent="0.3">
      <c r="A12" s="8" t="s">
        <v>202</v>
      </c>
      <c r="B12" s="4">
        <v>6.27</v>
      </c>
      <c r="C12" s="2">
        <f>_xlfn.IFNA(VLOOKUP(Table6[[#This Row],[ITEM]],ITEM_SUMMARY!E:G,2,FALSE),"No data")</f>
        <v>94</v>
      </c>
      <c r="D12" s="2">
        <f>_xlfn.IFNA(VLOOKUP(Table6[[#This Row],[ITEM]],ITEM_SUMMARY!E:G,3,FALSE),"No data")</f>
        <v>0</v>
      </c>
      <c r="E12" s="2">
        <f>_xlfn.IFNA(VLOOKUP(Table6[[#This Row],[ITEM]],MARKET_id!B:C,2,FALSE),"no data")</f>
        <v>108</v>
      </c>
      <c r="F12" s="2" t="str">
        <f>IF(Table6[[#This Row],[eNERGY_CRAFTING]]=0,IF(Table6[[#This Row],[crafting cost]]&lt;Table6[[#This Row],[Market]],"CRAFT","BUY"),"BUY")</f>
        <v>CRAFT</v>
      </c>
      <c r="G12" s="57">
        <f>IFERROR(IF(Table6[[#This Row],[craft/BUY]]="BUY",Table6[[#This Row],[Market]]/Table6[[#This Row],[ENERGY]],Table6[[#This Row],[crafting cost]]/Table6[[#This Row],[ENERGY]]),"NO DDATA")</f>
        <v>14.992025518341309</v>
      </c>
    </row>
    <row r="13" spans="1:7" x14ac:dyDescent="0.3">
      <c r="A13" s="8" t="s">
        <v>170</v>
      </c>
      <c r="B13" s="4">
        <v>216</v>
      </c>
      <c r="C13" s="2">
        <f>_xlfn.IFNA(VLOOKUP(Table6[[#This Row],[ITEM]],ITEM_SUMMARY!E:G,2,FALSE),"No data")</f>
        <v>3257</v>
      </c>
      <c r="D13" s="2">
        <f>_xlfn.IFNA(VLOOKUP(Table6[[#This Row],[ITEM]],ITEM_SUMMARY!E:G,3,FALSE),"No data")</f>
        <v>0</v>
      </c>
      <c r="E13" s="2">
        <f>_xlfn.IFNA(VLOOKUP(Table6[[#This Row],[ITEM]],MARKET_id!B:C,2,FALSE),"no data")</f>
        <v>3490</v>
      </c>
      <c r="F13" s="2" t="str">
        <f>IF(Table6[[#This Row],[eNERGY_CRAFTING]]=0,IF(Table6[[#This Row],[crafting cost]]&lt;Table6[[#This Row],[Market]],"CRAFT","BUY"),"BUY")</f>
        <v>CRAFT</v>
      </c>
      <c r="G13" s="57">
        <f>IFERROR(IF(Table6[[#This Row],[craft/BUY]]="BUY",Table6[[#This Row],[Market]]/Table6[[#This Row],[ENERGY]],Table6[[#This Row],[crafting cost]]/Table6[[#This Row],[ENERGY]]),"NO DDATA")</f>
        <v>15.078703703703704</v>
      </c>
    </row>
    <row r="14" spans="1:7" x14ac:dyDescent="0.3">
      <c r="A14" s="8" t="s">
        <v>179</v>
      </c>
      <c r="B14" s="4">
        <v>15.4</v>
      </c>
      <c r="C14" s="2">
        <f>_xlfn.IFNA(VLOOKUP(Table6[[#This Row],[ITEM]],ITEM_SUMMARY!E:G,2,FALSE),"No data")</f>
        <v>248</v>
      </c>
      <c r="D14" s="2">
        <f>_xlfn.IFNA(VLOOKUP(Table6[[#This Row],[ITEM]],ITEM_SUMMARY!E:G,3,FALSE),"No data")</f>
        <v>0</v>
      </c>
      <c r="E14" s="2">
        <f>_xlfn.IFNA(VLOOKUP(Table6[[#This Row],[ITEM]],MARKET_id!B:C,2,FALSE),"no data")</f>
        <v>246</v>
      </c>
      <c r="F14" s="2" t="str">
        <f>IF(Table6[[#This Row],[eNERGY_CRAFTING]]=0,IF(Table6[[#This Row],[crafting cost]]&lt;Table6[[#This Row],[Market]],"CRAFT","BUY"),"BUY")</f>
        <v>BUY</v>
      </c>
      <c r="G14" s="57">
        <f>IFERROR(IF(Table6[[#This Row],[craft/BUY]]="BUY",Table6[[#This Row],[Market]]/Table6[[#This Row],[ENERGY]],Table6[[#This Row],[crafting cost]]/Table6[[#This Row],[ENERGY]]),"NO DDATA")</f>
        <v>15.974025974025974</v>
      </c>
    </row>
    <row r="15" spans="1:7" x14ac:dyDescent="0.3">
      <c r="A15" s="8" t="s">
        <v>182</v>
      </c>
      <c r="B15" s="4">
        <v>24.32</v>
      </c>
      <c r="C15" s="2">
        <f>_xlfn.IFNA(VLOOKUP(Table6[[#This Row],[ITEM]],ITEM_SUMMARY!E:G,2,FALSE),"No data")</f>
        <v>437</v>
      </c>
      <c r="D15" s="2">
        <f>_xlfn.IFNA(VLOOKUP(Table6[[#This Row],[ITEM]],ITEM_SUMMARY!E:G,3,FALSE),"No data")</f>
        <v>0</v>
      </c>
      <c r="E15" s="2">
        <f>_xlfn.IFNA(VLOOKUP(Table6[[#This Row],[ITEM]],MARKET_id!B:C,2,FALSE),"no data")</f>
        <v>445</v>
      </c>
      <c r="F15" s="2" t="str">
        <f>IF(Table6[[#This Row],[eNERGY_CRAFTING]]=0,IF(Table6[[#This Row],[crafting cost]]&lt;Table6[[#This Row],[Market]],"CRAFT","BUY"),"BUY")</f>
        <v>CRAFT</v>
      </c>
      <c r="G15" s="57">
        <f>IFERROR(IF(Table6[[#This Row],[craft/BUY]]="BUY",Table6[[#This Row],[Market]]/Table6[[#This Row],[ENERGY]],Table6[[#This Row],[crafting cost]]/Table6[[#This Row],[ENERGY]]),"NO DDATA")</f>
        <v>17.96875</v>
      </c>
    </row>
    <row r="16" spans="1:7" x14ac:dyDescent="0.3">
      <c r="A16" s="8" t="s">
        <v>195</v>
      </c>
      <c r="B16" s="4">
        <v>14.8</v>
      </c>
      <c r="C16" s="2">
        <f>_xlfn.IFNA(VLOOKUP(Table6[[#This Row],[ITEM]],ITEM_SUMMARY!E:G,2,FALSE),"No data")</f>
        <v>283</v>
      </c>
      <c r="D16" s="2">
        <f>_xlfn.IFNA(VLOOKUP(Table6[[#This Row],[ITEM]],ITEM_SUMMARY!E:G,3,FALSE),"No data")</f>
        <v>0</v>
      </c>
      <c r="E16" s="2">
        <f>_xlfn.IFNA(VLOOKUP(Table6[[#This Row],[ITEM]],MARKET_id!B:C,2,FALSE),"no data")</f>
        <v>397</v>
      </c>
      <c r="F16" s="2" t="str">
        <f>IF(Table6[[#This Row],[eNERGY_CRAFTING]]=0,IF(Table6[[#This Row],[crafting cost]]&lt;Table6[[#This Row],[Market]],"CRAFT","BUY"),"BUY")</f>
        <v>CRAFT</v>
      </c>
      <c r="G16" s="57">
        <f>IFERROR(IF(Table6[[#This Row],[craft/BUY]]="BUY",Table6[[#This Row],[Market]]/Table6[[#This Row],[ENERGY]],Table6[[#This Row],[crafting cost]]/Table6[[#This Row],[ENERGY]]),"NO DDATA")</f>
        <v>19.121621621621621</v>
      </c>
    </row>
    <row r="17" spans="1:7" x14ac:dyDescent="0.3">
      <c r="A17" s="8" t="s">
        <v>174</v>
      </c>
      <c r="B17" s="4">
        <v>259.55</v>
      </c>
      <c r="C17" s="2">
        <f>_xlfn.IFNA(VLOOKUP(Table6[[#This Row],[ITEM]],ITEM_SUMMARY!E:G,2,FALSE),"No data")</f>
        <v>5782</v>
      </c>
      <c r="D17" s="2">
        <f>_xlfn.IFNA(VLOOKUP(Table6[[#This Row],[ITEM]],ITEM_SUMMARY!E:G,3,FALSE),"No data")</f>
        <v>2</v>
      </c>
      <c r="E17" s="2">
        <f>_xlfn.IFNA(VLOOKUP(Table6[[#This Row],[ITEM]],MARKET_id!B:C,2,FALSE),"no data")</f>
        <v>5899</v>
      </c>
      <c r="F17" s="2" t="str">
        <f>IF(Table6[[#This Row],[eNERGY_CRAFTING]]=0,IF(Table6[[#This Row],[crafting cost]]&lt;Table6[[#This Row],[Market]],"CRAFT","BUY"),"BUY")</f>
        <v>BUY</v>
      </c>
      <c r="G17" s="57">
        <f>IFERROR(IF(Table6[[#This Row],[craft/BUY]]="BUY",Table6[[#This Row],[Market]]/Table6[[#This Row],[ENERGY]],Table6[[#This Row],[crafting cost]]/Table6[[#This Row],[ENERGY]]),"NO DDATA")</f>
        <v>22.727798112117124</v>
      </c>
    </row>
    <row r="18" spans="1:7" x14ac:dyDescent="0.3">
      <c r="A18" s="8" t="s">
        <v>9</v>
      </c>
      <c r="B18" s="4">
        <v>5.53</v>
      </c>
      <c r="C18" s="2">
        <f>_xlfn.IFNA(VLOOKUP(Table6[[#This Row],[ITEM]],ITEM_SUMMARY!E:G,2,FALSE),"No data")</f>
        <v>136</v>
      </c>
      <c r="D18" s="2">
        <f>_xlfn.IFNA(VLOOKUP(Table6[[#This Row],[ITEM]],ITEM_SUMMARY!E:G,3,FALSE),"No data")</f>
        <v>0</v>
      </c>
      <c r="E18" s="2">
        <f>_xlfn.IFNA(VLOOKUP(Table6[[#This Row],[ITEM]],MARKET_id!B:C,2,FALSE),"no data")</f>
        <v>159</v>
      </c>
      <c r="F18" s="2" t="str">
        <f>IF(Table6[[#This Row],[eNERGY_CRAFTING]]=0,IF(Table6[[#This Row],[crafting cost]]&lt;Table6[[#This Row],[Market]],"CRAFT","BUY"),"BUY")</f>
        <v>CRAFT</v>
      </c>
      <c r="G18" s="57">
        <f>IFERROR(IF(Table6[[#This Row],[craft/BUY]]="BUY",Table6[[#This Row],[Market]]/Table6[[#This Row],[ENERGY]],Table6[[#This Row],[crafting cost]]/Table6[[#This Row],[ENERGY]]),"NO DDATA")</f>
        <v>24.593128390596743</v>
      </c>
    </row>
    <row r="19" spans="1:7" x14ac:dyDescent="0.3">
      <c r="A19" s="8" t="s">
        <v>135</v>
      </c>
      <c r="B19" s="4">
        <v>3.5</v>
      </c>
      <c r="C19" s="2">
        <f>_xlfn.IFNA(VLOOKUP(Table6[[#This Row],[ITEM]],ITEM_SUMMARY!E:G,2,FALSE),"No data")</f>
        <v>36</v>
      </c>
      <c r="D19" s="2">
        <f>_xlfn.IFNA(VLOOKUP(Table6[[#This Row],[ITEM]],ITEM_SUMMARY!E:G,3,FALSE),"No data")</f>
        <v>8.5</v>
      </c>
      <c r="E19" s="2">
        <f>_xlfn.IFNA(VLOOKUP(Table6[[#This Row],[ITEM]],MARKET_id!B:C,2,FALSE),"no data")</f>
        <v>138</v>
      </c>
      <c r="F19" s="2" t="str">
        <f>IF(Table6[[#This Row],[eNERGY_CRAFTING]]=0,IF(Table6[[#This Row],[crafting cost]]&lt;Table6[[#This Row],[Market]],"CRAFT","BUY"),"BUY")</f>
        <v>BUY</v>
      </c>
      <c r="G19" s="57">
        <f>IFERROR(IF(Table6[[#This Row],[craft/BUY]]="BUY",Table6[[#This Row],[Market]]/Table6[[#This Row],[ENERGY]],Table6[[#This Row],[crafting cost]]/Table6[[#This Row],[ENERGY]]),"NO DDATA")</f>
        <v>39.428571428571431</v>
      </c>
    </row>
    <row r="20" spans="1:7" x14ac:dyDescent="0.3">
      <c r="A20" s="8" t="s">
        <v>156</v>
      </c>
      <c r="B20" s="4">
        <v>1.76</v>
      </c>
      <c r="C20" s="2">
        <f>_xlfn.IFNA(VLOOKUP(Table6[[#This Row],[ITEM]],ITEM_SUMMARY!E:G,2,FALSE),"No data")</f>
        <v>12</v>
      </c>
      <c r="D20" s="2">
        <f>_xlfn.IFNA(VLOOKUP(Table6[[#This Row],[ITEM]],ITEM_SUMMARY!E:G,3,FALSE),"No data")</f>
        <v>8</v>
      </c>
      <c r="E20" s="2">
        <f>_xlfn.IFNA(VLOOKUP(Table6[[#This Row],[ITEM]],MARKET_id!B:C,2,FALSE),"no data")</f>
        <v>79</v>
      </c>
      <c r="F20" s="2" t="str">
        <f>IF(Table6[[#This Row],[eNERGY_CRAFTING]]=0,IF(Table6[[#This Row],[crafting cost]]&lt;Table6[[#This Row],[Market]],"CRAFT","BUY"),"BUY")</f>
        <v>BUY</v>
      </c>
      <c r="G20" s="57">
        <f>IFERROR(IF(Table6[[#This Row],[craft/BUY]]="BUY",Table6[[#This Row],[Market]]/Table6[[#This Row],[ENERGY]],Table6[[#This Row],[crafting cost]]/Table6[[#This Row],[ENERGY]]),"NO DDATA")</f>
        <v>44.886363636363633</v>
      </c>
    </row>
    <row r="21" spans="1:7" x14ac:dyDescent="0.3">
      <c r="A21" s="8" t="s">
        <v>177</v>
      </c>
      <c r="B21" s="4">
        <v>2.56</v>
      </c>
      <c r="C21" s="2">
        <f>_xlfn.IFNA(VLOOKUP(Table6[[#This Row],[ITEM]],ITEM_SUMMARY!E:G,2,FALSE),"No data")</f>
        <v>18</v>
      </c>
      <c r="D21" s="2">
        <f>_xlfn.IFNA(VLOOKUP(Table6[[#This Row],[ITEM]],ITEM_SUMMARY!E:G,3,FALSE),"No data")</f>
        <v>11.5</v>
      </c>
      <c r="E21" s="2">
        <f>_xlfn.IFNA(VLOOKUP(Table6[[#This Row],[ITEM]],MARKET_id!B:C,2,FALSE),"no data")</f>
        <v>120</v>
      </c>
      <c r="F21" s="2" t="str">
        <f>IF(Table6[[#This Row],[eNERGY_CRAFTING]]=0,IF(Table6[[#This Row],[crafting cost]]&lt;Table6[[#This Row],[Market]],"CRAFT","BUY"),"BUY")</f>
        <v>BUY</v>
      </c>
      <c r="G21" s="57">
        <f>IFERROR(IF(Table6[[#This Row],[craft/BUY]]="BUY",Table6[[#This Row],[Market]]/Table6[[#This Row],[ENERGY]],Table6[[#This Row],[crafting cost]]/Table6[[#This Row],[ENERGY]]),"NO DDATA")</f>
        <v>46.875</v>
      </c>
    </row>
    <row r="22" spans="1:7" x14ac:dyDescent="0.3">
      <c r="A22" s="8" t="s">
        <v>183</v>
      </c>
      <c r="B22" s="4">
        <v>1.76</v>
      </c>
      <c r="C22" s="2">
        <f>_xlfn.IFNA(VLOOKUP(Table6[[#This Row],[ITEM]],ITEM_SUMMARY!E:G,2,FALSE),"No data")</f>
        <v>15</v>
      </c>
      <c r="D22" s="2">
        <f>_xlfn.IFNA(VLOOKUP(Table6[[#This Row],[ITEM]],ITEM_SUMMARY!E:G,3,FALSE),"No data")</f>
        <v>8</v>
      </c>
      <c r="E22" s="2">
        <f>_xlfn.IFNA(VLOOKUP(Table6[[#This Row],[ITEM]],MARKET_id!B:C,2,FALSE),"no data")</f>
        <v>87</v>
      </c>
      <c r="F22" s="2" t="str">
        <f>IF(Table6[[#This Row],[eNERGY_CRAFTING]]=0,IF(Table6[[#This Row],[crafting cost]]&lt;Table6[[#This Row],[Market]],"CRAFT","BUY"),"BUY")</f>
        <v>BUY</v>
      </c>
      <c r="G22" s="57">
        <f>IFERROR(IF(Table6[[#This Row],[craft/BUY]]="BUY",Table6[[#This Row],[Market]]/Table6[[#This Row],[ENERGY]],Table6[[#This Row],[crafting cost]]/Table6[[#This Row],[ENERGY]]),"NO DDATA")</f>
        <v>49.43181818181818</v>
      </c>
    </row>
    <row r="23" spans="1:7" x14ac:dyDescent="0.3">
      <c r="A23" s="8" t="s">
        <v>138</v>
      </c>
      <c r="B23" s="4">
        <v>0.99</v>
      </c>
      <c r="C23" s="2">
        <f>_xlfn.IFNA(VLOOKUP(Table6[[#This Row],[ITEM]],ITEM_SUMMARY!E:G,2,FALSE),"No data")</f>
        <v>88</v>
      </c>
      <c r="D23" s="2">
        <f>_xlfn.IFNA(VLOOKUP(Table6[[#This Row],[ITEM]],ITEM_SUMMARY!E:G,3,FALSE),"No data")</f>
        <v>0</v>
      </c>
      <c r="E23" s="2">
        <f>_xlfn.IFNA(VLOOKUP(Table6[[#This Row],[ITEM]],MARKET_id!B:C,2,FALSE),"no data")</f>
        <v>105</v>
      </c>
      <c r="F23" s="2" t="str">
        <f>IF(Table6[[#This Row],[eNERGY_CRAFTING]]=0,IF(Table6[[#This Row],[crafting cost]]&lt;Table6[[#This Row],[Market]],"CRAFT","BUY"),"BUY")</f>
        <v>CRAFT</v>
      </c>
      <c r="G23" s="57">
        <f>IFERROR(IF(Table6[[#This Row],[craft/BUY]]="BUY",Table6[[#This Row],[Market]]/Table6[[#This Row],[ENERGY]],Table6[[#This Row],[crafting cost]]/Table6[[#This Row],[ENERGY]]),"NO DDATA")</f>
        <v>88.888888888888886</v>
      </c>
    </row>
    <row r="24" spans="1:7" x14ac:dyDescent="0.3">
      <c r="A24" s="8" t="s">
        <v>128</v>
      </c>
      <c r="B24" s="4">
        <v>0.56999999999999995</v>
      </c>
      <c r="C24" s="2">
        <f>_xlfn.IFNA(VLOOKUP(Table6[[#This Row],[ITEM]],ITEM_SUMMARY!E:G,2,FALSE),"No data")</f>
        <v>3</v>
      </c>
      <c r="D24" s="2">
        <f>_xlfn.IFNA(VLOOKUP(Table6[[#This Row],[ITEM]],ITEM_SUMMARY!E:G,3,FALSE),"No data")</f>
        <v>4</v>
      </c>
      <c r="E24" s="2">
        <f>_xlfn.IFNA(VLOOKUP(Table6[[#This Row],[ITEM]],MARKET_id!B:C,2,FALSE),"no data")</f>
        <v>53</v>
      </c>
      <c r="F24" s="2" t="str">
        <f>IF(Table6[[#This Row],[eNERGY_CRAFTING]]=0,IF(Table6[[#This Row],[crafting cost]]&lt;Table6[[#This Row],[Market]],"CRAFT","BUY"),"BUY")</f>
        <v>BUY</v>
      </c>
      <c r="G24" s="57">
        <f>IFERROR(IF(Table6[[#This Row],[craft/BUY]]="BUY",Table6[[#This Row],[Market]]/Table6[[#This Row],[ENERGY]],Table6[[#This Row],[crafting cost]]/Table6[[#This Row],[ENERGY]]),"NO DDATA")</f>
        <v>92.982456140350891</v>
      </c>
    </row>
    <row r="25" spans="1:7" x14ac:dyDescent="0.3">
      <c r="A25" s="8" t="s">
        <v>155</v>
      </c>
      <c r="B25" s="4">
        <v>1.27</v>
      </c>
      <c r="C25" s="2">
        <f>_xlfn.IFNA(VLOOKUP(Table6[[#This Row],[ITEM]],ITEM_SUMMARY!E:G,2,FALSE),"No data")</f>
        <v>9</v>
      </c>
      <c r="D25" s="2">
        <f>_xlfn.IFNA(VLOOKUP(Table6[[#This Row],[ITEM]],ITEM_SUMMARY!E:G,3,FALSE),"No data")</f>
        <v>7</v>
      </c>
      <c r="E25" s="2">
        <f>_xlfn.IFNA(VLOOKUP(Table6[[#This Row],[ITEM]],MARKET_id!B:C,2,FALSE),"no data")</f>
        <v>119</v>
      </c>
      <c r="F25" s="2" t="str">
        <f>IF(Table6[[#This Row],[eNERGY_CRAFTING]]=0,IF(Table6[[#This Row],[crafting cost]]&lt;Table6[[#This Row],[Market]],"CRAFT","BUY"),"BUY")</f>
        <v>BUY</v>
      </c>
      <c r="G25" s="57">
        <f>IFERROR(IF(Table6[[#This Row],[craft/BUY]]="BUY",Table6[[#This Row],[Market]]/Table6[[#This Row],[ENERGY]],Table6[[#This Row],[crafting cost]]/Table6[[#This Row],[ENERGY]]),"NO DDATA")</f>
        <v>93.7007874015748</v>
      </c>
    </row>
    <row r="26" spans="1:7" x14ac:dyDescent="0.3">
      <c r="A26" s="8" t="s">
        <v>133</v>
      </c>
      <c r="B26" s="4">
        <v>2.48</v>
      </c>
      <c r="C26" s="2">
        <f>_xlfn.IFNA(VLOOKUP(Table6[[#This Row],[ITEM]],ITEM_SUMMARY!E:G,2,FALSE),"No data")</f>
        <v>0</v>
      </c>
      <c r="D26" s="2">
        <f>_xlfn.IFNA(VLOOKUP(Table6[[#This Row],[ITEM]],ITEM_SUMMARY!E:G,3,FALSE),"No data")</f>
        <v>10.5</v>
      </c>
      <c r="E26" s="2">
        <f>_xlfn.IFNA(VLOOKUP(Table6[[#This Row],[ITEM]],MARKET_id!B:C,2,FALSE),"no data")</f>
        <v>235</v>
      </c>
      <c r="F26" s="2" t="str">
        <f>IF(Table6[[#This Row],[eNERGY_CRAFTING]]=0,IF(Table6[[#This Row],[crafting cost]]&lt;Table6[[#This Row],[Market]],"CRAFT","BUY"),"BUY")</f>
        <v>BUY</v>
      </c>
      <c r="G26" s="57">
        <f>IFERROR(IF(Table6[[#This Row],[craft/BUY]]="BUY",Table6[[#This Row],[Market]]/Table6[[#This Row],[ENERGY]],Table6[[#This Row],[crafting cost]]/Table6[[#This Row],[ENERGY]]),"NO DDATA")</f>
        <v>94.758064516129039</v>
      </c>
    </row>
    <row r="27" spans="1:7" x14ac:dyDescent="0.3">
      <c r="A27" s="8" t="s">
        <v>161</v>
      </c>
      <c r="B27" s="4">
        <v>1</v>
      </c>
      <c r="C27" s="2">
        <f>_xlfn.IFNA(VLOOKUP(Table6[[#This Row],[ITEM]],ITEM_SUMMARY!E:G,2,FALSE),"No data")</f>
        <v>0</v>
      </c>
      <c r="D27" s="2">
        <f>_xlfn.IFNA(VLOOKUP(Table6[[#This Row],[ITEM]],ITEM_SUMMARY!E:G,3,FALSE),"No data")</f>
        <v>1.5</v>
      </c>
      <c r="E27" s="2">
        <f>_xlfn.IFNA(VLOOKUP(Table6[[#This Row],[ITEM]],MARKET_id!B:C,2,FALSE),"no data")</f>
        <v>102</v>
      </c>
      <c r="F27" s="2" t="str">
        <f>IF(Table6[[#This Row],[eNERGY_CRAFTING]]=0,IF(Table6[[#This Row],[crafting cost]]&lt;Table6[[#This Row],[Market]],"CRAFT","BUY"),"BUY")</f>
        <v>BUY</v>
      </c>
      <c r="G27" s="57">
        <f>IFERROR(IF(Table6[[#This Row],[craft/BUY]]="BUY",Table6[[#This Row],[Market]]/Table6[[#This Row],[ENERGY]],Table6[[#This Row],[crafting cost]]/Table6[[#This Row],[ENERGY]]),"NO DDATA")</f>
        <v>102</v>
      </c>
    </row>
    <row r="28" spans="1:7" x14ac:dyDescent="0.3">
      <c r="A28" s="8" t="s">
        <v>10</v>
      </c>
      <c r="B28" s="4">
        <v>0.41</v>
      </c>
      <c r="C28" s="2">
        <f>_xlfn.IFNA(VLOOKUP(Table6[[#This Row],[ITEM]],ITEM_SUMMARY!E:G,2,FALSE),"No data")</f>
        <v>1</v>
      </c>
      <c r="D28" s="2">
        <f>_xlfn.IFNA(VLOOKUP(Table6[[#This Row],[ITEM]],ITEM_SUMMARY!E:G,3,FALSE),"No data")</f>
        <v>3.5</v>
      </c>
      <c r="E28" s="2">
        <f>_xlfn.IFNA(VLOOKUP(Table6[[#This Row],[ITEM]],MARKET_id!B:C,2,FALSE),"no data")</f>
        <v>46</v>
      </c>
      <c r="F28" s="2" t="str">
        <f>IF(Table6[[#This Row],[eNERGY_CRAFTING]]=0,IF(Table6[[#This Row],[crafting cost]]&lt;Table6[[#This Row],[Market]],"CRAFT","BUY"),"BUY")</f>
        <v>BUY</v>
      </c>
      <c r="G28" s="57">
        <f>IFERROR(IF(Table6[[#This Row],[craft/BUY]]="BUY",Table6[[#This Row],[Market]]/Table6[[#This Row],[ENERGY]],Table6[[#This Row],[crafting cost]]/Table6[[#This Row],[ENERGY]]),"NO DDATA")</f>
        <v>112.19512195121952</v>
      </c>
    </row>
    <row r="29" spans="1:7" x14ac:dyDescent="0.3">
      <c r="A29" s="8" t="s">
        <v>162</v>
      </c>
      <c r="B29" s="4">
        <v>0.35</v>
      </c>
      <c r="C29" s="2">
        <f>_xlfn.IFNA(VLOOKUP(Table6[[#This Row],[ITEM]],ITEM_SUMMARY!E:G,2,FALSE),"No data")</f>
        <v>1</v>
      </c>
      <c r="D29" s="2">
        <f>_xlfn.IFNA(VLOOKUP(Table6[[#This Row],[ITEM]],ITEM_SUMMARY!E:G,3,FALSE),"No data")</f>
        <v>3.5</v>
      </c>
      <c r="E29" s="2">
        <f>_xlfn.IFNA(VLOOKUP(Table6[[#This Row],[ITEM]],MARKET_id!B:C,2,FALSE),"no data")</f>
        <v>42</v>
      </c>
      <c r="F29" s="2" t="str">
        <f>IF(Table6[[#This Row],[eNERGY_CRAFTING]]=0,IF(Table6[[#This Row],[crafting cost]]&lt;Table6[[#This Row],[Market]],"CRAFT","BUY"),"BUY")</f>
        <v>BUY</v>
      </c>
      <c r="G29" s="57">
        <f>IFERROR(IF(Table6[[#This Row],[craft/BUY]]="BUY",Table6[[#This Row],[Market]]/Table6[[#This Row],[ENERGY]],Table6[[#This Row],[crafting cost]]/Table6[[#This Row],[ENERGY]]),"NO DDATA")</f>
        <v>120.00000000000001</v>
      </c>
    </row>
    <row r="30" spans="1:7" x14ac:dyDescent="0.3">
      <c r="A30" s="8" t="s">
        <v>130</v>
      </c>
      <c r="B30" s="4">
        <v>0.1</v>
      </c>
      <c r="C30" s="2">
        <f>_xlfn.IFNA(VLOOKUP(Table6[[#This Row],[ITEM]],ITEM_SUMMARY!E:G,2,FALSE),"No data")</f>
        <v>0</v>
      </c>
      <c r="D30" s="2">
        <f>_xlfn.IFNA(VLOOKUP(Table6[[#This Row],[ITEM]],ITEM_SUMMARY!E:G,3,FALSE),"No data")</f>
        <v>2.5</v>
      </c>
      <c r="E30" s="2">
        <f>_xlfn.IFNA(VLOOKUP(Table6[[#This Row],[ITEM]],MARKET_id!B:C,2,FALSE),"no data")</f>
        <v>14</v>
      </c>
      <c r="F30" s="2" t="str">
        <f>IF(Table6[[#This Row],[eNERGY_CRAFTING]]=0,IF(Table6[[#This Row],[crafting cost]]&lt;Table6[[#This Row],[Market]],"CRAFT","BUY"),"BUY")</f>
        <v>BUY</v>
      </c>
      <c r="G30" s="57">
        <f>IFERROR(IF(Table6[[#This Row],[craft/BUY]]="BUY",Table6[[#This Row],[Market]]/Table6[[#This Row],[ENERGY]],Table6[[#This Row],[crafting cost]]/Table6[[#This Row],[ENERGY]]),"NO DDATA")</f>
        <v>140</v>
      </c>
    </row>
    <row r="31" spans="1:7" x14ac:dyDescent="0.3">
      <c r="A31" s="8" t="s">
        <v>184</v>
      </c>
      <c r="B31" s="4">
        <v>0.36</v>
      </c>
      <c r="C31" s="2">
        <f>_xlfn.IFNA(VLOOKUP(Table6[[#This Row],[ITEM]],ITEM_SUMMARY!E:G,2,FALSE),"No data")</f>
        <v>3</v>
      </c>
      <c r="D31" s="2">
        <f>_xlfn.IFNA(VLOOKUP(Table6[[#This Row],[ITEM]],ITEM_SUMMARY!E:G,3,FALSE),"No data")</f>
        <v>5</v>
      </c>
      <c r="E31" s="2">
        <f>_xlfn.IFNA(VLOOKUP(Table6[[#This Row],[ITEM]],MARKET_id!B:C,2,FALSE),"no data")</f>
        <v>52</v>
      </c>
      <c r="F31" s="2" t="str">
        <f>IF(Table6[[#This Row],[eNERGY_CRAFTING]]=0,IF(Table6[[#This Row],[crafting cost]]&lt;Table6[[#This Row],[Market]],"CRAFT","BUY"),"BUY")</f>
        <v>BUY</v>
      </c>
      <c r="G31" s="57">
        <f>IFERROR(IF(Table6[[#This Row],[craft/BUY]]="BUY",Table6[[#This Row],[Market]]/Table6[[#This Row],[ENERGY]],Table6[[#This Row],[crafting cost]]/Table6[[#This Row],[ENERGY]]),"NO DDATA")</f>
        <v>144.44444444444446</v>
      </c>
    </row>
    <row r="32" spans="1:7" x14ac:dyDescent="0.3">
      <c r="A32" s="8" t="s">
        <v>3</v>
      </c>
      <c r="B32" s="4">
        <v>0.1</v>
      </c>
      <c r="C32" s="2">
        <f>_xlfn.IFNA(VLOOKUP(Table6[[#This Row],[ITEM]],ITEM_SUMMARY!E:G,2,FALSE),"No data")</f>
        <v>0</v>
      </c>
      <c r="D32" s="2">
        <f>_xlfn.IFNA(VLOOKUP(Table6[[#This Row],[ITEM]],ITEM_SUMMARY!E:G,3,FALSE),"No data")</f>
        <v>1.5</v>
      </c>
      <c r="E32" s="2">
        <f>_xlfn.IFNA(VLOOKUP(Table6[[#This Row],[ITEM]],MARKET_id!B:C,2,FALSE),"no data")</f>
        <v>44</v>
      </c>
      <c r="F32" s="2" t="str">
        <f>IF(Table6[[#This Row],[eNERGY_CRAFTING]]=0,IF(Table6[[#This Row],[crafting cost]]&lt;Table6[[#This Row],[Market]],"CRAFT","BUY"),"BUY")</f>
        <v>BUY</v>
      </c>
      <c r="G32" s="57">
        <f>IFERROR(IF(Table6[[#This Row],[craft/BUY]]="BUY",Table6[[#This Row],[Market]]/Table6[[#This Row],[ENERGY]],Table6[[#This Row],[crafting cost]]/Table6[[#This Row],[ENERGY]]),"NO DDATA")</f>
        <v>440</v>
      </c>
    </row>
    <row r="33" spans="1:7" x14ac:dyDescent="0.3">
      <c r="A33" s="8" t="s">
        <v>186</v>
      </c>
      <c r="B33" s="4">
        <v>48.77</v>
      </c>
      <c r="C33" s="2" t="str">
        <f>_xlfn.IFNA(VLOOKUP(Table6[[#This Row],[ITEM]],ITEM_SUMMARY!E:G,2,FALSE),"No data")</f>
        <v>No data</v>
      </c>
      <c r="D33" s="2" t="str">
        <f>_xlfn.IFNA(VLOOKUP(Table6[[#This Row],[ITEM]],ITEM_SUMMARY!E:G,3,FALSE),"No data")</f>
        <v>No data</v>
      </c>
      <c r="E33" s="2" t="str">
        <f>_xlfn.IFNA(VLOOKUP(Table6[[#This Row],[ITEM]],MARKET_id!B:C,2,FALSE),"no data")</f>
        <v>no data</v>
      </c>
      <c r="F33" s="2" t="str">
        <f>IF(Table6[[#This Row],[eNERGY_CRAFTING]]=0,IF(Table6[[#This Row],[crafting cost]]&lt;Table6[[#This Row],[Market]],"CRAFT","BUY"),"BUY")</f>
        <v>BUY</v>
      </c>
      <c r="G33" s="57" t="str">
        <f>IFERROR(IF(Table6[[#This Row],[craft/BUY]]="BUY",Table6[[#This Row],[Market]]/Table6[[#This Row],[ENERGY]],Table6[[#This Row],[crafting cost]]/Table6[[#This Row],[ENERGY]]),"NO DDATA")</f>
        <v>NO DDATA</v>
      </c>
    </row>
    <row r="34" spans="1:7" x14ac:dyDescent="0.3">
      <c r="A34" s="8" t="s">
        <v>123</v>
      </c>
      <c r="B34" s="4">
        <v>108.09</v>
      </c>
      <c r="C34" s="2" t="str">
        <f>_xlfn.IFNA(VLOOKUP(Table6[[#This Row],[ITEM]],ITEM_SUMMARY!E:G,2,FALSE),"No data")</f>
        <v>No data</v>
      </c>
      <c r="D34" s="2" t="str">
        <f>_xlfn.IFNA(VLOOKUP(Table6[[#This Row],[ITEM]],ITEM_SUMMARY!E:G,3,FALSE),"No data")</f>
        <v>No data</v>
      </c>
      <c r="E34" s="2" t="str">
        <f>_xlfn.IFNA(VLOOKUP(Table6[[#This Row],[ITEM]],MARKET_id!B:C,2,FALSE),"no data")</f>
        <v>no data</v>
      </c>
      <c r="F34" s="2" t="str">
        <f>IF(Table6[[#This Row],[eNERGY_CRAFTING]]=0,IF(Table6[[#This Row],[crafting cost]]&lt;Table6[[#This Row],[Market]],"CRAFT","BUY"),"BUY")</f>
        <v>BUY</v>
      </c>
      <c r="G34" s="57" t="str">
        <f>IFERROR(IF(Table6[[#This Row],[craft/BUY]]="BUY",Table6[[#This Row],[Market]]/Table6[[#This Row],[ENERGY]],Table6[[#This Row],[crafting cost]]/Table6[[#This Row],[ENERGY]]),"NO DDATA")</f>
        <v>NO DDATA</v>
      </c>
    </row>
    <row r="35" spans="1:7" x14ac:dyDescent="0.3">
      <c r="A35" s="8" t="s">
        <v>204</v>
      </c>
      <c r="B35" s="4">
        <v>37.4</v>
      </c>
      <c r="C35" s="2" t="str">
        <f>_xlfn.IFNA(VLOOKUP(Table6[[#This Row],[ITEM]],ITEM_SUMMARY!E:G,2,FALSE),"No data")</f>
        <v>No data</v>
      </c>
      <c r="D35" s="2" t="str">
        <f>_xlfn.IFNA(VLOOKUP(Table6[[#This Row],[ITEM]],ITEM_SUMMARY!E:G,3,FALSE),"No data")</f>
        <v>No data</v>
      </c>
      <c r="E35" s="2" t="str">
        <f>_xlfn.IFNA(VLOOKUP(Table6[[#This Row],[ITEM]],MARKET_id!B:C,2,FALSE),"no data")</f>
        <v>no data</v>
      </c>
      <c r="F35" s="2" t="str">
        <f>IF(Table6[[#This Row],[eNERGY_CRAFTING]]=0,IF(Table6[[#This Row],[crafting cost]]&lt;Table6[[#This Row],[Market]],"CRAFT","BUY"),"BUY")</f>
        <v>BUY</v>
      </c>
      <c r="G35" s="57" t="str">
        <f>IFERROR(IF(Table6[[#This Row],[craft/BUY]]="BUY",Table6[[#This Row],[Market]]/Table6[[#This Row],[ENERGY]],Table6[[#This Row],[crafting cost]]/Table6[[#This Row],[ENERGY]]),"NO DDATA")</f>
        <v>NO DDATA</v>
      </c>
    </row>
    <row r="36" spans="1:7" x14ac:dyDescent="0.3">
      <c r="A36" s="8" t="s">
        <v>200</v>
      </c>
      <c r="B36" s="4">
        <v>247.04</v>
      </c>
      <c r="C36" s="2" t="str">
        <f>_xlfn.IFNA(VLOOKUP(Table6[[#This Row],[ITEM]],ITEM_SUMMARY!E:G,2,FALSE),"No data")</f>
        <v>No data</v>
      </c>
      <c r="D36" s="2" t="str">
        <f>_xlfn.IFNA(VLOOKUP(Table6[[#This Row],[ITEM]],ITEM_SUMMARY!E:G,3,FALSE),"No data")</f>
        <v>No data</v>
      </c>
      <c r="E36" s="2" t="str">
        <f>_xlfn.IFNA(VLOOKUP(Table6[[#This Row],[ITEM]],MARKET_id!B:C,2,FALSE),"no data")</f>
        <v>no data</v>
      </c>
      <c r="F36" s="2" t="str">
        <f>IF(Table6[[#This Row],[eNERGY_CRAFTING]]=0,IF(Table6[[#This Row],[crafting cost]]&lt;Table6[[#This Row],[Market]],"CRAFT","BUY"),"BUY")</f>
        <v>BUY</v>
      </c>
      <c r="G36" s="57" t="str">
        <f>IFERROR(IF(Table6[[#This Row],[craft/BUY]]="BUY",Table6[[#This Row],[Market]]/Table6[[#This Row],[ENERGY]],Table6[[#This Row],[crafting cost]]/Table6[[#This Row],[ENERGY]]),"NO DDATA")</f>
        <v>NO DDATA</v>
      </c>
    </row>
    <row r="37" spans="1:7" x14ac:dyDescent="0.3">
      <c r="A37" s="8" t="s">
        <v>124</v>
      </c>
      <c r="B37" s="4">
        <v>374.46</v>
      </c>
      <c r="C37" s="2" t="str">
        <f>_xlfn.IFNA(VLOOKUP(Table6[[#This Row],[ITEM]],ITEM_SUMMARY!E:G,2,FALSE),"No data")</f>
        <v>No data</v>
      </c>
      <c r="D37" s="2" t="str">
        <f>_xlfn.IFNA(VLOOKUP(Table6[[#This Row],[ITEM]],ITEM_SUMMARY!E:G,3,FALSE),"No data")</f>
        <v>No data</v>
      </c>
      <c r="E37" s="2" t="str">
        <f>_xlfn.IFNA(VLOOKUP(Table6[[#This Row],[ITEM]],MARKET_id!B:C,2,FALSE),"no data")</f>
        <v>no data</v>
      </c>
      <c r="F37" s="2" t="str">
        <f>IF(Table6[[#This Row],[eNERGY_CRAFTING]]=0,IF(Table6[[#This Row],[crafting cost]]&lt;Table6[[#This Row],[Market]],"CRAFT","BUY"),"BUY")</f>
        <v>BUY</v>
      </c>
      <c r="G37" s="57" t="str">
        <f>IFERROR(IF(Table6[[#This Row],[craft/BUY]]="BUY",Table6[[#This Row],[Market]]/Table6[[#This Row],[ENERGY]],Table6[[#This Row],[crafting cost]]/Table6[[#This Row],[ENERGY]]),"NO DDATA")</f>
        <v>NO DDATA</v>
      </c>
    </row>
    <row r="38" spans="1:7" x14ac:dyDescent="0.3">
      <c r="A38" s="8" t="s">
        <v>203</v>
      </c>
      <c r="B38" s="4">
        <v>84.16</v>
      </c>
      <c r="C38" s="2" t="str">
        <f>_xlfn.IFNA(VLOOKUP(Table6[[#This Row],[ITEM]],ITEM_SUMMARY!E:G,2,FALSE),"No data")</f>
        <v>No data</v>
      </c>
      <c r="D38" s="2" t="str">
        <f>_xlfn.IFNA(VLOOKUP(Table6[[#This Row],[ITEM]],ITEM_SUMMARY!E:G,3,FALSE),"No data")</f>
        <v>No data</v>
      </c>
      <c r="E38" s="2" t="str">
        <f>_xlfn.IFNA(VLOOKUP(Table6[[#This Row],[ITEM]],MARKET_id!B:C,2,FALSE),"no data")</f>
        <v>no data</v>
      </c>
      <c r="F38" s="2" t="str">
        <f>IF(Table6[[#This Row],[eNERGY_CRAFTING]]=0,IF(Table6[[#This Row],[crafting cost]]&lt;Table6[[#This Row],[Market]],"CRAFT","BUY"),"BUY")</f>
        <v>BUY</v>
      </c>
      <c r="G38" s="57" t="str">
        <f>IFERROR(IF(Table6[[#This Row],[craft/BUY]]="BUY",Table6[[#This Row],[Market]]/Table6[[#This Row],[ENERGY]],Table6[[#This Row],[crafting cost]]/Table6[[#This Row],[ENERGY]]),"NO DDATA")</f>
        <v>NO DDATA</v>
      </c>
    </row>
    <row r="39" spans="1:7" x14ac:dyDescent="0.3">
      <c r="A39" s="8" t="s">
        <v>237</v>
      </c>
      <c r="B39" s="4">
        <v>1</v>
      </c>
      <c r="C39" s="2" t="str">
        <f>_xlfn.IFNA(VLOOKUP(Table6[[#This Row],[ITEM]],ITEM_SUMMARY!E:G,2,FALSE),"No data")</f>
        <v>No data</v>
      </c>
      <c r="D39" s="2" t="str">
        <f>_xlfn.IFNA(VLOOKUP(Table6[[#This Row],[ITEM]],ITEM_SUMMARY!E:G,3,FALSE),"No data")</f>
        <v>No data</v>
      </c>
      <c r="E39" s="2" t="str">
        <f>_xlfn.IFNA(VLOOKUP(Table6[[#This Row],[ITEM]],MARKET_id!B:C,2,FALSE),"no data")</f>
        <v>no data</v>
      </c>
      <c r="F39" s="2" t="str">
        <f>IF(Table6[[#This Row],[eNERGY_CRAFTING]]=0,IF(Table6[[#This Row],[crafting cost]]&lt;Table6[[#This Row],[Market]],"CRAFT","BUY"),"BUY")</f>
        <v>BUY</v>
      </c>
      <c r="G39" s="57" t="str">
        <f>IFERROR(IF(Table6[[#This Row],[craft/BUY]]="BUY",Table6[[#This Row],[Market]]/Table6[[#This Row],[ENERGY]],Table6[[#This Row],[crafting cost]]/Table6[[#This Row],[ENERGY]]),"NO DDATA")</f>
        <v>NO DDATA</v>
      </c>
    </row>
    <row r="40" spans="1:7" x14ac:dyDescent="0.3">
      <c r="A40" s="8" t="s">
        <v>238</v>
      </c>
      <c r="B40" s="4">
        <v>50</v>
      </c>
      <c r="C40" s="2" t="str">
        <f>_xlfn.IFNA(VLOOKUP(Table6[[#This Row],[ITEM]],ITEM_SUMMARY!E:G,2,FALSE),"No data")</f>
        <v>No data</v>
      </c>
      <c r="D40" s="2" t="str">
        <f>_xlfn.IFNA(VLOOKUP(Table6[[#This Row],[ITEM]],ITEM_SUMMARY!E:G,3,FALSE),"No data")</f>
        <v>No data</v>
      </c>
      <c r="E40" s="2" t="str">
        <f>_xlfn.IFNA(VLOOKUP(Table6[[#This Row],[ITEM]],MARKET_id!B:C,2,FALSE),"no data")</f>
        <v>no data</v>
      </c>
      <c r="F40" s="2" t="str">
        <f>IF(Table6[[#This Row],[eNERGY_CRAFTING]]=0,IF(Table6[[#This Row],[crafting cost]]&lt;Table6[[#This Row],[Market]],"CRAFT","BUY"),"BUY")</f>
        <v>BUY</v>
      </c>
      <c r="G40" s="57" t="str">
        <f>IFERROR(IF(Table6[[#This Row],[craft/BUY]]="BUY",Table6[[#This Row],[Market]]/Table6[[#This Row],[ENERGY]],Table6[[#This Row],[crafting cost]]/Table6[[#This Row],[ENERGY]]),"NO DDATA")</f>
        <v>NO DDATA</v>
      </c>
    </row>
    <row r="41" spans="1:7" x14ac:dyDescent="0.3">
      <c r="A41" s="8" t="s">
        <v>239</v>
      </c>
      <c r="B41" s="4">
        <v>50</v>
      </c>
      <c r="C41" s="2" t="str">
        <f>_xlfn.IFNA(VLOOKUP(Table6[[#This Row],[ITEM]],ITEM_SUMMARY!E:G,2,FALSE),"No data")</f>
        <v>No data</v>
      </c>
      <c r="D41" s="2" t="str">
        <f>_xlfn.IFNA(VLOOKUP(Table6[[#This Row],[ITEM]],ITEM_SUMMARY!E:G,3,FALSE),"No data")</f>
        <v>No data</v>
      </c>
      <c r="E41" s="2" t="str">
        <f>_xlfn.IFNA(VLOOKUP(Table6[[#This Row],[ITEM]],MARKET_id!B:C,2,FALSE),"no data")</f>
        <v>no data</v>
      </c>
      <c r="F41" s="2" t="str">
        <f>IF(Table6[[#This Row],[eNERGY_CRAFTING]]=0,IF(Table6[[#This Row],[crafting cost]]&lt;Table6[[#This Row],[Market]],"CRAFT","BUY"),"BUY")</f>
        <v>BUY</v>
      </c>
      <c r="G41" s="57" t="str">
        <f>IFERROR(IF(Table6[[#This Row],[craft/BUY]]="BUY",Table6[[#This Row],[Market]]/Table6[[#This Row],[ENERGY]],Table6[[#This Row],[crafting cost]]/Table6[[#This Row],[ENERGY]]),"NO DDATA")</f>
        <v>NO DDATA</v>
      </c>
    </row>
    <row r="42" spans="1:7" x14ac:dyDescent="0.3">
      <c r="A42" s="8" t="s">
        <v>240</v>
      </c>
      <c r="B42" s="4">
        <v>258.8</v>
      </c>
      <c r="C42" s="2" t="str">
        <f>_xlfn.IFNA(VLOOKUP(Table6[[#This Row],[ITEM]],ITEM_SUMMARY!E:G,2,FALSE),"No data")</f>
        <v>No data</v>
      </c>
      <c r="D42" s="2" t="str">
        <f>_xlfn.IFNA(VLOOKUP(Table6[[#This Row],[ITEM]],ITEM_SUMMARY!E:G,3,FALSE),"No data")</f>
        <v>No data</v>
      </c>
      <c r="E42" s="2" t="str">
        <f>_xlfn.IFNA(VLOOKUP(Table6[[#This Row],[ITEM]],MARKET_id!B:C,2,FALSE),"no data")</f>
        <v>no data</v>
      </c>
      <c r="F42" s="2" t="str">
        <f>IF(Table6[[#This Row],[eNERGY_CRAFTING]]=0,IF(Table6[[#This Row],[crafting cost]]&lt;Table6[[#This Row],[Market]],"CRAFT","BUY"),"BUY")</f>
        <v>BUY</v>
      </c>
      <c r="G42" s="57" t="str">
        <f>IFERROR(IF(Table6[[#This Row],[craft/BUY]]="BUY",Table6[[#This Row],[Market]]/Table6[[#This Row],[ENERGY]],Table6[[#This Row],[crafting cost]]/Table6[[#This Row],[ENERGY]]),"NO DDATA")</f>
        <v>NO DDATA</v>
      </c>
    </row>
    <row r="43" spans="1:7" x14ac:dyDescent="0.3">
      <c r="A43" s="8" t="s">
        <v>241</v>
      </c>
      <c r="B43" s="4">
        <v>0.35</v>
      </c>
      <c r="C43" s="2" t="str">
        <f>_xlfn.IFNA(VLOOKUP(Table6[[#This Row],[ITEM]],ITEM_SUMMARY!E:G,2,FALSE),"No data")</f>
        <v>No data</v>
      </c>
      <c r="D43" s="2" t="str">
        <f>_xlfn.IFNA(VLOOKUP(Table6[[#This Row],[ITEM]],ITEM_SUMMARY!E:G,3,FALSE),"No data")</f>
        <v>No data</v>
      </c>
      <c r="E43" s="2" t="str">
        <f>_xlfn.IFNA(VLOOKUP(Table6[[#This Row],[ITEM]],MARKET_id!B:C,2,FALSE),"no data")</f>
        <v>no data</v>
      </c>
      <c r="F43" s="2" t="str">
        <f>IF(Table6[[#This Row],[eNERGY_CRAFTING]]=0,IF(Table6[[#This Row],[crafting cost]]&lt;Table6[[#This Row],[Market]],"CRAFT","BUY"),"BUY")</f>
        <v>BUY</v>
      </c>
      <c r="G43" s="57" t="str">
        <f>IFERROR(IF(Table6[[#This Row],[craft/BUY]]="BUY",Table6[[#This Row],[Market]]/Table6[[#This Row],[ENERGY]],Table6[[#This Row],[crafting cost]]/Table6[[#This Row],[ENERGY]]),"NO DDATA")</f>
        <v>NO DDATA</v>
      </c>
    </row>
    <row r="44" spans="1:7" x14ac:dyDescent="0.3">
      <c r="A44" s="8" t="s">
        <v>242</v>
      </c>
      <c r="B44" s="4">
        <v>81.2</v>
      </c>
      <c r="C44" s="2" t="str">
        <f>_xlfn.IFNA(VLOOKUP(Table6[[#This Row],[ITEM]],ITEM_SUMMARY!E:G,2,FALSE),"No data")</f>
        <v>No data</v>
      </c>
      <c r="D44" s="2" t="str">
        <f>_xlfn.IFNA(VLOOKUP(Table6[[#This Row],[ITEM]],ITEM_SUMMARY!E:G,3,FALSE),"No data")</f>
        <v>No data</v>
      </c>
      <c r="E44" s="2" t="str">
        <f>_xlfn.IFNA(VLOOKUP(Table6[[#This Row],[ITEM]],MARKET_id!B:C,2,FALSE),"no data")</f>
        <v>no data</v>
      </c>
      <c r="F44" s="2" t="str">
        <f>IF(Table6[[#This Row],[eNERGY_CRAFTING]]=0,IF(Table6[[#This Row],[crafting cost]]&lt;Table6[[#This Row],[Market]],"CRAFT","BUY"),"BUY")</f>
        <v>BUY</v>
      </c>
      <c r="G44" s="57" t="str">
        <f>IFERROR(IF(Table6[[#This Row],[craft/BUY]]="BUY",Table6[[#This Row],[Market]]/Table6[[#This Row],[ENERGY]],Table6[[#This Row],[crafting cost]]/Table6[[#This Row],[ENERGY]]),"NO DDATA")</f>
        <v>NO DDATA</v>
      </c>
    </row>
    <row r="45" spans="1:7" x14ac:dyDescent="0.3">
      <c r="A45" s="8" t="s">
        <v>134</v>
      </c>
      <c r="B45" s="4">
        <v>863.9</v>
      </c>
      <c r="C45" s="2" t="str">
        <f>_xlfn.IFNA(VLOOKUP(Table6[[#This Row],[ITEM]],ITEM_SUMMARY!E:G,2,FALSE),"No data")</f>
        <v>No data</v>
      </c>
      <c r="D45" s="2" t="str">
        <f>_xlfn.IFNA(VLOOKUP(Table6[[#This Row],[ITEM]],ITEM_SUMMARY!E:G,3,FALSE),"No data")</f>
        <v>No data</v>
      </c>
      <c r="E45" s="2" t="str">
        <f>_xlfn.IFNA(VLOOKUP(Table6[[#This Row],[ITEM]],MARKET_id!B:C,2,FALSE),"no data")</f>
        <v>no data</v>
      </c>
      <c r="F45" s="2" t="str">
        <f>IF(Table6[[#This Row],[eNERGY_CRAFTING]]=0,IF(Table6[[#This Row],[crafting cost]]&lt;Table6[[#This Row],[Market]],"CRAFT","BUY"),"BUY")</f>
        <v>BUY</v>
      </c>
      <c r="G45" s="57" t="str">
        <f>IFERROR(IF(Table6[[#This Row],[craft/BUY]]="BUY",Table6[[#This Row],[Market]]/Table6[[#This Row],[ENERGY]],Table6[[#This Row],[crafting cost]]/Table6[[#This Row],[ENERGY]]),"NO DDATA")</f>
        <v>NO DDATA</v>
      </c>
    </row>
    <row r="46" spans="1:7" x14ac:dyDescent="0.3">
      <c r="A46" s="8" t="s">
        <v>205</v>
      </c>
      <c r="B46" s="4">
        <v>70.2</v>
      </c>
      <c r="C46" s="2" t="str">
        <f>_xlfn.IFNA(VLOOKUP(Table6[[#This Row],[ITEM]],ITEM_SUMMARY!E:G,2,FALSE),"No data")</f>
        <v>No data</v>
      </c>
      <c r="D46" s="2" t="str">
        <f>_xlfn.IFNA(VLOOKUP(Table6[[#This Row],[ITEM]],ITEM_SUMMARY!E:G,3,FALSE),"No data")</f>
        <v>No data</v>
      </c>
      <c r="E46" s="2" t="str">
        <f>_xlfn.IFNA(VLOOKUP(Table6[[#This Row],[ITEM]],MARKET_id!B:C,2,FALSE),"no data")</f>
        <v>no data</v>
      </c>
      <c r="F46" s="2" t="str">
        <f>IF(Table6[[#This Row],[eNERGY_CRAFTING]]=0,IF(Table6[[#This Row],[crafting cost]]&lt;Table6[[#This Row],[Market]],"CRAFT","BUY"),"BUY")</f>
        <v>BUY</v>
      </c>
      <c r="G46" s="57" t="str">
        <f>IFERROR(IF(Table6[[#This Row],[craft/BUY]]="BUY",Table6[[#This Row],[Market]]/Table6[[#This Row],[ENERGY]],Table6[[#This Row],[crafting cost]]/Table6[[#This Row],[ENERGY]]),"NO DDATA")</f>
        <v>NO DDATA</v>
      </c>
    </row>
    <row r="47" spans="1:7" x14ac:dyDescent="0.3">
      <c r="A47" s="8" t="s">
        <v>194</v>
      </c>
      <c r="B47" s="4">
        <v>257.01</v>
      </c>
      <c r="C47" s="2" t="str">
        <f>_xlfn.IFNA(VLOOKUP(Table6[[#This Row],[ITEM]],ITEM_SUMMARY!E:G,2,FALSE),"No data")</f>
        <v>No data</v>
      </c>
      <c r="D47" s="2" t="str">
        <f>_xlfn.IFNA(VLOOKUP(Table6[[#This Row],[ITEM]],ITEM_SUMMARY!E:G,3,FALSE),"No data")</f>
        <v>No data</v>
      </c>
      <c r="E47" s="2" t="str">
        <f>_xlfn.IFNA(VLOOKUP(Table6[[#This Row],[ITEM]],MARKET_id!B:C,2,FALSE),"no data")</f>
        <v>no data</v>
      </c>
      <c r="F47" s="2" t="str">
        <f>IF(Table6[[#This Row],[eNERGY_CRAFTING]]=0,IF(Table6[[#This Row],[crafting cost]]&lt;Table6[[#This Row],[Market]],"CRAFT","BUY"),"BUY")</f>
        <v>BUY</v>
      </c>
      <c r="G47" s="57" t="str">
        <f>IFERROR(IF(Table6[[#This Row],[craft/BUY]]="BUY",Table6[[#This Row],[Market]]/Table6[[#This Row],[ENERGY]],Table6[[#This Row],[crafting cost]]/Table6[[#This Row],[ENERGY]]),"NO DDATA")</f>
        <v>NO DDATA</v>
      </c>
    </row>
    <row r="48" spans="1:7" x14ac:dyDescent="0.3">
      <c r="A48" s="8" t="s">
        <v>199</v>
      </c>
      <c r="B48" s="4">
        <v>48.09</v>
      </c>
      <c r="C48" s="2" t="str">
        <f>_xlfn.IFNA(VLOOKUP(Table6[[#This Row],[ITEM]],ITEM_SUMMARY!E:G,2,FALSE),"No data")</f>
        <v>No data</v>
      </c>
      <c r="D48" s="2" t="str">
        <f>_xlfn.IFNA(VLOOKUP(Table6[[#This Row],[ITEM]],ITEM_SUMMARY!E:G,3,FALSE),"No data")</f>
        <v>No data</v>
      </c>
      <c r="E48" s="2" t="str">
        <f>_xlfn.IFNA(VLOOKUP(Table6[[#This Row],[ITEM]],MARKET_id!B:C,2,FALSE),"no data")</f>
        <v>no data</v>
      </c>
      <c r="F48" s="2" t="str">
        <f>IF(Table6[[#This Row],[eNERGY_CRAFTING]]=0,IF(Table6[[#This Row],[crafting cost]]&lt;Table6[[#This Row],[Market]],"CRAFT","BUY"),"BUY")</f>
        <v>BUY</v>
      </c>
      <c r="G48" s="57" t="str">
        <f>IFERROR(IF(Table6[[#This Row],[craft/BUY]]="BUY",Table6[[#This Row],[Market]]/Table6[[#This Row],[ENERGY]],Table6[[#This Row],[crafting cost]]/Table6[[#This Row],[ENERGY]]),"NO DDATA")</f>
        <v>NO DDATA</v>
      </c>
    </row>
    <row r="49" spans="1:7" x14ac:dyDescent="0.3">
      <c r="A49" s="8" t="s">
        <v>189</v>
      </c>
      <c r="B49" s="4">
        <v>135.44999999999999</v>
      </c>
      <c r="C49" s="2" t="str">
        <f>_xlfn.IFNA(VLOOKUP(Table6[[#This Row],[ITEM]],ITEM_SUMMARY!E:G,2,FALSE),"No data")</f>
        <v>No data</v>
      </c>
      <c r="D49" s="2" t="str">
        <f>_xlfn.IFNA(VLOOKUP(Table6[[#This Row],[ITEM]],ITEM_SUMMARY!E:G,3,FALSE),"No data")</f>
        <v>No data</v>
      </c>
      <c r="E49" s="2" t="str">
        <f>_xlfn.IFNA(VLOOKUP(Table6[[#This Row],[ITEM]],MARKET_id!B:C,2,FALSE),"no data")</f>
        <v>no data</v>
      </c>
      <c r="F49" s="2" t="str">
        <f>IF(Table6[[#This Row],[eNERGY_CRAFTING]]=0,IF(Table6[[#This Row],[crafting cost]]&lt;Table6[[#This Row],[Market]],"CRAFT","BUY"),"BUY")</f>
        <v>BUY</v>
      </c>
      <c r="G49" s="57" t="str">
        <f>IFERROR(IF(Table6[[#This Row],[craft/BUY]]="BUY",Table6[[#This Row],[Market]]/Table6[[#This Row],[ENERGY]],Table6[[#This Row],[crafting cost]]/Table6[[#This Row],[ENERGY]]),"NO DDATA")</f>
        <v>NO DDATA</v>
      </c>
    </row>
    <row r="50" spans="1:7" x14ac:dyDescent="0.3">
      <c r="A50" s="8" t="s">
        <v>244</v>
      </c>
      <c r="B50" s="4">
        <v>1.5</v>
      </c>
      <c r="C50" s="2" t="str">
        <f>_xlfn.IFNA(VLOOKUP(Table6[[#This Row],[ITEM]],ITEM_SUMMARY!E:G,2,FALSE),"No data")</f>
        <v>No data</v>
      </c>
      <c r="D50" s="2" t="str">
        <f>_xlfn.IFNA(VLOOKUP(Table6[[#This Row],[ITEM]],ITEM_SUMMARY!E:G,3,FALSE),"No data")</f>
        <v>No data</v>
      </c>
      <c r="E50" s="2" t="str">
        <f>_xlfn.IFNA(VLOOKUP(Table6[[#This Row],[ITEM]],MARKET_id!B:C,2,FALSE),"no data")</f>
        <v>no data</v>
      </c>
      <c r="F50" s="2" t="str">
        <f>IF(Table6[[#This Row],[eNERGY_CRAFTING]]=0,IF(Table6[[#This Row],[crafting cost]]&lt;Table6[[#This Row],[Market]],"CRAFT","BUY"),"BUY")</f>
        <v>BUY</v>
      </c>
      <c r="G50" s="57" t="str">
        <f>IFERROR(IF(Table6[[#This Row],[craft/BUY]]="BUY",Table6[[#This Row],[Market]]/Table6[[#This Row],[ENERGY]],Table6[[#This Row],[crafting cost]]/Table6[[#This Row],[ENERGY]]),"NO DDATA")</f>
        <v>NO DDATA</v>
      </c>
    </row>
    <row r="51" spans="1:7" x14ac:dyDescent="0.3">
      <c r="A51" s="8" t="s">
        <v>245</v>
      </c>
      <c r="B51" s="4">
        <v>222.91</v>
      </c>
      <c r="C51" s="2" t="str">
        <f>_xlfn.IFNA(VLOOKUP(Table6[[#This Row],[ITEM]],ITEM_SUMMARY!E:G,2,FALSE),"No data")</f>
        <v>No data</v>
      </c>
      <c r="D51" s="2" t="str">
        <f>_xlfn.IFNA(VLOOKUP(Table6[[#This Row],[ITEM]],ITEM_SUMMARY!E:G,3,FALSE),"No data")</f>
        <v>No data</v>
      </c>
      <c r="E51" s="2" t="str">
        <f>_xlfn.IFNA(VLOOKUP(Table6[[#This Row],[ITEM]],MARKET_id!B:C,2,FALSE),"no data")</f>
        <v>no data</v>
      </c>
      <c r="F51" s="2" t="str">
        <f>IF(Table6[[#This Row],[eNERGY_CRAFTING]]=0,IF(Table6[[#This Row],[crafting cost]]&lt;Table6[[#This Row],[Market]],"CRAFT","BUY"),"BUY")</f>
        <v>BUY</v>
      </c>
      <c r="G51" s="57" t="str">
        <f>IFERROR(IF(Table6[[#This Row],[craft/BUY]]="BUY",Table6[[#This Row],[Market]]/Table6[[#This Row],[ENERGY]],Table6[[#This Row],[crafting cost]]/Table6[[#This Row],[ENERGY]]),"NO DDATA")</f>
        <v>NO DDATA</v>
      </c>
    </row>
    <row r="52" spans="1:7" x14ac:dyDescent="0.3">
      <c r="A52" s="8" t="s">
        <v>144</v>
      </c>
      <c r="B52" s="4">
        <v>248.25</v>
      </c>
      <c r="C52" s="2" t="str">
        <f>_xlfn.IFNA(VLOOKUP(Table6[[#This Row],[ITEM]],ITEM_SUMMARY!E:G,2,FALSE),"No data")</f>
        <v>No data</v>
      </c>
      <c r="D52" s="2" t="str">
        <f>_xlfn.IFNA(VLOOKUP(Table6[[#This Row],[ITEM]],ITEM_SUMMARY!E:G,3,FALSE),"No data")</f>
        <v>No data</v>
      </c>
      <c r="E52" s="2" t="str">
        <f>_xlfn.IFNA(VLOOKUP(Table6[[#This Row],[ITEM]],MARKET_id!B:C,2,FALSE),"no data")</f>
        <v>no data</v>
      </c>
      <c r="F52" s="2" t="str">
        <f>IF(Table6[[#This Row],[eNERGY_CRAFTING]]=0,IF(Table6[[#This Row],[crafting cost]]&lt;Table6[[#This Row],[Market]],"CRAFT","BUY"),"BUY")</f>
        <v>BUY</v>
      </c>
      <c r="G52" s="57" t="str">
        <f>IFERROR(IF(Table6[[#This Row],[craft/BUY]]="BUY",Table6[[#This Row],[Market]]/Table6[[#This Row],[ENERGY]],Table6[[#This Row],[crafting cost]]/Table6[[#This Row],[ENERGY]]),"NO DDATA")</f>
        <v>NO DDATA</v>
      </c>
    </row>
    <row r="53" spans="1:7" x14ac:dyDescent="0.3">
      <c r="A53" s="8" t="s">
        <v>190</v>
      </c>
      <c r="B53" s="4">
        <v>85.07</v>
      </c>
      <c r="C53" s="2" t="str">
        <f>_xlfn.IFNA(VLOOKUP(Table6[[#This Row],[ITEM]],ITEM_SUMMARY!E:G,2,FALSE),"No data")</f>
        <v>No data</v>
      </c>
      <c r="D53" s="2" t="str">
        <f>_xlfn.IFNA(VLOOKUP(Table6[[#This Row],[ITEM]],ITEM_SUMMARY!E:G,3,FALSE),"No data")</f>
        <v>No data</v>
      </c>
      <c r="E53" s="2" t="str">
        <f>_xlfn.IFNA(VLOOKUP(Table6[[#This Row],[ITEM]],MARKET_id!B:C,2,FALSE),"no data")</f>
        <v>no data</v>
      </c>
      <c r="F53" s="2" t="str">
        <f>IF(Table6[[#This Row],[eNERGY_CRAFTING]]=0,IF(Table6[[#This Row],[crafting cost]]&lt;Table6[[#This Row],[Market]],"CRAFT","BUY"),"BUY")</f>
        <v>BUY</v>
      </c>
      <c r="G53" s="57" t="str">
        <f>IFERROR(IF(Table6[[#This Row],[craft/BUY]]="BUY",Table6[[#This Row],[Market]]/Table6[[#This Row],[ENERGY]],Table6[[#This Row],[crafting cost]]/Table6[[#This Row],[ENERGY]]),"NO DDATA")</f>
        <v>NO DDATA</v>
      </c>
    </row>
    <row r="54" spans="1:7" x14ac:dyDescent="0.3">
      <c r="A54" s="8" t="s">
        <v>192</v>
      </c>
      <c r="B54" s="4">
        <v>227.29</v>
      </c>
      <c r="C54" s="2" t="str">
        <f>_xlfn.IFNA(VLOOKUP(Table6[[#This Row],[ITEM]],ITEM_SUMMARY!E:G,2,FALSE),"No data")</f>
        <v>No data</v>
      </c>
      <c r="D54" s="2" t="str">
        <f>_xlfn.IFNA(VLOOKUP(Table6[[#This Row],[ITEM]],ITEM_SUMMARY!E:G,3,FALSE),"No data")</f>
        <v>No data</v>
      </c>
      <c r="E54" s="2" t="str">
        <f>_xlfn.IFNA(VLOOKUP(Table6[[#This Row],[ITEM]],MARKET_id!B:C,2,FALSE),"no data")</f>
        <v>no data</v>
      </c>
      <c r="F54" s="2" t="str">
        <f>IF(Table6[[#This Row],[eNERGY_CRAFTING]]=0,IF(Table6[[#This Row],[crafting cost]]&lt;Table6[[#This Row],[Market]],"CRAFT","BUY"),"BUY")</f>
        <v>BUY</v>
      </c>
      <c r="G54" s="57" t="str">
        <f>IFERROR(IF(Table6[[#This Row],[craft/BUY]]="BUY",Table6[[#This Row],[Market]]/Table6[[#This Row],[ENERGY]],Table6[[#This Row],[crafting cost]]/Table6[[#This Row],[ENERGY]]),"NO DDATA")</f>
        <v>NO DDATA</v>
      </c>
    </row>
    <row r="55" spans="1:7" x14ac:dyDescent="0.3">
      <c r="A55" s="8" t="s">
        <v>196</v>
      </c>
      <c r="B55" s="4">
        <v>79.989999999999995</v>
      </c>
      <c r="C55" s="2" t="str">
        <f>_xlfn.IFNA(VLOOKUP(Table6[[#This Row],[ITEM]],ITEM_SUMMARY!E:G,2,FALSE),"No data")</f>
        <v>No data</v>
      </c>
      <c r="D55" s="2" t="str">
        <f>_xlfn.IFNA(VLOOKUP(Table6[[#This Row],[ITEM]],ITEM_SUMMARY!E:G,3,FALSE),"No data")</f>
        <v>No data</v>
      </c>
      <c r="E55" s="2" t="str">
        <f>_xlfn.IFNA(VLOOKUP(Table6[[#This Row],[ITEM]],MARKET_id!B:C,2,FALSE),"no data")</f>
        <v>no data</v>
      </c>
      <c r="F55" s="2" t="str">
        <f>IF(Table6[[#This Row],[eNERGY_CRAFTING]]=0,IF(Table6[[#This Row],[crafting cost]]&lt;Table6[[#This Row],[Market]],"CRAFT","BUY"),"BUY")</f>
        <v>BUY</v>
      </c>
      <c r="G55" s="57" t="str">
        <f>IFERROR(IF(Table6[[#This Row],[craft/BUY]]="BUY",Table6[[#This Row],[Market]]/Table6[[#This Row],[ENERGY]],Table6[[#This Row],[crafting cost]]/Table6[[#This Row],[ENERGY]]),"NO DDATA")</f>
        <v>NO DDATA</v>
      </c>
    </row>
    <row r="56" spans="1:7" x14ac:dyDescent="0.3">
      <c r="A56" s="8" t="s">
        <v>147</v>
      </c>
      <c r="B56" s="4">
        <v>5</v>
      </c>
      <c r="C56" s="2" t="str">
        <f>_xlfn.IFNA(VLOOKUP(Table6[[#This Row],[ITEM]],ITEM_SUMMARY!E:G,2,FALSE),"No data")</f>
        <v>No data</v>
      </c>
      <c r="D56" s="2" t="str">
        <f>_xlfn.IFNA(VLOOKUP(Table6[[#This Row],[ITEM]],ITEM_SUMMARY!E:G,3,FALSE),"No data")</f>
        <v>No data</v>
      </c>
      <c r="E56" s="2" t="str">
        <f>_xlfn.IFNA(VLOOKUP(Table6[[#This Row],[ITEM]],MARKET_id!B:C,2,FALSE),"no data")</f>
        <v>no data</v>
      </c>
      <c r="F56" s="2" t="str">
        <f>IF(Table6[[#This Row],[eNERGY_CRAFTING]]=0,IF(Table6[[#This Row],[crafting cost]]&lt;Table6[[#This Row],[Market]],"CRAFT","BUY"),"BUY")</f>
        <v>BUY</v>
      </c>
      <c r="G56" s="57" t="str">
        <f>IFERROR(IF(Table6[[#This Row],[craft/BUY]]="BUY",Table6[[#This Row],[Market]]/Table6[[#This Row],[ENERGY]],Table6[[#This Row],[crafting cost]]/Table6[[#This Row],[ENERGY]]),"NO DDATA")</f>
        <v>NO DDATA</v>
      </c>
    </row>
    <row r="57" spans="1:7" x14ac:dyDescent="0.3">
      <c r="A57" s="9" t="s">
        <v>246</v>
      </c>
      <c r="B57" s="30">
        <v>100</v>
      </c>
      <c r="C57" s="10" t="str">
        <f>_xlfn.IFNA(VLOOKUP(Table6[[#This Row],[ITEM]],ITEM_SUMMARY!E:G,2,FALSE),"No data")</f>
        <v>No data</v>
      </c>
      <c r="D57" s="10" t="str">
        <f>_xlfn.IFNA(VLOOKUP(Table6[[#This Row],[ITEM]],ITEM_SUMMARY!E:G,3,FALSE),"No data")</f>
        <v>No data</v>
      </c>
      <c r="E57" s="10" t="str">
        <f>_xlfn.IFNA(VLOOKUP(Table6[[#This Row],[ITEM]],MARKET_id!B:C,2,FALSE),"no data")</f>
        <v>no data</v>
      </c>
      <c r="F57" s="10" t="str">
        <f>IF(Table6[[#This Row],[eNERGY_CRAFTING]]=0,IF(Table6[[#This Row],[crafting cost]]&lt;Table6[[#This Row],[Market]],"CRAFT","BUY"),"BUY")</f>
        <v>BUY</v>
      </c>
      <c r="G57" s="58" t="str">
        <f>IFERROR(IF(Table6[[#This Row],[craft/BUY]]="BUY",Table6[[#This Row],[Market]]/Table6[[#This Row],[ENERGY]],Table6[[#This Row],[crafting cost]]/Table6[[#This Row],[ENERGY]]),"NO DDATA")</f>
        <v>NO DDATA</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3 6 a 8 c d 2 - c e 4 a - 4 d 1 3 - a 8 f b - d 0 f 8 6 9 d a 1 9 7 8 "   x m l n s = " h t t p : / / s c h e m a s . m i c r o s o f t . c o m / D a t a M a s h u p " > A A A A A B g E A A B Q S w M E F A A C A A g A a 2 N R W E 0 a j i i l A A A A 9 g A A A B I A H A B D b 2 5 m a W c v U G F j a 2 F n Z S 5 4 b W w g o h g A K K A U A A A A A A A A A A A A A A A A A A A A A A A A A A A A h Y 8 x D o I w G I W v Q r r T l m o M I a U M L g 6 S k J g Y 1 6 Z U a I Q f Q 4 v l b g 4 e y S u I U d T N 8 X 3 v G 9 6 7 X 2 8 8 G 9 s m u O j e m g 5 S F G G K A g 2 q K w 1 U K R r c M Y x R J n g h 1 U l W O p h k s M l o y x T V z p 0 T Q r z 3 2 C 9 w 1 1 e E U R q R Q 7 7 d q V q 3 E n 1 k 8 1 8 O D V g n Q W k k + P 4 1 R j A c s S V e s R h T T m b I c w N f g U 1 7 n + 0 P 5 O u h c U O v h Y a w 2 H A y R 0 7 e H 8 Q D U E s D B B Q A A g A I A G t j U 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Y 1 F Y a H O A 3 h E B A A C 1 A Q A A E w A c A E Z v c m 1 1 b G F z L 1 N l Y 3 R p b 2 4 x L m 0 g o h g A K K A U A A A A A A A A A A A A A A A A A A A A A A A A A A A A b Y 8 x a 8 M w E I V 3 g / + D U B c b h C G B L g 0 e g t 3 S q a T Y W 1 y K I l 9 j g S w Z 6 Z Q m B P / 3 K r W L O 0 S L 7 t 4 7 v n v n Q K A 0 m l T T v 9 r E U R y 5 j l t o y S D P o N w n H y T J i Q K M I x J e Z b w V E J T C n b L S C N + D x u R F K s g K o z E 0 L q H l U 2 O w A + u a G a L h u 9 n 9 l l U H g M 3 C z o Q 7 0 Z T t S 1 C y l w g 2 p 4 w y U h j l e + 3 y N S P P W p h W 6 m O + W j + G 9 t 0 b h A o v C v K l z N 6 M h o + U T R k f 6 M 6 a P n g t e Q X e h h w 0 B K 7 5 I Q z O z q w n 0 z m M 7 G d 9 q 1 Q l u O L W 5 W j 9 f 2 T R c X 0 M x P o y w I K r L d f u y 9 h + C n w z X X J n P 7 t e 6 W B N 6 w W G 6 z C M E Y Q z j o z c d C n g T 9 W + P 4 A d x z S O p L 6 7 e / M D U E s B A i 0 A F A A C A A g A a 2 N R W E 0 a j i i l A A A A 9 g A A A B I A A A A A A A A A A A A A A A A A A A A A A E N v b m Z p Z y 9 Q Y W N r Y W d l L n h t b F B L A Q I t A B Q A A g A I A G t j U V g P y u m r p A A A A O k A A A A T A A A A A A A A A A A A A A A A A P E A A A B b Q 2 9 u d G V u d F 9 U e X B l c 1 0 u e G 1 s U E s B A i 0 A F A A C A A g A a 2 N R W G h z g N 4 R A Q A A t Q E A A B M A A A A A A A A A A A A A A A A A 4 g 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g k A A A A A A A C A 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l 4 Z W x z X 2 F w a 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a X h l b H N f Y X B p I i A v P j x F b n R y e S B U e X B l P S J G a W x s Z W R D b 2 1 w b G V 0 Z V J l c 3 V s d F R v V 2 9 y a 3 N o Z W V 0 I i B W Y W x 1 Z T 0 i b D E i I C 8 + P E V u d H J 5 I F R 5 c G U 9 I k Z p b G x F c n J v c k N v d W 5 0 I i B W Y W x 1 Z T 0 i b D A i I C 8 + P E V u d H J 5 I F R 5 c G U 9 I k Z p b G x F c n J v c k N v Z G U i I F Z h b H V l P S J z V W 5 r b m 9 3 b i I g L z 4 8 R W 5 0 c n k g V H l w Z T 0 i U X V l c n l J R C I g V m F s d W U 9 I n M w N z A 5 Z D R h Z C 0 5 N D B i L T R i M j I t Y j M 5 N C 1 h N z E 2 Y m E x M z Y 5 Z T Y i I C 8 + P E V u d H J 5 I F R 5 c G U 9 I k Z p b G x D b 3 V u d C I g V m F s d W U 9 I m w 2 O C I g L z 4 8 R W 5 0 c n k g V H l w Z T 0 i R m l s b E x h c 3 R V c G R h d G V k I i B W Y W x 1 Z T 0 i Z D I w M j Q t M D I t M T d U M D Q 6 M j c 6 M j M u M T M z M D Q w N F o i I C 8 + P E V u d H J 5 I F R 5 c G U 9 I k Z p b G x D b 2 x 1 b W 5 U e X B l c y I g V m F s d W U 9 I n N C Z 1 U 9 I i A v P j x F b n R y e S B U e X B l P S J G a W x s Q 2 9 s d W 1 u T m F t Z X M i I F Z h b H V l P S J z W y Z x d W 9 0 O 3 B y b 2 R 1 Y 3 Q m c X V v d D s s J n F 1 b 3 Q 7 c H J p Y 2 U m c X V v d D t d 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3 B p e G V s c 1 9 h c G k v Q X V 0 b 1 J l b W 9 2 Z W R D b 2 x 1 b W 5 z M S 5 7 c H J v Z H V j d C w w f S Z x d W 9 0 O y w m c X V v d D t T Z W N 0 a W 9 u M S 9 w a X h l b H N f Y X B p L 0 F 1 d G 9 S Z W 1 v d m V k Q 2 9 s d W 1 u c z E u e 3 B y a W N l L D F 9 J n F 1 b 3 Q 7 X S w m c X V v d D t D b 2 x 1 b W 5 D b 3 V u d C Z x d W 9 0 O z o y L C Z x d W 9 0 O 0 t l e U N v b H V t b k 5 h b W V z J n F 1 b 3 Q 7 O l t d L C Z x d W 9 0 O 0 N v b H V t b k l k Z W 5 0 a X R p Z X M m c X V v d D s 6 W y Z x d W 9 0 O 1 N l Y 3 R p b 2 4 x L 3 B p e G V s c 1 9 h c G k v Q X V 0 b 1 J l b W 9 2 Z W R D b 2 x 1 b W 5 z M S 5 7 c H J v Z H V j d C w w f S Z x d W 9 0 O y w m c X V v d D t T Z W N 0 a W 9 u M S 9 w a X h l b H N f Y X B p L 0 F 1 d G 9 S Z W 1 v d m V k Q 2 9 s d W 1 u c z E u e 3 B y a W N l L D F 9 J n F 1 b 3 Q 7 X S w m c X V v d D t S Z W x h d G l v b n N o a X B J b m Z v J n F 1 b 3 Q 7 O l t d f S I g L z 4 8 L 1 N 0 Y W J s Z U V u d H J p Z X M + P C 9 J d G V t P j x J d G V t P j x J d G V t T G 9 j Y X R p b 2 4 + P E l 0 Z W 1 U e X B l P k Z v c m 1 1 b G E 8 L 0 l 0 Z W 1 U e X B l P j x J d G V t U G F 0 a D 5 T Z W N 0 a W 9 u M S 9 w a X h l b H N f Y X B p L 1 N v d X J j Z T w v S X R l b V B h d G g + P C 9 J d G V t T G 9 j Y X R p b 2 4 + P F N 0 Y W J s Z U V u d H J p Z X M g L z 4 8 L 0 l 0 Z W 0 + P E l 0 Z W 0 + P E l 0 Z W 1 M b 2 N h d G l v b j 4 8 S X R l b V R 5 c G U + R m 9 y b X V s Y T w v S X R l b V R 5 c G U + P E l 0 Z W 1 Q Y X R o P l N l Y 3 R p b 2 4 x L 3 B p e G V s c 1 9 h c G k v U H J v b W 9 0 Z W Q l M j B I Z W F k Z X J z P C 9 J d G V t U G F 0 a D 4 8 L 0 l 0 Z W 1 M b 2 N h d G l v b j 4 8 U 3 R h Y m x l R W 5 0 c m l l c y A v P j w v S X R l b T 4 8 S X R l b T 4 8 S X R l b U x v Y 2 F 0 a W 9 u P j x J d G V t V H l w Z T 5 G b 3 J t d W x h P C 9 J d G V t V H l w Z T 4 8 S X R l b V B h d G g + U 2 V j d G l v b j E v c G l 4 Z W x z X 2 F w a S 9 D a G F u Z 2 V k J T I w V H l w Z T w v S X R l b V B h d G g + P C 9 J d G V t T G 9 j Y X R p b 2 4 + P F N 0 Y W J s Z U V u d H J p Z X M g L z 4 8 L 0 l 0 Z W 0 + P C 9 J d G V t c z 4 8 L 0 x v Y 2 F s U G F j a 2 F n Z U 1 l d G F k Y X R h R m l s Z T 4 W A A A A U E s F B g A A A A A A A A A A A A A A A A A A A A A A A C Y B A A A B A A A A 0 I y d 3 w E V 0 R G M e g D A T 8 K X 6 w E A A A B M b 8 4 b x i I M Q I + Y K E D V N a S 0 A A A A A A I A A A A A A B B m A A A A A Q A A I A A A A P M A D 0 q N j K P k g A g D O J 2 t D w 2 D P j v z Z p M s p L S A 1 g C H i Z Q + A A A A A A 6 A A A A A A g A A I A A A A J J L c D B + s f q f m l 3 G v o 8 E N F M X z T o S A o + X e + n x Y x C w 6 2 r d U A A A A I E Q L 0 6 f r R z 1 / d N 4 d q 6 i 7 Q t g f Y X e E + F + 7 h h W w h h C I H P V Y g t / 0 I Q c e t y m o Z r 8 f O I G S i q y R F 4 p I 9 V T o W 9 P w n G F / g B r 1 i 4 n 0 W u 2 M I J O W C r Y h o S e Q A A A A G E r 7 r V 5 I 5 v A t Z X Q c v H a c q 8 Q 0 / R D I t j A R I B u o T 1 + C I j a Z g h J Z a f a W M 0 N A R L Z H T 2 f X Y Y d H N / V b z A e L k M b n 9 j I y a 4 = < / D a t a M a s h u p > 
</file>

<file path=customXml/itemProps1.xml><?xml version="1.0" encoding="utf-8"?>
<ds:datastoreItem xmlns:ds="http://schemas.openxmlformats.org/officeDocument/2006/customXml" ds:itemID="{51C9016F-F6B8-4302-92F8-C329C9D9A4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Resources</vt:lpstr>
      <vt:lpstr>Crafting</vt:lpstr>
      <vt:lpstr>MarketPrice</vt:lpstr>
      <vt:lpstr>TV_store</vt:lpstr>
      <vt:lpstr>pixels_api</vt:lpstr>
      <vt:lpstr>MARKET_id</vt:lpstr>
      <vt:lpstr>ITEM_SUMMARY</vt:lpstr>
      <vt:lpstr>Industry_summary</vt:lpstr>
      <vt:lpstr>Energy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alvin garin</dc:creator>
  <cp:lastModifiedBy>alvin garin</cp:lastModifiedBy>
  <dcterms:created xsi:type="dcterms:W3CDTF">2015-06-05T18:17:20Z</dcterms:created>
  <dcterms:modified xsi:type="dcterms:W3CDTF">2024-02-17T05:07:48Z</dcterms:modified>
</cp:coreProperties>
</file>