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definedNames>
    <definedName name="a">Sheet1!$H$6</definedName>
    <definedName name="b">Sheet1!$I$6</definedName>
    <definedName name="gamma">Sheet1!$M$5</definedName>
    <definedName name="r0">Sheet1!$G$6</definedName>
    <definedName name="sigma">Sheet1!$J$6</definedName>
    <definedName name="solver_adj" localSheetId="0" hidden="1">Sheet1!$G$6:$J$6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Sheet1!$C$7</definedName>
    <definedName name="solver_lhs2" localSheetId="0" hidden="1">Sheet1!$G$6:$J$6</definedName>
    <definedName name="solver_lhs3" localSheetId="0" hidden="1">Sheet1!$J$10</definedName>
    <definedName name="solver_lhs4" localSheetId="0" hidden="1">Sheet1!$J$10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Sheet1!$F$16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Sheet1!$C$8-0.0001</definedName>
    <definedName name="solver_rhs2" localSheetId="0" hidden="1">1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<sst xmlns="http://schemas.openxmlformats.org/spreadsheetml/2006/main" count="39">
  <si>
    <t>Yield to Time To Maturity (%)</t>
  </si>
  <si>
    <t>Today</t>
  </si>
  <si>
    <t>1m</t>
  </si>
  <si>
    <t>?</t>
  </si>
  <si>
    <t>Paras:</t>
  </si>
  <si>
    <t>r_0=</t>
  </si>
  <si>
    <t>a=</t>
  </si>
  <si>
    <t>b=</t>
  </si>
  <si>
    <t>sigma=</t>
  </si>
  <si>
    <t>gama=</t>
  </si>
  <si>
    <t>Time to Maturity</t>
  </si>
  <si>
    <t>tau(years)</t>
  </si>
  <si>
    <t>Market_yield</t>
  </si>
  <si>
    <t>Yield(CIR)</t>
  </si>
  <si>
    <t>Diff^2</t>
  </si>
  <si>
    <t>B</t>
  </si>
  <si>
    <t>A</t>
  </si>
  <si>
    <t>Exp_B</t>
  </si>
  <si>
    <t>Exp_A1</t>
  </si>
  <si>
    <t>A_2</t>
  </si>
  <si>
    <t>(r_0)</t>
  </si>
  <si>
    <t xml:space="preserve">  -</t>
  </si>
  <si>
    <t xml:space="preserve"> -</t>
  </si>
  <si>
    <t>Constrains</t>
  </si>
  <si>
    <t>1Y</t>
  </si>
  <si>
    <t>1)</t>
  </si>
  <si>
    <t>r0&lt;r(1m)</t>
  </si>
  <si>
    <t>3Y</t>
  </si>
  <si>
    <t>2)</t>
  </si>
  <si>
    <t>ab&gt;=sigma^2</t>
  </si>
  <si>
    <t>5Y</t>
  </si>
  <si>
    <t>10Y</t>
  </si>
  <si>
    <t>press Shift+Ctrl+Enter</t>
  </si>
  <si>
    <t>15Y</t>
  </si>
  <si>
    <t>20Y</t>
  </si>
  <si>
    <t>30Y</t>
  </si>
  <si>
    <t>SUM=</t>
  </si>
  <si>
    <t>Pricing errors=Y_M(0,T)-Y_CIR(0,T)</t>
  </si>
  <si>
    <t>SUM_e=sum_T((Pricing_errors)^2) for all Ts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</si>
</sst>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32"/>
      <color rgb="FF000000"/>
      <name val="Calibri Light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33" borderId="1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2" borderId="19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20" applyNumberFormat="0" applyAlignment="0" applyProtection="0">
      <alignment vertical="center"/>
    </xf>
    <xf numFmtId="0" fontId="18" fillId="12" borderId="22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1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8" xfId="0" applyFill="1" applyBorder="1"/>
    <xf numFmtId="0" fontId="0" fillId="3" borderId="6" xfId="0" applyFill="1" applyBorder="1"/>
    <xf numFmtId="0" fontId="0" fillId="3" borderId="7" xfId="0" applyFill="1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8" xfId="0" applyBorder="1"/>
    <xf numFmtId="0" fontId="0" fillId="2" borderId="14" xfId="0" applyFill="1" applyBorder="1"/>
    <xf numFmtId="0" fontId="0" fillId="0" borderId="0" xfId="0" applyAlignment="1" quotePrefix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abSelected="1" zoomScale="80" zoomScaleNormal="80" workbookViewId="0">
      <selection activeCell="L29" sqref="L29"/>
    </sheetView>
  </sheetViews>
  <sheetFormatPr defaultColWidth="9" defaultRowHeight="12.4"/>
  <cols>
    <col min="1" max="1" width="16" customWidth="1"/>
    <col min="2" max="2" width="16" style="2" customWidth="1"/>
    <col min="3" max="3" width="10" customWidth="1"/>
    <col min="5" max="5" width="10.7142857142857" customWidth="1"/>
    <col min="13" max="13" width="13.5714285714286" customWidth="1"/>
    <col min="14" max="14" width="14.7142857142857" customWidth="1"/>
  </cols>
  <sheetData>
    <row r="1" ht="13.15" spans="1:12">
      <c r="A1" s="3"/>
      <c r="B1" s="4"/>
      <c r="C1" s="5" t="s">
        <v>0</v>
      </c>
      <c r="D1" s="5"/>
      <c r="E1" s="5"/>
      <c r="F1" s="5"/>
      <c r="G1" s="5"/>
      <c r="H1" s="5"/>
      <c r="I1" s="5"/>
      <c r="J1" s="5"/>
      <c r="K1" s="5"/>
      <c r="L1" s="23"/>
    </row>
    <row r="2" spans="1:12">
      <c r="A2" s="6" t="s">
        <v>1</v>
      </c>
      <c r="B2" s="7"/>
      <c r="C2" s="7">
        <v>0</v>
      </c>
      <c r="D2" s="7" t="s">
        <v>2</v>
      </c>
      <c r="E2" s="7">
        <v>1</v>
      </c>
      <c r="F2" s="7">
        <v>3</v>
      </c>
      <c r="G2" s="7">
        <v>5</v>
      </c>
      <c r="H2" s="7">
        <v>10</v>
      </c>
      <c r="I2" s="7">
        <v>15</v>
      </c>
      <c r="J2" s="7">
        <v>20</v>
      </c>
      <c r="K2" s="7">
        <v>30</v>
      </c>
      <c r="L2" s="24"/>
    </row>
    <row r="3" ht="13.15" spans="1:12">
      <c r="A3" s="8">
        <v>43677</v>
      </c>
      <c r="B3" s="9"/>
      <c r="C3" s="10" t="s">
        <v>3</v>
      </c>
      <c r="D3" s="11">
        <v>2.1797</v>
      </c>
      <c r="E3" s="11">
        <v>2.6183</v>
      </c>
      <c r="F3" s="11">
        <v>2.9219</v>
      </c>
      <c r="G3" s="11">
        <v>3.0313</v>
      </c>
      <c r="H3" s="11">
        <v>3.1929</v>
      </c>
      <c r="I3" s="11">
        <v>3.6012</v>
      </c>
      <c r="J3" s="11">
        <v>3.628</v>
      </c>
      <c r="K3" s="11">
        <v>4.1183</v>
      </c>
      <c r="L3" s="25"/>
    </row>
    <row r="4" spans="7:10">
      <c r="G4" s="17"/>
      <c r="H4" s="1" t="s">
        <v>4</v>
      </c>
      <c r="I4" s="18"/>
      <c r="J4" s="24"/>
    </row>
    <row r="5" ht="13.15" spans="7:13">
      <c r="G5" s="17" t="s">
        <v>5</v>
      </c>
      <c r="H5" s="18" t="s">
        <v>6</v>
      </c>
      <c r="I5" s="18" t="s">
        <v>7</v>
      </c>
      <c r="J5" s="24" t="s">
        <v>8</v>
      </c>
      <c r="L5" t="s">
        <v>9</v>
      </c>
      <c r="M5">
        <f>SQRT(a^2+2*sigma^2)</f>
        <v>0.237097310441578</v>
      </c>
    </row>
    <row r="6" ht="13.15" spans="1:16">
      <c r="A6" t="s">
        <v>10</v>
      </c>
      <c r="B6" s="12" t="s">
        <v>11</v>
      </c>
      <c r="C6" s="1" t="s">
        <v>12</v>
      </c>
      <c r="D6" s="1"/>
      <c r="E6" s="1" t="s">
        <v>13</v>
      </c>
      <c r="F6" s="19" t="s">
        <v>14</v>
      </c>
      <c r="G6" s="20">
        <v>0.021697</v>
      </c>
      <c r="H6" s="21">
        <v>0.213685563554032</v>
      </c>
      <c r="I6" s="21">
        <v>0.0441342702626264</v>
      </c>
      <c r="J6" s="26">
        <v>0.0726416359508299</v>
      </c>
      <c r="K6" s="1"/>
      <c r="L6" s="27" t="s">
        <v>15</v>
      </c>
      <c r="M6" s="30" t="s">
        <v>16</v>
      </c>
      <c r="N6" s="1" t="s">
        <v>17</v>
      </c>
      <c r="O6" s="1" t="s">
        <v>18</v>
      </c>
      <c r="P6" s="1" t="s">
        <v>19</v>
      </c>
    </row>
    <row r="7" spans="1:16">
      <c r="A7" s="13">
        <v>0</v>
      </c>
      <c r="B7" s="14">
        <v>0</v>
      </c>
      <c r="C7" s="14">
        <f>G6</f>
        <v>0.021697</v>
      </c>
      <c r="D7" t="s">
        <v>20</v>
      </c>
      <c r="E7" s="31" t="s">
        <v>21</v>
      </c>
      <c r="F7" t="s">
        <v>22</v>
      </c>
      <c r="L7" s="28">
        <f t="shared" ref="L7:L15" si="0">2*N7/((gamma+a)*N7+2*gamma)</f>
        <v>0</v>
      </c>
      <c r="M7" s="24">
        <f t="shared" ref="M7:M15" si="1">LN(P7^(2*a*b/sigma^2))</f>
        <v>0</v>
      </c>
      <c r="N7">
        <f t="shared" ref="N7:N15" si="2">EXP(gamma*B7)-1</f>
        <v>0</v>
      </c>
      <c r="O7">
        <f t="shared" ref="O7:O15" si="3">EXP((a+gamma)*B7/2)</f>
        <v>1</v>
      </c>
      <c r="P7">
        <f>2*gamma*O7/((gamma+a)*N7+2*gamma)</f>
        <v>1</v>
      </c>
    </row>
    <row r="8" spans="1:16">
      <c r="A8" s="13" t="s">
        <v>2</v>
      </c>
      <c r="B8" s="14">
        <f>1/12</f>
        <v>0.0833333333333333</v>
      </c>
      <c r="C8" s="14">
        <f>D3/100</f>
        <v>0.021797</v>
      </c>
      <c r="E8" s="2">
        <f t="shared" ref="E8:E15" si="4">-(M8-L8*r0)/B8</f>
        <v>0.0218954598128246</v>
      </c>
      <c r="F8">
        <f>(C8-E8)^2</f>
        <v>9.69433474145008e-9</v>
      </c>
      <c r="G8" t="s">
        <v>23</v>
      </c>
      <c r="L8" s="28">
        <f t="shared" si="0"/>
        <v>0.0825952541435317</v>
      </c>
      <c r="M8" s="24">
        <f t="shared" si="1"/>
        <v>-3.2552421916507e-5</v>
      </c>
      <c r="N8">
        <f t="shared" si="2"/>
        <v>0.0199545925561646</v>
      </c>
      <c r="O8">
        <f t="shared" si="3"/>
        <v>1.0189601227342</v>
      </c>
      <c r="P8">
        <f t="array" ref="P8">2*gamma*O8/((gamma+a)*N8+2*gamma)</f>
        <v>0.999990893081866</v>
      </c>
    </row>
    <row r="9" spans="1:16">
      <c r="A9" s="13" t="s">
        <v>24</v>
      </c>
      <c r="B9" s="14">
        <v>1</v>
      </c>
      <c r="C9" s="14">
        <f>E3/100</f>
        <v>0.026183</v>
      </c>
      <c r="E9" s="2">
        <f t="shared" si="4"/>
        <v>0.0239150714485827</v>
      </c>
      <c r="F9">
        <f t="shared" ref="F9:F15" si="5">(C9-E9)^2</f>
        <v>5.14349991433366e-6</v>
      </c>
      <c r="G9" t="s">
        <v>25</v>
      </c>
      <c r="H9" t="s">
        <v>26</v>
      </c>
      <c r="L9" s="28">
        <f t="shared" si="0"/>
        <v>0.899666499207821</v>
      </c>
      <c r="M9" s="24">
        <f t="shared" si="1"/>
        <v>-0.00439500741527064</v>
      </c>
      <c r="N9">
        <f t="shared" si="2"/>
        <v>0.267564459031227</v>
      </c>
      <c r="O9">
        <f t="shared" si="3"/>
        <v>1.25281301759097</v>
      </c>
      <c r="P9">
        <f t="shared" ref="P9:P15" si="6">2*gamma*O9/((gamma+a)*N9+2*gamma)</f>
        <v>0.99877119562704</v>
      </c>
    </row>
    <row r="10" spans="1:16">
      <c r="A10" s="13" t="s">
        <v>27</v>
      </c>
      <c r="B10" s="14">
        <v>3</v>
      </c>
      <c r="C10" s="14">
        <f>F3/100</f>
        <v>0.029219</v>
      </c>
      <c r="E10" s="2">
        <f t="shared" si="4"/>
        <v>0.0274441415995053</v>
      </c>
      <c r="F10">
        <f t="shared" si="5"/>
        <v>3.15012234180666e-6</v>
      </c>
      <c r="G10" t="s">
        <v>28</v>
      </c>
      <c r="H10" t="s">
        <v>29</v>
      </c>
      <c r="J10">
        <f>a*b-sigma^2/2</f>
        <v>0.00679245277630882</v>
      </c>
      <c r="L10" s="28">
        <f t="shared" si="0"/>
        <v>2.20209602776164</v>
      </c>
      <c r="M10" s="24">
        <f t="shared" si="1"/>
        <v>-0.0345535472841716</v>
      </c>
      <c r="N10">
        <f t="shared" si="2"/>
        <v>1.03662073385299</v>
      </c>
      <c r="O10">
        <f t="shared" si="3"/>
        <v>1.96634071622213</v>
      </c>
      <c r="P10">
        <f t="shared" si="6"/>
        <v>0.990379773103917</v>
      </c>
    </row>
    <row r="11" spans="1:16">
      <c r="A11" s="13" t="s">
        <v>30</v>
      </c>
      <c r="B11" s="14">
        <v>5</v>
      </c>
      <c r="C11" s="14">
        <f>G3/100</f>
        <v>0.030313</v>
      </c>
      <c r="E11" s="2">
        <f t="shared" si="4"/>
        <v>0.030063247153394</v>
      </c>
      <c r="F11">
        <f t="shared" si="5"/>
        <v>6.23764843878103e-8</v>
      </c>
      <c r="L11" s="28">
        <f t="shared" si="0"/>
        <v>3.03273975310645</v>
      </c>
      <c r="M11" s="24">
        <f t="shared" si="1"/>
        <v>-0.0845148813438193</v>
      </c>
      <c r="N11">
        <f t="shared" si="2"/>
        <v>2.27227856856288</v>
      </c>
      <c r="O11">
        <f t="shared" si="3"/>
        <v>3.08625130644623</v>
      </c>
      <c r="P11">
        <f t="shared" si="6"/>
        <v>0.976633204943007</v>
      </c>
    </row>
    <row r="12" spans="1:16">
      <c r="A12" s="13" t="s">
        <v>31</v>
      </c>
      <c r="B12" s="14">
        <v>10</v>
      </c>
      <c r="C12" s="14">
        <f>H3/100</f>
        <v>0.031929</v>
      </c>
      <c r="E12" s="2">
        <f t="shared" si="4"/>
        <v>0.0341586771234991</v>
      </c>
      <c r="F12">
        <f t="shared" si="5"/>
        <v>4.97146007505522e-6</v>
      </c>
      <c r="H12" t="s">
        <v>32</v>
      </c>
      <c r="L12" s="28">
        <f t="shared" si="0"/>
        <v>4.00296537136994</v>
      </c>
      <c r="M12" s="24">
        <f t="shared" si="1"/>
        <v>-0.254734431572377</v>
      </c>
      <c r="N12">
        <f t="shared" si="2"/>
        <v>9.70780703027593</v>
      </c>
      <c r="O12">
        <f t="shared" si="3"/>
        <v>9.52494712654107</v>
      </c>
      <c r="P12">
        <f t="shared" si="6"/>
        <v>0.931214863444519</v>
      </c>
    </row>
    <row r="13" spans="1:16">
      <c r="A13" s="13" t="s">
        <v>33</v>
      </c>
      <c r="B13" s="14">
        <v>15</v>
      </c>
      <c r="C13" s="14">
        <f>I3/100</f>
        <v>0.036012</v>
      </c>
      <c r="E13" s="2">
        <f t="shared" si="4"/>
        <v>0.0363548018342353</v>
      </c>
      <c r="F13">
        <f t="shared" si="5"/>
        <v>1.17513097555078e-7</v>
      </c>
      <c r="L13" s="28">
        <f t="shared" si="0"/>
        <v>4.30372391275898</v>
      </c>
      <c r="M13" s="24">
        <f t="shared" si="1"/>
        <v>-0.451944129778398</v>
      </c>
      <c r="N13">
        <f t="shared" si="2"/>
        <v>34.0389274614789</v>
      </c>
      <c r="O13">
        <f t="shared" si="3"/>
        <v>29.3963805131187</v>
      </c>
      <c r="P13">
        <f t="shared" si="6"/>
        <v>0.881229493020361</v>
      </c>
    </row>
    <row r="14" spans="1:16">
      <c r="A14" s="13" t="s">
        <v>34</v>
      </c>
      <c r="B14" s="14">
        <v>20</v>
      </c>
      <c r="C14" s="14">
        <f>J3/100</f>
        <v>0.03628</v>
      </c>
      <c r="E14" s="2">
        <f t="shared" si="4"/>
        <v>0.0376430051114936</v>
      </c>
      <c r="F14">
        <f t="shared" si="5"/>
        <v>1.8577829339577e-6</v>
      </c>
      <c r="L14" s="28">
        <f t="shared" si="0"/>
        <v>4.39603893513878</v>
      </c>
      <c r="M14" s="24">
        <f t="shared" si="1"/>
        <v>-0.657479245454166</v>
      </c>
      <c r="N14">
        <f t="shared" si="2"/>
        <v>113.657131397627</v>
      </c>
      <c r="O14">
        <f t="shared" si="3"/>
        <v>90.724617763403</v>
      </c>
      <c r="P14">
        <f t="shared" si="6"/>
        <v>0.83198714148142</v>
      </c>
    </row>
    <row r="15" s="1" customFormat="1" spans="1:16">
      <c r="A15" s="15" t="s">
        <v>35</v>
      </c>
      <c r="B15" s="16">
        <v>30</v>
      </c>
      <c r="C15" s="16">
        <f>K3/100</f>
        <v>0.041183</v>
      </c>
      <c r="E15" s="12">
        <f t="shared" si="4"/>
        <v>0.0390204703902077</v>
      </c>
      <c r="F15" s="1">
        <f t="shared" si="5"/>
        <v>4.67653431322833e-6</v>
      </c>
      <c r="K15" s="29"/>
      <c r="L15" s="28">
        <f t="shared" si="0"/>
        <v>4.43292448672783</v>
      </c>
      <c r="M15" s="24">
        <f t="shared" si="1"/>
        <v>-1.0744329491177</v>
      </c>
      <c r="N15" s="1">
        <f t="shared" si="2"/>
        <v>1226.72643765078</v>
      </c>
      <c r="O15" s="1">
        <f t="shared" si="3"/>
        <v>864.147187272063</v>
      </c>
      <c r="P15" s="1">
        <f t="shared" si="6"/>
        <v>0.740383883366617</v>
      </c>
    </row>
    <row r="16" spans="5:14">
      <c r="E16" t="s">
        <v>36</v>
      </c>
      <c r="F16">
        <f>SUM(F8:F15)</f>
        <v>1.99889834950659e-5</v>
      </c>
      <c r="L16" s="18"/>
      <c r="M16" s="18"/>
      <c r="N16" s="18"/>
    </row>
    <row r="18" ht="38" spans="5:5">
      <c r="E18" s="22" t="s">
        <v>37</v>
      </c>
    </row>
    <row r="19" ht="38" spans="5:5">
      <c r="E19" s="22" t="s">
        <v>38</v>
      </c>
    </row>
  </sheetData>
  <mergeCells count="1">
    <mergeCell ref="C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Hong</dc:creator>
  <cp:lastModifiedBy>Yu.Kong17</cp:lastModifiedBy>
  <dcterms:created xsi:type="dcterms:W3CDTF">2019-11-19T10:06:00Z</dcterms:created>
  <dcterms:modified xsi:type="dcterms:W3CDTF">2020-12-20T14:01:28Z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